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rifapon/Desktop/"/>
    </mc:Choice>
  </mc:AlternateContent>
  <xr:revisionPtr revIDLastSave="0" documentId="13_ncr:1_{67BABF39-5414-7843-B6AB-5712F4861DEA}" xr6:coauthVersionLast="47" xr6:coauthVersionMax="47" xr10:uidLastSave="{00000000-0000-0000-0000-000000000000}"/>
  <bookViews>
    <workbookView xWindow="0" yWindow="740" windowWidth="30240" windowHeight="18900" xr2:uid="{A60149AE-37F7-3E40-82A1-031C3C0D1B14}"/>
  </bookViews>
  <sheets>
    <sheet name="Cars" sheetId="1" r:id="rId1"/>
    <sheet name="Car Insurance &amp; Maintenance" sheetId="13" r:id="rId2"/>
    <sheet name="Car Payments" sheetId="2" r:id="rId3"/>
    <sheet name="Car &amp; Home" sheetId="14" r:id="rId4"/>
    <sheet name="Finances" sheetId="3" r:id="rId5"/>
    <sheet name="Home" sheetId="4" r:id="rId6"/>
    <sheet name="Finance Post Home" sheetId="5" r:id="rId7"/>
    <sheet name="Retirement" sheetId="9" r:id="rId8"/>
    <sheet name="Grad School" sheetId="11" r:id="rId9"/>
    <sheet name="Lexus" sheetId="12" r:id="rId10"/>
  </sheets>
  <definedNames>
    <definedName name="_xlnm._FilterDatabase" localSheetId="3" hidden="1">'Car &amp; Home'!$H$1:$H$64</definedName>
    <definedName name="_xlnm._FilterDatabase" localSheetId="0" hidden="1">Cars!$A$1:$X$27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B23" i="1"/>
  <c r="C24" i="1"/>
  <c r="B24" i="1"/>
  <c r="C26" i="1"/>
  <c r="B26" i="1"/>
  <c r="C22" i="1"/>
  <c r="V22" i="1" s="1"/>
  <c r="B22" i="1"/>
  <c r="B12" i="1"/>
  <c r="C12" i="1"/>
  <c r="C11" i="1"/>
  <c r="B11" i="1"/>
  <c r="E37" i="3"/>
  <c r="G23" i="14"/>
  <c r="G20" i="14"/>
  <c r="F23" i="14"/>
  <c r="E23" i="14"/>
  <c r="F14" i="14"/>
  <c r="E14" i="14"/>
  <c r="E26" i="14" s="1"/>
  <c r="D2" i="2"/>
  <c r="E32" i="14"/>
  <c r="F29" i="14"/>
  <c r="G29" i="14" s="1"/>
  <c r="E29" i="14"/>
  <c r="G5" i="14"/>
  <c r="G35" i="14"/>
  <c r="G38" i="14"/>
  <c r="G41" i="14"/>
  <c r="G44" i="14"/>
  <c r="G50" i="14"/>
  <c r="G53" i="14"/>
  <c r="G56" i="14"/>
  <c r="G59" i="14"/>
  <c r="G62" i="14"/>
  <c r="G2" i="14"/>
  <c r="F17" i="14"/>
  <c r="G17" i="14" s="1"/>
  <c r="F47" i="14"/>
  <c r="G47" i="14" s="1"/>
  <c r="F44" i="14"/>
  <c r="F41" i="14"/>
  <c r="E47" i="14"/>
  <c r="E44" i="14"/>
  <c r="E41" i="14"/>
  <c r="E17" i="14"/>
  <c r="F11" i="14"/>
  <c r="F20" i="14" s="1"/>
  <c r="E11" i="14"/>
  <c r="E20" i="14" s="1"/>
  <c r="B10" i="3"/>
  <c r="C10" i="3" s="1"/>
  <c r="D10" i="3" s="1"/>
  <c r="E10" i="3" s="1"/>
  <c r="F10" i="3" s="1"/>
  <c r="G10" i="3" s="1"/>
  <c r="H10" i="3" s="1"/>
  <c r="I10" i="3" s="1"/>
  <c r="J10" i="3" s="1"/>
  <c r="K10" i="3" s="1"/>
  <c r="L10" i="3" s="1"/>
  <c r="F8" i="14"/>
  <c r="G8" i="14" s="1"/>
  <c r="E8" i="14"/>
  <c r="D5" i="13"/>
  <c r="B40" i="3"/>
  <c r="B41" i="3" s="1"/>
  <c r="B42" i="3" s="1"/>
  <c r="E3" i="13"/>
  <c r="E4" i="13"/>
  <c r="E5" i="13"/>
  <c r="E6" i="13"/>
  <c r="E7" i="13"/>
  <c r="E8" i="13"/>
  <c r="E9" i="13"/>
  <c r="E10" i="13"/>
  <c r="E11" i="13"/>
  <c r="E12" i="13"/>
  <c r="E13" i="13"/>
  <c r="E14" i="13"/>
  <c r="E2" i="13"/>
  <c r="C3" i="13"/>
  <c r="C4" i="13"/>
  <c r="C5" i="13"/>
  <c r="C6" i="13"/>
  <c r="C7" i="13"/>
  <c r="C8" i="13"/>
  <c r="C9" i="13"/>
  <c r="C10" i="13"/>
  <c r="C11" i="13"/>
  <c r="C12" i="13"/>
  <c r="C13" i="13"/>
  <c r="C14" i="13"/>
  <c r="C2" i="13"/>
  <c r="B13" i="2"/>
  <c r="B9" i="2"/>
  <c r="B4" i="2"/>
  <c r="V5" i="1"/>
  <c r="W5" i="1"/>
  <c r="X5" i="1"/>
  <c r="V6" i="1"/>
  <c r="W6" i="1"/>
  <c r="X6" i="1"/>
  <c r="V2" i="1"/>
  <c r="W2" i="1"/>
  <c r="X2" i="1"/>
  <c r="V3" i="1"/>
  <c r="W3" i="1"/>
  <c r="X3" i="1"/>
  <c r="P56" i="1"/>
  <c r="P59" i="1"/>
  <c r="P50" i="1"/>
  <c r="P47" i="1"/>
  <c r="P55" i="1"/>
  <c r="P54" i="1"/>
  <c r="P58" i="1"/>
  <c r="P51" i="1"/>
  <c r="P53" i="1"/>
  <c r="P48" i="1"/>
  <c r="P52" i="1"/>
  <c r="P49" i="1"/>
  <c r="P57" i="1"/>
  <c r="B9" i="1"/>
  <c r="C9" i="1"/>
  <c r="X9" i="1" s="1"/>
  <c r="P31" i="1"/>
  <c r="P32" i="1"/>
  <c r="P33" i="1"/>
  <c r="P34" i="1"/>
  <c r="P35" i="1"/>
  <c r="P36" i="1"/>
  <c r="P37" i="1"/>
  <c r="P38" i="1"/>
  <c r="P39" i="1"/>
  <c r="P40" i="1"/>
  <c r="P41" i="1"/>
  <c r="P42" i="1"/>
  <c r="P30" i="1"/>
  <c r="C44" i="1"/>
  <c r="D44" i="1"/>
  <c r="E44" i="1"/>
  <c r="F44" i="1"/>
  <c r="G44" i="1"/>
  <c r="H44" i="1"/>
  <c r="I44" i="1"/>
  <c r="J44" i="1"/>
  <c r="K44" i="1"/>
  <c r="L44" i="1"/>
  <c r="M44" i="1"/>
  <c r="N44" i="1"/>
  <c r="B44" i="1"/>
  <c r="O31" i="1"/>
  <c r="O32" i="1"/>
  <c r="O33" i="1"/>
  <c r="O34" i="1"/>
  <c r="O35" i="1"/>
  <c r="O36" i="1"/>
  <c r="O37" i="1"/>
  <c r="O38" i="1"/>
  <c r="O39" i="1"/>
  <c r="O40" i="1"/>
  <c r="O41" i="1"/>
  <c r="O42" i="1"/>
  <c r="O30" i="1"/>
  <c r="C43" i="1"/>
  <c r="D43" i="1"/>
  <c r="E43" i="1"/>
  <c r="F43" i="1"/>
  <c r="G43" i="1"/>
  <c r="H43" i="1"/>
  <c r="I43" i="1"/>
  <c r="J43" i="1"/>
  <c r="K43" i="1"/>
  <c r="L43" i="1"/>
  <c r="M43" i="1"/>
  <c r="N43" i="1"/>
  <c r="B43" i="1"/>
  <c r="P22" i="1"/>
  <c r="P9" i="1"/>
  <c r="P6" i="1"/>
  <c r="P5" i="1"/>
  <c r="P3" i="1"/>
  <c r="P2" i="1"/>
  <c r="K2" i="2" s="1"/>
  <c r="D3" i="2"/>
  <c r="D4" i="2"/>
  <c r="D5" i="2"/>
  <c r="D6" i="2"/>
  <c r="D7" i="2"/>
  <c r="D8" i="2"/>
  <c r="D9" i="2"/>
  <c r="D10" i="2"/>
  <c r="D11" i="2"/>
  <c r="D12" i="2"/>
  <c r="D13" i="2"/>
  <c r="D14" i="2"/>
  <c r="C4" i="2"/>
  <c r="G4" i="2" s="1"/>
  <c r="J12" i="2"/>
  <c r="J13" i="2"/>
  <c r="J14" i="2"/>
  <c r="C12" i="2"/>
  <c r="G12" i="2" s="1"/>
  <c r="C13" i="2"/>
  <c r="G13" i="2" s="1"/>
  <c r="C14" i="2"/>
  <c r="G14" i="2" s="1"/>
  <c r="V7" i="1"/>
  <c r="W7" i="1"/>
  <c r="X7" i="1"/>
  <c r="V8" i="1"/>
  <c r="W8" i="1"/>
  <c r="X8" i="1"/>
  <c r="V15" i="1"/>
  <c r="W15" i="1"/>
  <c r="X15" i="1"/>
  <c r="V19" i="1"/>
  <c r="W19" i="1"/>
  <c r="X19" i="1"/>
  <c r="V21" i="1"/>
  <c r="W21" i="1"/>
  <c r="X21" i="1"/>
  <c r="V25" i="1"/>
  <c r="W25" i="1"/>
  <c r="X25" i="1"/>
  <c r="P19" i="1"/>
  <c r="P21" i="1"/>
  <c r="P7" i="1"/>
  <c r="P8" i="1"/>
  <c r="P4" i="1"/>
  <c r="C4" i="1"/>
  <c r="X4" i="1" s="1"/>
  <c r="B4" i="1"/>
  <c r="Q10" i="4"/>
  <c r="Q11" i="4" s="1"/>
  <c r="Q12" i="4" s="1"/>
  <c r="R10" i="4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S10" i="4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T10" i="4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U10" i="4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V10" i="4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W10" i="4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X10" i="4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Y10" i="4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Y25" i="4" s="1"/>
  <c r="Y26" i="4" s="1"/>
  <c r="Y27" i="4" s="1"/>
  <c r="Y28" i="4" s="1"/>
  <c r="Y29" i="4" s="1"/>
  <c r="Y30" i="4" s="1"/>
  <c r="Y31" i="4" s="1"/>
  <c r="Y32" i="4" s="1"/>
  <c r="Y33" i="4" s="1"/>
  <c r="Y34" i="4" s="1"/>
  <c r="Z10" i="4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AA10" i="4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B10" i="4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P10" i="4"/>
  <c r="B4" i="4"/>
  <c r="F1" i="4"/>
  <c r="G1" i="4" s="1"/>
  <c r="G5" i="12"/>
  <c r="G4" i="12"/>
  <c r="H4" i="12" s="1"/>
  <c r="H5" i="12"/>
  <c r="G6" i="12"/>
  <c r="H6" i="12" s="1"/>
  <c r="G7" i="12"/>
  <c r="H7" i="12" s="1"/>
  <c r="G8" i="12"/>
  <c r="H8" i="12" s="1"/>
  <c r="E5" i="12"/>
  <c r="E4" i="12"/>
  <c r="E6" i="12"/>
  <c r="E7" i="12"/>
  <c r="E8" i="12"/>
  <c r="G10" i="12"/>
  <c r="G11" i="12"/>
  <c r="G12" i="12"/>
  <c r="E13" i="12"/>
  <c r="E10" i="12" s="1"/>
  <c r="G13" i="12"/>
  <c r="D20" i="12"/>
  <c r="D21" i="12"/>
  <c r="D22" i="12"/>
  <c r="G2" i="12"/>
  <c r="D34" i="12"/>
  <c r="E34" i="12" s="1"/>
  <c r="G30" i="12"/>
  <c r="G34" i="12" s="1"/>
  <c r="D30" i="12"/>
  <c r="D29" i="12"/>
  <c r="D32" i="12"/>
  <c r="D33" i="12"/>
  <c r="D31" i="12"/>
  <c r="D26" i="12"/>
  <c r="D25" i="12"/>
  <c r="G3" i="12"/>
  <c r="J10" i="2"/>
  <c r="J11" i="2"/>
  <c r="C10" i="2"/>
  <c r="G10" i="2" s="1"/>
  <c r="C11" i="2"/>
  <c r="G11" i="2" s="1"/>
  <c r="C9" i="2"/>
  <c r="G9" i="2" s="1"/>
  <c r="C7" i="2"/>
  <c r="G7" i="2" s="1"/>
  <c r="C6" i="2"/>
  <c r="G6" i="2" s="1"/>
  <c r="J4" i="2"/>
  <c r="B70" i="5"/>
  <c r="B69" i="5"/>
  <c r="C24" i="5" s="1"/>
  <c r="B71" i="5" a="1"/>
  <c r="B71" i="5" s="1"/>
  <c r="G26" i="5" s="1"/>
  <c r="E10" i="9"/>
  <c r="E11" i="9"/>
  <c r="E12" i="9"/>
  <c r="E4" i="9"/>
  <c r="C28" i="5"/>
  <c r="D28" i="5"/>
  <c r="E28" i="5"/>
  <c r="F28" i="5"/>
  <c r="G28" i="5"/>
  <c r="H28" i="5"/>
  <c r="I28" i="5"/>
  <c r="J28" i="5"/>
  <c r="K28" i="5"/>
  <c r="L28" i="5"/>
  <c r="M28" i="5"/>
  <c r="N28" i="5"/>
  <c r="C29" i="5"/>
  <c r="D29" i="5"/>
  <c r="E29" i="5"/>
  <c r="F29" i="5"/>
  <c r="G29" i="5"/>
  <c r="H29" i="5"/>
  <c r="I29" i="5"/>
  <c r="J29" i="5"/>
  <c r="K29" i="5"/>
  <c r="L29" i="5"/>
  <c r="M29" i="5"/>
  <c r="N29" i="5"/>
  <c r="C30" i="5"/>
  <c r="D30" i="5"/>
  <c r="E30" i="5"/>
  <c r="F30" i="5"/>
  <c r="G30" i="5"/>
  <c r="H30" i="5"/>
  <c r="I30" i="5"/>
  <c r="J30" i="5"/>
  <c r="K30" i="5"/>
  <c r="L30" i="5"/>
  <c r="M30" i="5"/>
  <c r="N30" i="5"/>
  <c r="B30" i="5"/>
  <c r="B29" i="5"/>
  <c r="B28" i="5"/>
  <c r="B72" i="5"/>
  <c r="E27" i="5" s="1"/>
  <c r="B1" i="5"/>
  <c r="F3" i="5" s="1"/>
  <c r="J8" i="2"/>
  <c r="C8" i="2"/>
  <c r="G8" i="2" s="1"/>
  <c r="N11" i="12"/>
  <c r="N13" i="12"/>
  <c r="O13" i="12" s="1"/>
  <c r="O3" i="11"/>
  <c r="P3" i="11"/>
  <c r="Q3" i="11"/>
  <c r="O4" i="11"/>
  <c r="P4" i="11"/>
  <c r="Q4" i="11"/>
  <c r="O5" i="11"/>
  <c r="P5" i="11"/>
  <c r="Q5" i="11"/>
  <c r="O6" i="11"/>
  <c r="P6" i="11"/>
  <c r="Q6" i="11"/>
  <c r="O7" i="11"/>
  <c r="P7" i="11"/>
  <c r="Q7" i="11"/>
  <c r="O8" i="11"/>
  <c r="P8" i="11"/>
  <c r="Q8" i="11"/>
  <c r="P2" i="11"/>
  <c r="Q2" i="11"/>
  <c r="O2" i="11"/>
  <c r="B9" i="3"/>
  <c r="C9" i="3" s="1"/>
  <c r="D9" i="3" s="1"/>
  <c r="E9" i="3" s="1"/>
  <c r="F9" i="3" s="1"/>
  <c r="G9" i="3" s="1"/>
  <c r="H9" i="3" s="1"/>
  <c r="I9" i="3" s="1"/>
  <c r="J9" i="3" s="1"/>
  <c r="K9" i="3" s="1"/>
  <c r="L9" i="3" s="1"/>
  <c r="M3" i="11"/>
  <c r="M5" i="11"/>
  <c r="M6" i="11"/>
  <c r="M8" i="11"/>
  <c r="L4" i="11"/>
  <c r="N4" i="11" s="1"/>
  <c r="L6" i="11"/>
  <c r="N6" i="11" s="1"/>
  <c r="K5" i="11"/>
  <c r="K6" i="11"/>
  <c r="K7" i="11"/>
  <c r="K8" i="11"/>
  <c r="K2" i="11"/>
  <c r="J3" i="11"/>
  <c r="J4" i="11"/>
  <c r="M4" i="11" s="1"/>
  <c r="J5" i="11"/>
  <c r="J6" i="11"/>
  <c r="J7" i="11"/>
  <c r="M7" i="11" s="1"/>
  <c r="J8" i="11"/>
  <c r="J2" i="11"/>
  <c r="M2" i="11" s="1"/>
  <c r="I3" i="11"/>
  <c r="K3" i="11" s="1"/>
  <c r="I4" i="11"/>
  <c r="K4" i="11" s="1"/>
  <c r="I5" i="11"/>
  <c r="L5" i="11" s="1"/>
  <c r="N5" i="11" s="1"/>
  <c r="I6" i="11"/>
  <c r="I7" i="11"/>
  <c r="L7" i="11" s="1"/>
  <c r="N7" i="11" s="1"/>
  <c r="I8" i="11"/>
  <c r="L8" i="11" s="1"/>
  <c r="N8" i="11" s="1"/>
  <c r="I2" i="11"/>
  <c r="L2" i="11" s="1"/>
  <c r="N2" i="11" s="1"/>
  <c r="B12" i="9"/>
  <c r="B5" i="9"/>
  <c r="E5" i="9" s="1"/>
  <c r="B6" i="9"/>
  <c r="E6" i="9" s="1"/>
  <c r="B7" i="9"/>
  <c r="E7" i="9" s="1"/>
  <c r="B8" i="9"/>
  <c r="E8" i="9" s="1"/>
  <c r="B9" i="9"/>
  <c r="E9" i="9" s="1"/>
  <c r="B10" i="9"/>
  <c r="B11" i="9"/>
  <c r="B4" i="9"/>
  <c r="A6" i="9"/>
  <c r="A7" i="9"/>
  <c r="A8" i="9" s="1"/>
  <c r="A9" i="9" s="1"/>
  <c r="A10" i="9" s="1"/>
  <c r="A11" i="9" s="1"/>
  <c r="A5" i="9"/>
  <c r="C3" i="2"/>
  <c r="G3" i="2" s="1"/>
  <c r="C5" i="2"/>
  <c r="G5" i="2" s="1"/>
  <c r="G2" i="2"/>
  <c r="H2" i="2" s="1"/>
  <c r="I2" i="2" s="1"/>
  <c r="A45" i="5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C11" i="3"/>
  <c r="D11" i="3" s="1"/>
  <c r="E11" i="3" s="1"/>
  <c r="F11" i="3" s="1"/>
  <c r="G11" i="3" s="1"/>
  <c r="H11" i="3" s="1"/>
  <c r="I11" i="3" s="1"/>
  <c r="J11" i="3" s="1"/>
  <c r="K11" i="3" s="1"/>
  <c r="L11" i="3" s="1"/>
  <c r="C12" i="3"/>
  <c r="D12" i="3" s="1"/>
  <c r="E12" i="3" s="1"/>
  <c r="F12" i="3" s="1"/>
  <c r="G12" i="3" s="1"/>
  <c r="H12" i="3" s="1"/>
  <c r="I12" i="3" s="1"/>
  <c r="J12" i="3" s="1"/>
  <c r="K12" i="3" s="1"/>
  <c r="L12" i="3" s="1"/>
  <c r="C13" i="3"/>
  <c r="D13" i="3" s="1"/>
  <c r="E13" i="3" s="1"/>
  <c r="F13" i="3" s="1"/>
  <c r="G13" i="3" s="1"/>
  <c r="H13" i="3" s="1"/>
  <c r="I13" i="3" s="1"/>
  <c r="J13" i="3" s="1"/>
  <c r="K13" i="3" s="1"/>
  <c r="L13" i="3" s="1"/>
  <c r="A38" i="4"/>
  <c r="C10" i="4"/>
  <c r="D10" i="4"/>
  <c r="E10" i="4"/>
  <c r="F10" i="4"/>
  <c r="G10" i="4"/>
  <c r="H10" i="4"/>
  <c r="I10" i="4"/>
  <c r="J10" i="4"/>
  <c r="K10" i="4"/>
  <c r="L10" i="4"/>
  <c r="M10" i="4"/>
  <c r="N10" i="4"/>
  <c r="B10" i="4"/>
  <c r="A11" i="4"/>
  <c r="F11" i="4" s="1"/>
  <c r="J3" i="2"/>
  <c r="J5" i="2"/>
  <c r="J2" i="2"/>
  <c r="V9" i="1" l="1"/>
  <c r="X22" i="1"/>
  <c r="W9" i="1"/>
  <c r="W22" i="1"/>
  <c r="V4" i="1"/>
  <c r="F26" i="14"/>
  <c r="G26" i="14" s="1"/>
  <c r="G11" i="14"/>
  <c r="G14" i="14"/>
  <c r="F32" i="14"/>
  <c r="G32" i="14"/>
  <c r="K9" i="2"/>
  <c r="K8" i="2"/>
  <c r="K5" i="2"/>
  <c r="K7" i="2"/>
  <c r="K6" i="2"/>
  <c r="K4" i="2"/>
  <c r="K13" i="2"/>
  <c r="K14" i="2"/>
  <c r="K12" i="2"/>
  <c r="K11" i="2"/>
  <c r="K3" i="2"/>
  <c r="L2" i="2" s="1"/>
  <c r="K10" i="2"/>
  <c r="H14" i="2"/>
  <c r="I14" i="2" s="1"/>
  <c r="H13" i="2"/>
  <c r="I13" i="2" s="1"/>
  <c r="H9" i="2"/>
  <c r="I9" i="2" s="1"/>
  <c r="H10" i="2"/>
  <c r="I10" i="2" s="1"/>
  <c r="H12" i="2"/>
  <c r="I12" i="2" s="1"/>
  <c r="H11" i="2"/>
  <c r="I11" i="2" s="1"/>
  <c r="J6" i="2"/>
  <c r="J9" i="2"/>
  <c r="H4" i="2"/>
  <c r="I4" i="2" s="1"/>
  <c r="W4" i="1"/>
  <c r="P11" i="4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Q13" i="4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E12" i="12"/>
  <c r="E22" i="12"/>
  <c r="E2" i="12"/>
  <c r="E11" i="12"/>
  <c r="E3" i="12"/>
  <c r="H3" i="12" s="1"/>
  <c r="H12" i="12"/>
  <c r="H10" i="12"/>
  <c r="H2" i="12"/>
  <c r="H11" i="12"/>
  <c r="J7" i="2"/>
  <c r="H5" i="2"/>
  <c r="I5" i="2" s="1"/>
  <c r="H7" i="2"/>
  <c r="I7" i="2" s="1"/>
  <c r="D27" i="5"/>
  <c r="H27" i="5"/>
  <c r="I27" i="5"/>
  <c r="C27" i="5"/>
  <c r="N26" i="5"/>
  <c r="M27" i="5"/>
  <c r="L27" i="5"/>
  <c r="E26" i="5"/>
  <c r="K27" i="5"/>
  <c r="D26" i="5"/>
  <c r="N27" i="5"/>
  <c r="M26" i="5"/>
  <c r="L26" i="5"/>
  <c r="J27" i="5"/>
  <c r="C26" i="5"/>
  <c r="F26" i="5"/>
  <c r="K26" i="5"/>
  <c r="J26" i="5"/>
  <c r="G27" i="5"/>
  <c r="I26" i="5"/>
  <c r="B26" i="5"/>
  <c r="F27" i="5"/>
  <c r="H26" i="5"/>
  <c r="B27" i="5"/>
  <c r="L3" i="5"/>
  <c r="K3" i="5"/>
  <c r="E3" i="5"/>
  <c r="D3" i="5"/>
  <c r="B24" i="5"/>
  <c r="K24" i="5"/>
  <c r="M3" i="5"/>
  <c r="J24" i="5"/>
  <c r="J3" i="5"/>
  <c r="I3" i="5"/>
  <c r="N3" i="5"/>
  <c r="B3" i="5"/>
  <c r="I24" i="5"/>
  <c r="H24" i="5"/>
  <c r="G24" i="5"/>
  <c r="L24" i="5"/>
  <c r="F24" i="5"/>
  <c r="E24" i="5"/>
  <c r="N24" i="5"/>
  <c r="D24" i="5"/>
  <c r="M24" i="5"/>
  <c r="C3" i="5"/>
  <c r="G3" i="5"/>
  <c r="H3" i="5"/>
  <c r="H1" i="4"/>
  <c r="H3" i="2"/>
  <c r="I3" i="2" s="1"/>
  <c r="H13" i="12"/>
  <c r="L3" i="11"/>
  <c r="N3" i="11" s="1"/>
  <c r="M11" i="4"/>
  <c r="N11" i="4"/>
  <c r="D11" i="4"/>
  <c r="E11" i="4"/>
  <c r="K11" i="4"/>
  <c r="A39" i="4"/>
  <c r="G11" i="4"/>
  <c r="H11" i="4"/>
  <c r="A12" i="4"/>
  <c r="I11" i="4"/>
  <c r="J11" i="4"/>
  <c r="B11" i="4"/>
  <c r="L11" i="4"/>
  <c r="C11" i="4"/>
  <c r="L3" i="2" l="1"/>
  <c r="N3" i="2" s="1"/>
  <c r="O3" i="2" s="1"/>
  <c r="L13" i="2"/>
  <c r="N13" i="2" s="1"/>
  <c r="O13" i="2" s="1"/>
  <c r="N2" i="2"/>
  <c r="O2" i="2" s="1"/>
  <c r="L9" i="2"/>
  <c r="N9" i="2" s="1"/>
  <c r="O9" i="2" s="1"/>
  <c r="L4" i="2"/>
  <c r="N4" i="2" s="1"/>
  <c r="O4" i="2" s="1"/>
  <c r="L14" i="2"/>
  <c r="N14" i="2" s="1"/>
  <c r="O14" i="2" s="1"/>
  <c r="L10" i="2"/>
  <c r="N10" i="2" s="1"/>
  <c r="O10" i="2" s="1"/>
  <c r="L12" i="2"/>
  <c r="N12" i="2" s="1"/>
  <c r="O12" i="2" s="1"/>
  <c r="L5" i="2"/>
  <c r="N5" i="2" s="1"/>
  <c r="O5" i="2" s="1"/>
  <c r="L6" i="2"/>
  <c r="N6" i="2" s="1"/>
  <c r="O6" i="2" s="1"/>
  <c r="L7" i="2"/>
  <c r="N7" i="2" s="1"/>
  <c r="O7" i="2" s="1"/>
  <c r="L11" i="2"/>
  <c r="N11" i="2" s="1"/>
  <c r="O11" i="2" s="1"/>
  <c r="L8" i="2"/>
  <c r="N8" i="2" s="1"/>
  <c r="O8" i="2" s="1"/>
  <c r="D28" i="12"/>
  <c r="E33" i="12" s="1"/>
  <c r="F34" i="12" s="1"/>
  <c r="H34" i="12" s="1"/>
  <c r="J8" i="12"/>
  <c r="K8" i="12" s="1"/>
  <c r="L8" i="12" s="1"/>
  <c r="J6" i="12"/>
  <c r="K6" i="12" s="1"/>
  <c r="L6" i="12" s="1"/>
  <c r="J4" i="12"/>
  <c r="K4" i="12" s="1"/>
  <c r="L4" i="12" s="1"/>
  <c r="J7" i="12"/>
  <c r="K7" i="12" s="1"/>
  <c r="L7" i="12" s="1"/>
  <c r="J5" i="12"/>
  <c r="K5" i="12" s="1"/>
  <c r="L5" i="12" s="1"/>
  <c r="J3" i="12"/>
  <c r="K3" i="12" s="1"/>
  <c r="L3" i="12" s="1"/>
  <c r="O3" i="12" s="1"/>
  <c r="J2" i="12"/>
  <c r="K2" i="12" s="1"/>
  <c r="L2" i="12" s="1"/>
  <c r="O2" i="12" s="1"/>
  <c r="J12" i="12"/>
  <c r="K12" i="12" s="1"/>
  <c r="L12" i="12" s="1"/>
  <c r="O12" i="12" s="1"/>
  <c r="J10" i="12"/>
  <c r="K10" i="12" s="1"/>
  <c r="L10" i="12" s="1"/>
  <c r="O10" i="12" s="1"/>
  <c r="J11" i="12"/>
  <c r="K11" i="12" s="1"/>
  <c r="L11" i="12" s="1"/>
  <c r="O11" i="12" s="1"/>
  <c r="A40" i="4"/>
  <c r="A13" i="4"/>
  <c r="C12" i="4"/>
  <c r="M12" i="4"/>
  <c r="D12" i="4"/>
  <c r="N12" i="4"/>
  <c r="E12" i="4"/>
  <c r="F12" i="4"/>
  <c r="G12" i="4"/>
  <c r="H12" i="4"/>
  <c r="I12" i="4"/>
  <c r="J12" i="4"/>
  <c r="K12" i="4"/>
  <c r="B12" i="4"/>
  <c r="L12" i="4"/>
  <c r="A41" i="4" l="1"/>
  <c r="E13" i="4"/>
  <c r="F13" i="4"/>
  <c r="A14" i="4"/>
  <c r="B13" i="4"/>
  <c r="I13" i="4"/>
  <c r="G13" i="4"/>
  <c r="H13" i="4"/>
  <c r="J13" i="4"/>
  <c r="L13" i="4"/>
  <c r="C13" i="4"/>
  <c r="D13" i="4"/>
  <c r="K13" i="4"/>
  <c r="M13" i="4"/>
  <c r="N13" i="4"/>
  <c r="D2" i="3" l="1"/>
  <c r="D3" i="3" s="1"/>
  <c r="H2" i="3"/>
  <c r="H3" i="3" s="1"/>
  <c r="F2" i="3"/>
  <c r="F3" i="3" s="1"/>
  <c r="I2" i="3"/>
  <c r="I3" i="3" s="1"/>
  <c r="K2" i="3"/>
  <c r="K3" i="3" s="1"/>
  <c r="L2" i="3"/>
  <c r="L3" i="3" s="1"/>
  <c r="C2" i="3"/>
  <c r="C3" i="3" s="1"/>
  <c r="E2" i="3"/>
  <c r="E3" i="3" s="1"/>
  <c r="J2" i="3"/>
  <c r="J3" i="3" s="1"/>
  <c r="G2" i="3"/>
  <c r="G3" i="3" s="1"/>
  <c r="B2" i="3"/>
  <c r="A42" i="4"/>
  <c r="A15" i="4"/>
  <c r="G14" i="4"/>
  <c r="J14" i="4"/>
  <c r="K14" i="4"/>
  <c r="H14" i="4"/>
  <c r="B14" i="4"/>
  <c r="I14" i="4"/>
  <c r="L14" i="4"/>
  <c r="E14" i="4"/>
  <c r="F14" i="4"/>
  <c r="C14" i="4"/>
  <c r="M14" i="4"/>
  <c r="N14" i="4"/>
  <c r="D14" i="4"/>
  <c r="G6" i="3" l="1"/>
  <c r="G5" i="3"/>
  <c r="G4" i="3"/>
  <c r="J6" i="3"/>
  <c r="J5" i="3"/>
  <c r="J4" i="3"/>
  <c r="E5" i="3"/>
  <c r="E4" i="3"/>
  <c r="E6" i="3"/>
  <c r="C5" i="3"/>
  <c r="C6" i="3"/>
  <c r="C4" i="3"/>
  <c r="L4" i="3"/>
  <c r="L6" i="3"/>
  <c r="L5" i="3"/>
  <c r="K6" i="3"/>
  <c r="K4" i="3"/>
  <c r="K5" i="3"/>
  <c r="F4" i="3"/>
  <c r="F6" i="3"/>
  <c r="F5" i="3"/>
  <c r="H6" i="3"/>
  <c r="H4" i="3"/>
  <c r="H5" i="3"/>
  <c r="I6" i="3"/>
  <c r="I5" i="3"/>
  <c r="I4" i="3"/>
  <c r="B3" i="3"/>
  <c r="B4" i="3"/>
  <c r="B5" i="3"/>
  <c r="B6" i="3"/>
  <c r="D4" i="3"/>
  <c r="D5" i="3"/>
  <c r="D6" i="3"/>
  <c r="A43" i="4"/>
  <c r="A16" i="4"/>
  <c r="I15" i="4"/>
  <c r="K15" i="4"/>
  <c r="J15" i="4"/>
  <c r="B15" i="4"/>
  <c r="L15" i="4"/>
  <c r="C15" i="4"/>
  <c r="M15" i="4"/>
  <c r="D15" i="4"/>
  <c r="N15" i="4"/>
  <c r="E15" i="4"/>
  <c r="F15" i="4"/>
  <c r="G15" i="4"/>
  <c r="H15" i="4"/>
  <c r="D7" i="3" l="1"/>
  <c r="D8" i="3" s="1"/>
  <c r="D15" i="3" s="1"/>
  <c r="E7" i="3"/>
  <c r="E8" i="3" s="1"/>
  <c r="E15" i="3" s="1"/>
  <c r="F7" i="3"/>
  <c r="F8" i="3" s="1"/>
  <c r="F15" i="3" s="1"/>
  <c r="F14" i="3" s="1"/>
  <c r="G7" i="3"/>
  <c r="G8" i="3" s="1"/>
  <c r="G15" i="3" s="1"/>
  <c r="C7" i="3"/>
  <c r="C8" i="3" s="1"/>
  <c r="C15" i="3" s="1"/>
  <c r="C14" i="3" s="1"/>
  <c r="J7" i="3"/>
  <c r="J8" i="3" s="1"/>
  <c r="J15" i="3" s="1"/>
  <c r="L7" i="3"/>
  <c r="L8" i="3" s="1"/>
  <c r="L15" i="3" s="1"/>
  <c r="L14" i="3" s="1"/>
  <c r="B7" i="3"/>
  <c r="B8" i="3" s="1"/>
  <c r="B15" i="3" s="1"/>
  <c r="B14" i="3" s="1"/>
  <c r="H7" i="3"/>
  <c r="H8" i="3" s="1"/>
  <c r="H15" i="3" s="1"/>
  <c r="H14" i="3" s="1"/>
  <c r="K7" i="3"/>
  <c r="K8" i="3" s="1"/>
  <c r="K15" i="3" s="1"/>
  <c r="K14" i="3" s="1"/>
  <c r="I7" i="3"/>
  <c r="I8" i="3" s="1"/>
  <c r="I15" i="3" s="1"/>
  <c r="I14" i="3" s="1"/>
  <c r="A44" i="4"/>
  <c r="A17" i="4"/>
  <c r="K16" i="4"/>
  <c r="B16" i="4"/>
  <c r="D16" i="4"/>
  <c r="L16" i="4"/>
  <c r="M16" i="4"/>
  <c r="E16" i="4"/>
  <c r="C16" i="4"/>
  <c r="N16" i="4"/>
  <c r="F16" i="4"/>
  <c r="G16" i="4"/>
  <c r="H16" i="4"/>
  <c r="I16" i="4"/>
  <c r="J16" i="4"/>
  <c r="J17" i="3" l="1"/>
  <c r="J20" i="3" s="1"/>
  <c r="J26" i="3" s="1"/>
  <c r="J14" i="3"/>
  <c r="J16" i="3" s="1"/>
  <c r="J18" i="3" s="1"/>
  <c r="J19" i="3" s="1"/>
  <c r="G14" i="3"/>
  <c r="G16" i="3" s="1"/>
  <c r="G18" i="3" s="1"/>
  <c r="G19" i="3" s="1"/>
  <c r="E14" i="3"/>
  <c r="E16" i="3" s="1"/>
  <c r="E18" i="3" s="1"/>
  <c r="E19" i="3" s="1"/>
  <c r="D17" i="3"/>
  <c r="D20" i="3" s="1"/>
  <c r="D26" i="3" s="1"/>
  <c r="D14" i="3"/>
  <c r="D16" i="3" s="1"/>
  <c r="D18" i="3" s="1"/>
  <c r="D19" i="3" s="1"/>
  <c r="F17" i="3"/>
  <c r="F20" i="3" s="1"/>
  <c r="E17" i="3"/>
  <c r="E20" i="3" s="1"/>
  <c r="G17" i="3"/>
  <c r="G20" i="3" s="1"/>
  <c r="C17" i="3"/>
  <c r="C20" i="3" s="1"/>
  <c r="C16" i="3"/>
  <c r="C18" i="3" s="1"/>
  <c r="C19" i="3" s="1"/>
  <c r="I17" i="3"/>
  <c r="I20" i="3" s="1"/>
  <c r="I16" i="3"/>
  <c r="I18" i="3" s="1"/>
  <c r="I19" i="3" s="1"/>
  <c r="H16" i="3"/>
  <c r="H18" i="3" s="1"/>
  <c r="H19" i="3" s="1"/>
  <c r="H17" i="3"/>
  <c r="H20" i="3" s="1"/>
  <c r="L17" i="3"/>
  <c r="L20" i="3" s="1"/>
  <c r="K17" i="3"/>
  <c r="K20" i="3" s="1"/>
  <c r="K16" i="3"/>
  <c r="K18" i="3" s="1"/>
  <c r="K19" i="3" s="1"/>
  <c r="B17" i="3"/>
  <c r="B20" i="3" s="1"/>
  <c r="B23" i="3" s="1"/>
  <c r="B16" i="3"/>
  <c r="B18" i="3" s="1"/>
  <c r="B19" i="3" s="1"/>
  <c r="F16" i="3"/>
  <c r="F18" i="3" s="1"/>
  <c r="F19" i="3" s="1"/>
  <c r="A45" i="4"/>
  <c r="A18" i="4"/>
  <c r="C17" i="4"/>
  <c r="M17" i="4"/>
  <c r="G17" i="4"/>
  <c r="D17" i="4"/>
  <c r="N17" i="4"/>
  <c r="F17" i="4"/>
  <c r="E17" i="4"/>
  <c r="H17" i="4"/>
  <c r="B17" i="4"/>
  <c r="I17" i="4"/>
  <c r="J17" i="4"/>
  <c r="K17" i="4"/>
  <c r="L17" i="4"/>
  <c r="J23" i="3" l="1"/>
  <c r="J25" i="3"/>
  <c r="J24" i="3"/>
  <c r="D24" i="3"/>
  <c r="G27" i="3"/>
  <c r="E27" i="3"/>
  <c r="D25" i="3"/>
  <c r="D23" i="3"/>
  <c r="J27" i="3"/>
  <c r="D27" i="3"/>
  <c r="K27" i="3"/>
  <c r="C27" i="3"/>
  <c r="H27" i="3"/>
  <c r="F27" i="3"/>
  <c r="B27" i="3"/>
  <c r="I27" i="3"/>
  <c r="I26" i="3"/>
  <c r="I23" i="3"/>
  <c r="I24" i="3"/>
  <c r="I25" i="3"/>
  <c r="K24" i="3"/>
  <c r="K26" i="3"/>
  <c r="K25" i="3"/>
  <c r="K23" i="3"/>
  <c r="E25" i="3"/>
  <c r="E26" i="3"/>
  <c r="E23" i="3"/>
  <c r="E24" i="3"/>
  <c r="B24" i="3"/>
  <c r="B25" i="3"/>
  <c r="B26" i="3"/>
  <c r="C24" i="3"/>
  <c r="C25" i="3"/>
  <c r="C26" i="3"/>
  <c r="C23" i="3"/>
  <c r="G24" i="3"/>
  <c r="G25" i="3"/>
  <c r="G26" i="3"/>
  <c r="G23" i="3"/>
  <c r="L24" i="3"/>
  <c r="L25" i="3"/>
  <c r="L26" i="3"/>
  <c r="L23" i="3"/>
  <c r="H24" i="3"/>
  <c r="H26" i="3"/>
  <c r="H25" i="3"/>
  <c r="H23" i="3"/>
  <c r="F24" i="3"/>
  <c r="F25" i="3"/>
  <c r="F26" i="3"/>
  <c r="F23" i="3"/>
  <c r="L16" i="3"/>
  <c r="L18" i="3" s="1"/>
  <c r="L19" i="3" s="1"/>
  <c r="A46" i="4"/>
  <c r="A19" i="4"/>
  <c r="E18" i="4"/>
  <c r="H18" i="4"/>
  <c r="F18" i="4"/>
  <c r="G18" i="4"/>
  <c r="I18" i="4"/>
  <c r="J18" i="4"/>
  <c r="C18" i="4"/>
  <c r="B18" i="4"/>
  <c r="D18" i="4"/>
  <c r="N18" i="4"/>
  <c r="K18" i="4"/>
  <c r="L18" i="4"/>
  <c r="M18" i="4"/>
  <c r="J28" i="3" l="1"/>
  <c r="J29" i="3" s="1"/>
  <c r="J30" i="3" s="1"/>
  <c r="D28" i="3"/>
  <c r="D29" i="3" s="1"/>
  <c r="D30" i="3" s="1"/>
  <c r="L27" i="3"/>
  <c r="L28" i="3" s="1"/>
  <c r="L29" i="3" s="1"/>
  <c r="L30" i="3" s="1"/>
  <c r="P13" i="3"/>
  <c r="P14" i="3" s="1"/>
  <c r="P15" i="3" s="1"/>
  <c r="P8" i="3"/>
  <c r="P9" i="3" s="1"/>
  <c r="P10" i="3" s="1"/>
  <c r="E28" i="3"/>
  <c r="E29" i="3" s="1"/>
  <c r="E30" i="3" s="1"/>
  <c r="F28" i="3"/>
  <c r="F29" i="3" s="1"/>
  <c r="F30" i="3" s="1"/>
  <c r="N3" i="3"/>
  <c r="N4" i="3" s="1"/>
  <c r="N5" i="3" s="1"/>
  <c r="Q13" i="3"/>
  <c r="Q14" i="3" s="1"/>
  <c r="Q15" i="3" s="1"/>
  <c r="Q8" i="3"/>
  <c r="C28" i="3"/>
  <c r="C29" i="3" s="1"/>
  <c r="C30" i="3" s="1"/>
  <c r="N8" i="3"/>
  <c r="N9" i="3" s="1"/>
  <c r="N10" i="3" s="1"/>
  <c r="G28" i="3"/>
  <c r="G29" i="3" s="1"/>
  <c r="G30" i="3" s="1"/>
  <c r="R13" i="3"/>
  <c r="R14" i="3" s="1"/>
  <c r="R15" i="3" s="1"/>
  <c r="O3" i="3"/>
  <c r="O4" i="3" s="1"/>
  <c r="O5" i="3" s="1"/>
  <c r="O13" i="3"/>
  <c r="O14" i="3" s="1"/>
  <c r="O15" i="3" s="1"/>
  <c r="O8" i="3"/>
  <c r="O9" i="3" s="1"/>
  <c r="S8" i="3"/>
  <c r="S9" i="3" s="1"/>
  <c r="S10" i="3" s="1"/>
  <c r="K28" i="3"/>
  <c r="K29" i="3" s="1"/>
  <c r="K30" i="3" s="1"/>
  <c r="N13" i="3"/>
  <c r="N14" i="3" s="1"/>
  <c r="N15" i="3" s="1"/>
  <c r="I28" i="3"/>
  <c r="I29" i="3" s="1"/>
  <c r="I30" i="3" s="1"/>
  <c r="W3" i="3"/>
  <c r="W4" i="3" s="1"/>
  <c r="W5" i="3" s="1"/>
  <c r="S3" i="3"/>
  <c r="S4" i="3" s="1"/>
  <c r="S5" i="3" s="1"/>
  <c r="W8" i="3"/>
  <c r="W9" i="3" s="1"/>
  <c r="W10" i="3" s="1"/>
  <c r="T13" i="3"/>
  <c r="T14" i="3" s="1"/>
  <c r="T15" i="3" s="1"/>
  <c r="T3" i="3"/>
  <c r="T4" i="3" s="1"/>
  <c r="T5" i="3" s="1"/>
  <c r="T8" i="3"/>
  <c r="T9" i="3" s="1"/>
  <c r="T10" i="3" s="1"/>
  <c r="H28" i="3"/>
  <c r="H29" i="3" s="1"/>
  <c r="H30" i="3" s="1"/>
  <c r="B28" i="3"/>
  <c r="B29" i="3" s="1"/>
  <c r="B30" i="3" s="1"/>
  <c r="S13" i="3"/>
  <c r="S14" i="3" s="1"/>
  <c r="S15" i="3" s="1"/>
  <c r="Q3" i="3"/>
  <c r="Q4" i="3" s="1"/>
  <c r="Q5" i="3" s="1"/>
  <c r="V8" i="3"/>
  <c r="V9" i="3" s="1"/>
  <c r="V10" i="3" s="1"/>
  <c r="V3" i="3"/>
  <c r="V4" i="3" s="1"/>
  <c r="V5" i="3" s="1"/>
  <c r="P3" i="3"/>
  <c r="P4" i="3" s="1"/>
  <c r="P5" i="3" s="1"/>
  <c r="R3" i="3"/>
  <c r="R4" i="3" s="1"/>
  <c r="R5" i="3" s="1"/>
  <c r="W13" i="3"/>
  <c r="W14" i="3" s="1"/>
  <c r="W15" i="3" s="1"/>
  <c r="U8" i="3"/>
  <c r="U9" i="3" s="1"/>
  <c r="U10" i="3" s="1"/>
  <c r="U3" i="3"/>
  <c r="U4" i="3" s="1"/>
  <c r="U5" i="3" s="1"/>
  <c r="U13" i="3"/>
  <c r="U14" i="3" s="1"/>
  <c r="U15" i="3" s="1"/>
  <c r="R8" i="3"/>
  <c r="R9" i="3" s="1"/>
  <c r="R10" i="3" s="1"/>
  <c r="V13" i="3"/>
  <c r="V14" i="3" s="1"/>
  <c r="V15" i="3" s="1"/>
  <c r="A47" i="4"/>
  <c r="A20" i="4"/>
  <c r="G19" i="4"/>
  <c r="H19" i="4"/>
  <c r="J19" i="4"/>
  <c r="I19" i="4"/>
  <c r="K19" i="4"/>
  <c r="L19" i="4"/>
  <c r="D19" i="4"/>
  <c r="F19" i="4"/>
  <c r="M19" i="4"/>
  <c r="C19" i="4"/>
  <c r="N19" i="4"/>
  <c r="B19" i="4"/>
  <c r="E19" i="4"/>
  <c r="Q9" i="3" l="1"/>
  <c r="Q10" i="3" s="1"/>
  <c r="D4" i="4"/>
  <c r="F4" i="4" s="1"/>
  <c r="O10" i="3"/>
  <c r="A48" i="4"/>
  <c r="A21" i="4"/>
  <c r="I20" i="4"/>
  <c r="C20" i="4"/>
  <c r="J20" i="4"/>
  <c r="M20" i="4"/>
  <c r="K20" i="4"/>
  <c r="L20" i="4"/>
  <c r="D20" i="4"/>
  <c r="N20" i="4"/>
  <c r="E20" i="4"/>
  <c r="F20" i="4"/>
  <c r="G20" i="4"/>
  <c r="B20" i="4"/>
  <c r="H20" i="4"/>
  <c r="J7" i="4" l="1"/>
  <c r="J39" i="4" s="1"/>
  <c r="AL12" i="4" s="1"/>
  <c r="K7" i="4"/>
  <c r="K44" i="4" s="1"/>
  <c r="AM17" i="4" s="1"/>
  <c r="B6" i="5"/>
  <c r="B68" i="5" s="1"/>
  <c r="L7" i="4"/>
  <c r="L44" i="4" s="1"/>
  <c r="Z44" i="4" s="1"/>
  <c r="B7" i="4"/>
  <c r="B38" i="4" s="1"/>
  <c r="P38" i="4" s="1"/>
  <c r="G7" i="4"/>
  <c r="G44" i="4" s="1"/>
  <c r="U44" i="4" s="1"/>
  <c r="D7" i="4"/>
  <c r="H7" i="4"/>
  <c r="H39" i="4" s="1"/>
  <c r="V39" i="4" s="1"/>
  <c r="I7" i="4"/>
  <c r="I44" i="4" s="1"/>
  <c r="AK17" i="4" s="1"/>
  <c r="C7" i="4"/>
  <c r="C44" i="4" s="1"/>
  <c r="Q44" i="4" s="1"/>
  <c r="M7" i="4"/>
  <c r="M38" i="4" s="1"/>
  <c r="N7" i="4"/>
  <c r="N44" i="4" s="1"/>
  <c r="AB44" i="4" s="1"/>
  <c r="E7" i="4"/>
  <c r="E44" i="4" s="1"/>
  <c r="S44" i="4" s="1"/>
  <c r="F7" i="4"/>
  <c r="F44" i="4" s="1"/>
  <c r="T44" i="4" s="1"/>
  <c r="M5" i="4"/>
  <c r="G5" i="4"/>
  <c r="B5" i="4"/>
  <c r="H5" i="4"/>
  <c r="K5" i="4"/>
  <c r="N5" i="4"/>
  <c r="D5" i="4"/>
  <c r="E5" i="4"/>
  <c r="F5" i="4"/>
  <c r="J5" i="4"/>
  <c r="C5" i="4"/>
  <c r="L5" i="4"/>
  <c r="I5" i="4"/>
  <c r="A49" i="4"/>
  <c r="A22" i="4"/>
  <c r="K21" i="4"/>
  <c r="N21" i="4"/>
  <c r="L21" i="4"/>
  <c r="D21" i="4"/>
  <c r="C21" i="4"/>
  <c r="M21" i="4"/>
  <c r="E21" i="4"/>
  <c r="F21" i="4"/>
  <c r="B21" i="4"/>
  <c r="G21" i="4"/>
  <c r="J21" i="4"/>
  <c r="H21" i="4"/>
  <c r="I21" i="4"/>
  <c r="M44" i="4" l="1"/>
  <c r="AA44" i="4" s="1"/>
  <c r="B23" i="5"/>
  <c r="Y44" i="4"/>
  <c r="AM44" i="4" s="1"/>
  <c r="D39" i="4"/>
  <c r="D41" i="4"/>
  <c r="R41" i="4" s="1"/>
  <c r="D47" i="4"/>
  <c r="R47" i="4" s="1"/>
  <c r="D40" i="4"/>
  <c r="R40" i="4" s="1"/>
  <c r="D38" i="4"/>
  <c r="D44" i="4"/>
  <c r="D43" i="4"/>
  <c r="R43" i="4" s="1"/>
  <c r="D46" i="4"/>
  <c r="D37" i="4"/>
  <c r="AF10" i="4" s="1"/>
  <c r="D42" i="4"/>
  <c r="D48" i="4"/>
  <c r="R48" i="4" s="1"/>
  <c r="D45" i="4"/>
  <c r="R45" i="4" s="1"/>
  <c r="W44" i="4"/>
  <c r="AK44" i="4" s="1"/>
  <c r="C46" i="4"/>
  <c r="Q46" i="4" s="1"/>
  <c r="C47" i="4"/>
  <c r="Q47" i="4" s="1"/>
  <c r="I46" i="4"/>
  <c r="AK19" i="4" s="1"/>
  <c r="H41" i="4"/>
  <c r="V41" i="4" s="1"/>
  <c r="H45" i="4"/>
  <c r="V45" i="4" s="1"/>
  <c r="H47" i="4"/>
  <c r="V47" i="4" s="1"/>
  <c r="H48" i="4"/>
  <c r="V48" i="4" s="1"/>
  <c r="H38" i="4"/>
  <c r="AJ11" i="4" s="1"/>
  <c r="C48" i="4"/>
  <c r="Q48" i="4" s="1"/>
  <c r="AJ12" i="4"/>
  <c r="AJ39" i="4" s="1"/>
  <c r="I48" i="4"/>
  <c r="AK21" i="4" s="1"/>
  <c r="C37" i="4"/>
  <c r="Q37" i="4" s="1"/>
  <c r="C40" i="4"/>
  <c r="Q40" i="4" s="1"/>
  <c r="I42" i="4"/>
  <c r="W42" i="4" s="1"/>
  <c r="C42" i="4"/>
  <c r="Q42" i="4" s="1"/>
  <c r="I39" i="4"/>
  <c r="AK12" i="4" s="1"/>
  <c r="K48" i="4"/>
  <c r="AM21" i="4" s="1"/>
  <c r="H40" i="4"/>
  <c r="V40" i="4" s="1"/>
  <c r="C39" i="4"/>
  <c r="L42" i="4"/>
  <c r="Z42" i="4" s="1"/>
  <c r="AE17" i="4"/>
  <c r="AE44" i="4" s="1"/>
  <c r="K42" i="4"/>
  <c r="Y42" i="4" s="1"/>
  <c r="I38" i="4"/>
  <c r="W38" i="4" s="1"/>
  <c r="C45" i="4"/>
  <c r="Q45" i="4" s="1"/>
  <c r="K46" i="4"/>
  <c r="AM19" i="4" s="1"/>
  <c r="C41" i="4"/>
  <c r="Q41" i="4" s="1"/>
  <c r="H43" i="4"/>
  <c r="V43" i="4" s="1"/>
  <c r="G39" i="4"/>
  <c r="U39" i="4" s="1"/>
  <c r="K40" i="4"/>
  <c r="Y40" i="4" s="1"/>
  <c r="G48" i="4"/>
  <c r="U48" i="4" s="1"/>
  <c r="L41" i="4"/>
  <c r="Z41" i="4" s="1"/>
  <c r="I40" i="4"/>
  <c r="AK13" i="4" s="1"/>
  <c r="N41" i="4"/>
  <c r="AB41" i="4" s="1"/>
  <c r="H46" i="4"/>
  <c r="V46" i="4" s="1"/>
  <c r="N37" i="4"/>
  <c r="AB37" i="4" s="1"/>
  <c r="B48" i="4"/>
  <c r="P48" i="4" s="1"/>
  <c r="L45" i="4"/>
  <c r="Z45" i="4" s="1"/>
  <c r="I43" i="4"/>
  <c r="W43" i="4" s="1"/>
  <c r="E40" i="4"/>
  <c r="S40" i="4" s="1"/>
  <c r="AI17" i="4"/>
  <c r="AI44" i="4" s="1"/>
  <c r="K38" i="4"/>
  <c r="Y38" i="4" s="1"/>
  <c r="K39" i="4"/>
  <c r="Y39" i="4" s="1"/>
  <c r="C43" i="4"/>
  <c r="Q43" i="4" s="1"/>
  <c r="AG17" i="4"/>
  <c r="AG44" i="4" s="1"/>
  <c r="E37" i="4"/>
  <c r="S37" i="4" s="1"/>
  <c r="E43" i="4"/>
  <c r="AG16" i="4" s="1"/>
  <c r="L38" i="4"/>
  <c r="AN11" i="4" s="1"/>
  <c r="E42" i="4"/>
  <c r="S42" i="4" s="1"/>
  <c r="L46" i="4"/>
  <c r="Z46" i="4" s="1"/>
  <c r="L43" i="4"/>
  <c r="Z43" i="4" s="1"/>
  <c r="I37" i="4"/>
  <c r="AK10" i="4" s="1"/>
  <c r="N43" i="4"/>
  <c r="AP16" i="4" s="1"/>
  <c r="N45" i="4"/>
  <c r="AB45" i="4" s="1"/>
  <c r="E38" i="4"/>
  <c r="S38" i="4" s="1"/>
  <c r="G46" i="4"/>
  <c r="U46" i="4" s="1"/>
  <c r="B47" i="4"/>
  <c r="P47" i="4" s="1"/>
  <c r="L37" i="4"/>
  <c r="Z37" i="4" s="1"/>
  <c r="F39" i="4"/>
  <c r="T39" i="4" s="1"/>
  <c r="G47" i="4"/>
  <c r="U47" i="4" s="1"/>
  <c r="K37" i="4"/>
  <c r="AM10" i="4" s="1"/>
  <c r="I41" i="4"/>
  <c r="AK14" i="4" s="1"/>
  <c r="I47" i="4"/>
  <c r="W47" i="4" s="1"/>
  <c r="B42" i="4"/>
  <c r="P42" i="4" s="1"/>
  <c r="J46" i="4"/>
  <c r="X46" i="4" s="1"/>
  <c r="L47" i="4"/>
  <c r="Z47" i="4" s="1"/>
  <c r="B41" i="4"/>
  <c r="L40" i="4"/>
  <c r="AN13" i="4" s="1"/>
  <c r="K47" i="4"/>
  <c r="AM20" i="4" s="1"/>
  <c r="I45" i="4"/>
  <c r="AK18" i="4" s="1"/>
  <c r="J44" i="4"/>
  <c r="X44" i="4" s="1"/>
  <c r="C38" i="4"/>
  <c r="Q38" i="4" s="1"/>
  <c r="N39" i="4"/>
  <c r="AB39" i="4" s="1"/>
  <c r="M41" i="4"/>
  <c r="AA41" i="4" s="1"/>
  <c r="AH17" i="4"/>
  <c r="AH44" i="4" s="1"/>
  <c r="J40" i="4"/>
  <c r="AL13" i="4" s="1"/>
  <c r="E46" i="4"/>
  <c r="S46" i="4" s="1"/>
  <c r="F47" i="4"/>
  <c r="T47" i="4" s="1"/>
  <c r="J37" i="4"/>
  <c r="X37" i="4" s="1"/>
  <c r="G43" i="4"/>
  <c r="U43" i="4" s="1"/>
  <c r="J42" i="4"/>
  <c r="X42" i="4" s="1"/>
  <c r="E47" i="4"/>
  <c r="S47" i="4" s="1"/>
  <c r="F45" i="4"/>
  <c r="T45" i="4" s="1"/>
  <c r="B37" i="4"/>
  <c r="P37" i="4" s="1"/>
  <c r="E48" i="4"/>
  <c r="S48" i="4" s="1"/>
  <c r="F43" i="4"/>
  <c r="T43" i="4" s="1"/>
  <c r="G41" i="4"/>
  <c r="U41" i="4" s="1"/>
  <c r="G38" i="4"/>
  <c r="U38" i="4" s="1"/>
  <c r="E41" i="4"/>
  <c r="S41" i="4" s="1"/>
  <c r="B43" i="4"/>
  <c r="P43" i="4" s="1"/>
  <c r="N38" i="4"/>
  <c r="AB38" i="4" s="1"/>
  <c r="N46" i="4"/>
  <c r="AB46" i="4" s="1"/>
  <c r="AP17" i="4"/>
  <c r="AP44" i="4" s="1"/>
  <c r="X39" i="4"/>
  <c r="AL39" i="4" s="1"/>
  <c r="F46" i="4"/>
  <c r="T46" i="4" s="1"/>
  <c r="G45" i="4"/>
  <c r="U45" i="4" s="1"/>
  <c r="J38" i="4"/>
  <c r="X38" i="4" s="1"/>
  <c r="N40" i="4"/>
  <c r="AP13" i="4" s="1"/>
  <c r="N42" i="4"/>
  <c r="AB42" i="4" s="1"/>
  <c r="L48" i="4"/>
  <c r="Z48" i="4" s="1"/>
  <c r="J48" i="4"/>
  <c r="AL21" i="4" s="1"/>
  <c r="F40" i="4"/>
  <c r="AH13" i="4" s="1"/>
  <c r="K43" i="4"/>
  <c r="AM16" i="4" s="1"/>
  <c r="K41" i="4"/>
  <c r="Y41" i="4" s="1"/>
  <c r="J45" i="4"/>
  <c r="X45" i="4" s="1"/>
  <c r="B40" i="4"/>
  <c r="AD13" i="4" s="1"/>
  <c r="E39" i="4"/>
  <c r="AG12" i="4" s="1"/>
  <c r="F41" i="4"/>
  <c r="T41" i="4" s="1"/>
  <c r="F38" i="4"/>
  <c r="T38" i="4" s="1"/>
  <c r="AD11" i="4"/>
  <c r="AD38" i="4" s="1"/>
  <c r="F37" i="4"/>
  <c r="AH10" i="4" s="1"/>
  <c r="G40" i="4"/>
  <c r="U40" i="4" s="1"/>
  <c r="J43" i="4"/>
  <c r="X43" i="4" s="1"/>
  <c r="B39" i="4"/>
  <c r="P39" i="4" s="1"/>
  <c r="B46" i="4"/>
  <c r="P46" i="4" s="1"/>
  <c r="F48" i="4"/>
  <c r="T48" i="4" s="1"/>
  <c r="L39" i="4"/>
  <c r="Z39" i="4" s="1"/>
  <c r="J41" i="4"/>
  <c r="X41" i="4" s="1"/>
  <c r="N48" i="4"/>
  <c r="AB48" i="4" s="1"/>
  <c r="F42" i="4"/>
  <c r="T42" i="4" s="1"/>
  <c r="AN17" i="4"/>
  <c r="AN44" i="4" s="1"/>
  <c r="J47" i="4"/>
  <c r="AL20" i="4" s="1"/>
  <c r="K45" i="4"/>
  <c r="Y45" i="4" s="1"/>
  <c r="G37" i="4"/>
  <c r="U37" i="4" s="1"/>
  <c r="G42" i="4"/>
  <c r="U42" i="4" s="1"/>
  <c r="E45" i="4"/>
  <c r="S45" i="4" s="1"/>
  <c r="N47" i="4"/>
  <c r="AB47" i="4" s="1"/>
  <c r="B45" i="4"/>
  <c r="P45" i="4" s="1"/>
  <c r="B44" i="4"/>
  <c r="P44" i="4" s="1"/>
  <c r="H44" i="4"/>
  <c r="V44" i="4" s="1"/>
  <c r="H37" i="4"/>
  <c r="AJ10" i="4" s="1"/>
  <c r="H42" i="4"/>
  <c r="V42" i="4" s="1"/>
  <c r="M40" i="4"/>
  <c r="AA40" i="4" s="1"/>
  <c r="M46" i="4"/>
  <c r="AA46" i="4" s="1"/>
  <c r="M43" i="4"/>
  <c r="AA43" i="4" s="1"/>
  <c r="M39" i="4"/>
  <c r="AA39" i="4" s="1"/>
  <c r="M37" i="4"/>
  <c r="AA37" i="4" s="1"/>
  <c r="AA38" i="4"/>
  <c r="M45" i="4"/>
  <c r="AA45" i="4" s="1"/>
  <c r="M48" i="4"/>
  <c r="AA48" i="4" s="1"/>
  <c r="M47" i="4"/>
  <c r="AA47" i="4" s="1"/>
  <c r="M42" i="4"/>
  <c r="AA42" i="4" s="1"/>
  <c r="H49" i="4"/>
  <c r="V49" i="4" s="1"/>
  <c r="L49" i="4"/>
  <c r="Z49" i="4" s="1"/>
  <c r="I49" i="4"/>
  <c r="W49" i="4" s="1"/>
  <c r="J49" i="4"/>
  <c r="E49" i="4"/>
  <c r="S49" i="4" s="1"/>
  <c r="D49" i="4"/>
  <c r="R49" i="4" s="1"/>
  <c r="K49" i="4"/>
  <c r="Y49" i="4" s="1"/>
  <c r="G49" i="4"/>
  <c r="U49" i="4" s="1"/>
  <c r="B49" i="4"/>
  <c r="P49" i="4" s="1"/>
  <c r="C49" i="4"/>
  <c r="Q49" i="4" s="1"/>
  <c r="F49" i="4"/>
  <c r="T49" i="4" s="1"/>
  <c r="N49" i="4"/>
  <c r="AB49" i="4" s="1"/>
  <c r="M49" i="4"/>
  <c r="AA49" i="4" s="1"/>
  <c r="A50" i="4"/>
  <c r="A23" i="4"/>
  <c r="C22" i="4"/>
  <c r="M22" i="4"/>
  <c r="F22" i="4"/>
  <c r="D22" i="4"/>
  <c r="N22" i="4"/>
  <c r="G22" i="4"/>
  <c r="E22" i="4"/>
  <c r="B22" i="4"/>
  <c r="H22" i="4"/>
  <c r="I22" i="4"/>
  <c r="J22" i="4"/>
  <c r="K22" i="4"/>
  <c r="L22" i="4"/>
  <c r="AO17" i="4" l="1"/>
  <c r="AO44" i="4" s="1"/>
  <c r="Q39" i="4"/>
  <c r="AE12" i="4"/>
  <c r="P41" i="4"/>
  <c r="AD14" i="4"/>
  <c r="AF14" i="4"/>
  <c r="AF41" i="4" s="1"/>
  <c r="AF21" i="4"/>
  <c r="AF48" i="4" s="1"/>
  <c r="V38" i="4"/>
  <c r="AJ38" i="4" s="1"/>
  <c r="C23" i="5"/>
  <c r="D23" i="5" s="1"/>
  <c r="E23" i="5" s="1"/>
  <c r="F23" i="5" s="1"/>
  <c r="G23" i="5" s="1"/>
  <c r="H23" i="5" s="1"/>
  <c r="I23" i="5" s="1"/>
  <c r="J23" i="5" s="1"/>
  <c r="K23" i="5" s="1"/>
  <c r="L23" i="5" s="1"/>
  <c r="M23" i="5" s="1"/>
  <c r="N23" i="5" s="1"/>
  <c r="AF18" i="4"/>
  <c r="AF45" i="4" s="1"/>
  <c r="AE19" i="4"/>
  <c r="AE46" i="4" s="1"/>
  <c r="AE20" i="4"/>
  <c r="AE47" i="4" s="1"/>
  <c r="AF13" i="4"/>
  <c r="AF40" i="4" s="1"/>
  <c r="Y46" i="4"/>
  <c r="AM46" i="4" s="1"/>
  <c r="AJ14" i="4"/>
  <c r="AJ41" i="4" s="1"/>
  <c r="AE15" i="4"/>
  <c r="AE42" i="4" s="1"/>
  <c r="AJ21" i="4"/>
  <c r="AJ48" i="4" s="1"/>
  <c r="R46" i="4"/>
  <c r="AF19" i="4"/>
  <c r="R44" i="4"/>
  <c r="AF17" i="4"/>
  <c r="R38" i="4"/>
  <c r="AF11" i="4"/>
  <c r="AE13" i="4"/>
  <c r="AE40" i="4" s="1"/>
  <c r="W46" i="4"/>
  <c r="AK46" i="4" s="1"/>
  <c r="AF16" i="4"/>
  <c r="AF43" i="4" s="1"/>
  <c r="R42" i="4"/>
  <c r="AF15" i="4"/>
  <c r="R37" i="4"/>
  <c r="AF37" i="4" s="1"/>
  <c r="AF20" i="4"/>
  <c r="AF47" i="4" s="1"/>
  <c r="R39" i="4"/>
  <c r="AF12" i="4"/>
  <c r="AJ18" i="4"/>
  <c r="AJ45" i="4" s="1"/>
  <c r="AJ20" i="4"/>
  <c r="AJ47" i="4" s="1"/>
  <c r="AE21" i="4"/>
  <c r="AE48" i="4" s="1"/>
  <c r="AE10" i="4"/>
  <c r="AE37" i="4" s="1"/>
  <c r="W48" i="4"/>
  <c r="AK48" i="4" s="1"/>
  <c r="AE18" i="4"/>
  <c r="AE45" i="4" s="1"/>
  <c r="W39" i="4"/>
  <c r="AK39" i="4" s="1"/>
  <c r="Y48" i="4"/>
  <c r="AM48" i="4" s="1"/>
  <c r="AK15" i="4"/>
  <c r="AK42" i="4" s="1"/>
  <c r="AJ13" i="4"/>
  <c r="AJ40" i="4" s="1"/>
  <c r="AG13" i="4"/>
  <c r="AG40" i="4" s="1"/>
  <c r="AN15" i="4"/>
  <c r="AN42" i="4" s="1"/>
  <c r="AI14" i="4"/>
  <c r="AI41" i="4" s="1"/>
  <c r="AL11" i="4"/>
  <c r="AL38" i="4" s="1"/>
  <c r="AK11" i="4"/>
  <c r="AK38" i="4" s="1"/>
  <c r="AB43" i="4"/>
  <c r="AP43" i="4" s="1"/>
  <c r="AK16" i="4"/>
  <c r="AK43" i="4" s="1"/>
  <c r="AM15" i="4"/>
  <c r="AM42" i="4" s="1"/>
  <c r="AI21" i="4"/>
  <c r="AI48" i="4" s="1"/>
  <c r="AN14" i="4"/>
  <c r="AN41" i="4" s="1"/>
  <c r="AG19" i="4"/>
  <c r="AG46" i="4" s="1"/>
  <c r="AL18" i="4"/>
  <c r="AL45" i="4" s="1"/>
  <c r="AM18" i="4"/>
  <c r="AM45" i="4" s="1"/>
  <c r="AO21" i="4"/>
  <c r="AO48" i="4" s="1"/>
  <c r="AN19" i="4"/>
  <c r="AN46" i="4" s="1"/>
  <c r="AI12" i="4"/>
  <c r="AI39" i="4" s="1"/>
  <c r="AM13" i="4"/>
  <c r="AM40" i="4" s="1"/>
  <c r="AE14" i="4"/>
  <c r="AE41" i="4" s="1"/>
  <c r="AL10" i="4"/>
  <c r="AL37" i="4" s="1"/>
  <c r="AM14" i="4"/>
  <c r="AM41" i="4" s="1"/>
  <c r="AJ16" i="4"/>
  <c r="AJ43" i="4" s="1"/>
  <c r="AN16" i="4"/>
  <c r="AN43" i="4" s="1"/>
  <c r="AG15" i="4"/>
  <c r="AG42" i="4" s="1"/>
  <c r="AI10" i="4"/>
  <c r="AI37" i="4" s="1"/>
  <c r="P40" i="4"/>
  <c r="AD40" i="4" s="1"/>
  <c r="AP14" i="4"/>
  <c r="AP41" i="4" s="1"/>
  <c r="W37" i="4"/>
  <c r="AK37" i="4" s="1"/>
  <c r="Y37" i="4"/>
  <c r="AM37" i="4" s="1"/>
  <c r="AM11" i="4"/>
  <c r="AM38" i="4" s="1"/>
  <c r="AN18" i="4"/>
  <c r="AN45" i="4" s="1"/>
  <c r="AG11" i="4"/>
  <c r="AG38" i="4" s="1"/>
  <c r="W40" i="4"/>
  <c r="AK40" i="4" s="1"/>
  <c r="AI19" i="4"/>
  <c r="AI46" i="4" s="1"/>
  <c r="AP18" i="4"/>
  <c r="AP45" i="4" s="1"/>
  <c r="AM12" i="4"/>
  <c r="AM39" i="4" s="1"/>
  <c r="AD21" i="4"/>
  <c r="AD48" i="4" s="1"/>
  <c r="AD15" i="4"/>
  <c r="AD42" i="4" s="1"/>
  <c r="AE16" i="4"/>
  <c r="AE43" i="4" s="1"/>
  <c r="AG10" i="4"/>
  <c r="AG37" i="4" s="1"/>
  <c r="AD16" i="4"/>
  <c r="AD43" i="4" s="1"/>
  <c r="AP19" i="4"/>
  <c r="AP46" i="4" s="1"/>
  <c r="AI18" i="4"/>
  <c r="AI45" i="4" s="1"/>
  <c r="AJ19" i="4"/>
  <c r="AJ46" i="4" s="1"/>
  <c r="AP10" i="4"/>
  <c r="AP37" i="4" s="1"/>
  <c r="AL19" i="4"/>
  <c r="AL46" i="4" s="1"/>
  <c r="T37" i="4"/>
  <c r="AH37" i="4" s="1"/>
  <c r="AH16" i="4"/>
  <c r="AH43" i="4" s="1"/>
  <c r="AI13" i="4"/>
  <c r="AI40" i="4" s="1"/>
  <c r="AN10" i="4"/>
  <c r="AN37" i="4" s="1"/>
  <c r="AJ17" i="4"/>
  <c r="AJ44" i="4" s="1"/>
  <c r="X40" i="4"/>
  <c r="AL40" i="4" s="1"/>
  <c r="X47" i="4"/>
  <c r="AL47" i="4" s="1"/>
  <c r="S43" i="4"/>
  <c r="AG43" i="4" s="1"/>
  <c r="Z38" i="4"/>
  <c r="AN38" i="4" s="1"/>
  <c r="AP12" i="4"/>
  <c r="AP39" i="4" s="1"/>
  <c r="AD20" i="4"/>
  <c r="AD47" i="4" s="1"/>
  <c r="AB40" i="4"/>
  <c r="AP40" i="4" s="1"/>
  <c r="AD10" i="4"/>
  <c r="AD37" i="4" s="1"/>
  <c r="AO14" i="4"/>
  <c r="AO41" i="4" s="1"/>
  <c r="AK20" i="4"/>
  <c r="AK47" i="4" s="1"/>
  <c r="X48" i="4"/>
  <c r="AL48" i="4" s="1"/>
  <c r="AL17" i="4"/>
  <c r="AL44" i="4" s="1"/>
  <c r="AE11" i="4"/>
  <c r="AE38" i="4" s="1"/>
  <c r="AP15" i="4"/>
  <c r="AP42" i="4" s="1"/>
  <c r="AL16" i="4"/>
  <c r="AL43" i="4" s="1"/>
  <c r="AD19" i="4"/>
  <c r="AD46" i="4" s="1"/>
  <c r="AI20" i="4"/>
  <c r="AI47" i="4" s="1"/>
  <c r="AN12" i="4"/>
  <c r="AN39" i="4" s="1"/>
  <c r="Y47" i="4"/>
  <c r="AM47" i="4" s="1"/>
  <c r="W45" i="4"/>
  <c r="AK45" i="4" s="1"/>
  <c r="AN21" i="4"/>
  <c r="AN48" i="4" s="1"/>
  <c r="AD12" i="4"/>
  <c r="AD39" i="4" s="1"/>
  <c r="Z40" i="4"/>
  <c r="AN40" i="4" s="1"/>
  <c r="S39" i="4"/>
  <c r="AG39" i="4" s="1"/>
  <c r="AH20" i="4"/>
  <c r="AH47" i="4" s="1"/>
  <c r="AH19" i="4"/>
  <c r="AH46" i="4" s="1"/>
  <c r="AN20" i="4"/>
  <c r="AN47" i="4" s="1"/>
  <c r="AO20" i="4"/>
  <c r="AO47" i="4" s="1"/>
  <c r="W41" i="4"/>
  <c r="AK41" i="4" s="1"/>
  <c r="AG21" i="4"/>
  <c r="AG48" i="4" s="1"/>
  <c r="AH12" i="4"/>
  <c r="AH39" i="4" s="1"/>
  <c r="AI11" i="4"/>
  <c r="AI38" i="4" s="1"/>
  <c r="AP11" i="4"/>
  <c r="AP38" i="4" s="1"/>
  <c r="AH14" i="4"/>
  <c r="AH41" i="4" s="1"/>
  <c r="AH11" i="4"/>
  <c r="AH38" i="4" s="1"/>
  <c r="AG20" i="4"/>
  <c r="AG47" i="4" s="1"/>
  <c r="AJ15" i="4"/>
  <c r="AJ42" i="4" s="1"/>
  <c r="AI16" i="4"/>
  <c r="AI43" i="4" s="1"/>
  <c r="AP21" i="4"/>
  <c r="AP48" i="4" s="1"/>
  <c r="AD18" i="4"/>
  <c r="AD45" i="4" s="1"/>
  <c r="AH15" i="4"/>
  <c r="AH42" i="4" s="1"/>
  <c r="AH18" i="4"/>
  <c r="AH45" i="4" s="1"/>
  <c r="AL14" i="4"/>
  <c r="AL41" i="4" s="1"/>
  <c r="AD17" i="4"/>
  <c r="AD44" i="4" s="1"/>
  <c r="T40" i="4"/>
  <c r="AH40" i="4" s="1"/>
  <c r="Y43" i="4"/>
  <c r="AM43" i="4" s="1"/>
  <c r="AL15" i="4"/>
  <c r="AL42" i="4" s="1"/>
  <c r="AP20" i="4"/>
  <c r="AP47" i="4" s="1"/>
  <c r="AH21" i="4"/>
  <c r="AH48" i="4" s="1"/>
  <c r="AI15" i="4"/>
  <c r="AI42" i="4" s="1"/>
  <c r="AG18" i="4"/>
  <c r="AG45" i="4" s="1"/>
  <c r="AO16" i="4"/>
  <c r="AO43" i="4" s="1"/>
  <c r="AG14" i="4"/>
  <c r="AG41" i="4" s="1"/>
  <c r="AO15" i="4"/>
  <c r="AO42" i="4" s="1"/>
  <c r="V37" i="4"/>
  <c r="AJ37" i="4" s="1"/>
  <c r="AO13" i="4"/>
  <c r="AO40" i="4" s="1"/>
  <c r="AO12" i="4"/>
  <c r="AO39" i="4" s="1"/>
  <c r="AO19" i="4"/>
  <c r="AO46" i="4" s="1"/>
  <c r="AO10" i="4"/>
  <c r="AO37" i="4" s="1"/>
  <c r="AO11" i="4"/>
  <c r="AO38" i="4" s="1"/>
  <c r="AO18" i="4"/>
  <c r="AO45" i="4" s="1"/>
  <c r="AL22" i="4"/>
  <c r="X49" i="4"/>
  <c r="AK22" i="4"/>
  <c r="AM22" i="4"/>
  <c r="AN22" i="4"/>
  <c r="AN49" i="4" s="1"/>
  <c r="AE22" i="4"/>
  <c r="AE49" i="4" s="1"/>
  <c r="AO22" i="4"/>
  <c r="AO49" i="4" s="1"/>
  <c r="AP22" i="4"/>
  <c r="AH22" i="4"/>
  <c r="AG22" i="4"/>
  <c r="AI22" i="4"/>
  <c r="AJ22" i="4"/>
  <c r="AF22" i="4"/>
  <c r="AD22" i="4"/>
  <c r="J50" i="4"/>
  <c r="H50" i="4"/>
  <c r="V50" i="4" s="1"/>
  <c r="E50" i="4"/>
  <c r="S50" i="4" s="1"/>
  <c r="I50" i="4"/>
  <c r="W50" i="4" s="1"/>
  <c r="G50" i="4"/>
  <c r="U50" i="4" s="1"/>
  <c r="B50" i="4"/>
  <c r="P50" i="4" s="1"/>
  <c r="M50" i="4"/>
  <c r="AA50" i="4" s="1"/>
  <c r="C50" i="4"/>
  <c r="Q50" i="4" s="1"/>
  <c r="L50" i="4"/>
  <c r="Z50" i="4" s="1"/>
  <c r="K50" i="4"/>
  <c r="N50" i="4"/>
  <c r="AB50" i="4" s="1"/>
  <c r="F50" i="4"/>
  <c r="T50" i="4" s="1"/>
  <c r="D50" i="4"/>
  <c r="R50" i="4" s="1"/>
  <c r="A51" i="4"/>
  <c r="A24" i="4"/>
  <c r="E23" i="4"/>
  <c r="B23" i="4"/>
  <c r="I23" i="4"/>
  <c r="F23" i="4"/>
  <c r="G23" i="4"/>
  <c r="H23" i="4"/>
  <c r="J23" i="4"/>
  <c r="M23" i="4"/>
  <c r="D23" i="4"/>
  <c r="N23" i="4"/>
  <c r="C23" i="4"/>
  <c r="K23" i="4"/>
  <c r="L23" i="4"/>
  <c r="AE39" i="4" l="1"/>
  <c r="AD41" i="4"/>
  <c r="AF42" i="4"/>
  <c r="AF46" i="4"/>
  <c r="AF44" i="4"/>
  <c r="AF38" i="4"/>
  <c r="AF39" i="4"/>
  <c r="AL49" i="4"/>
  <c r="AM23" i="4"/>
  <c r="Y50" i="4"/>
  <c r="AL23" i="4"/>
  <c r="X50" i="4"/>
  <c r="AK49" i="4"/>
  <c r="AM49" i="4"/>
  <c r="AK23" i="4"/>
  <c r="AN23" i="4"/>
  <c r="AN50" i="4" s="1"/>
  <c r="AE23" i="4"/>
  <c r="AE50" i="4" s="1"/>
  <c r="AO23" i="4"/>
  <c r="AO50" i="4" s="1"/>
  <c r="AJ23" i="4"/>
  <c r="AJ49" i="4"/>
  <c r="AH23" i="4"/>
  <c r="AH49" i="4"/>
  <c r="AF23" i="4"/>
  <c r="AF49" i="4"/>
  <c r="AG23" i="4"/>
  <c r="AG49" i="4"/>
  <c r="AI23" i="4"/>
  <c r="AI49" i="4"/>
  <c r="AP23" i="4"/>
  <c r="AP49" i="4"/>
  <c r="AD23" i="4"/>
  <c r="AD49" i="4"/>
  <c r="H51" i="4"/>
  <c r="V51" i="4" s="1"/>
  <c r="B51" i="4"/>
  <c r="P51" i="4" s="1"/>
  <c r="I51" i="4"/>
  <c r="J51" i="4"/>
  <c r="K51" i="4"/>
  <c r="N51" i="4"/>
  <c r="AB51" i="4" s="1"/>
  <c r="L51" i="4"/>
  <c r="Z51" i="4" s="1"/>
  <c r="E51" i="4"/>
  <c r="S51" i="4" s="1"/>
  <c r="D51" i="4"/>
  <c r="R51" i="4" s="1"/>
  <c r="F51" i="4"/>
  <c r="T51" i="4" s="1"/>
  <c r="G51" i="4"/>
  <c r="U51" i="4" s="1"/>
  <c r="M51" i="4"/>
  <c r="AA51" i="4" s="1"/>
  <c r="C51" i="4"/>
  <c r="Q51" i="4" s="1"/>
  <c r="A52" i="4"/>
  <c r="A25" i="4"/>
  <c r="G24" i="4"/>
  <c r="H24" i="4"/>
  <c r="J24" i="4"/>
  <c r="I24" i="4"/>
  <c r="B24" i="4"/>
  <c r="K24" i="4"/>
  <c r="L24" i="4"/>
  <c r="C24" i="4"/>
  <c r="N24" i="4"/>
  <c r="D24" i="4"/>
  <c r="E24" i="4"/>
  <c r="F24" i="4"/>
  <c r="M24" i="4"/>
  <c r="AL50" i="4" l="1"/>
  <c r="AM50" i="4"/>
  <c r="AM24" i="4"/>
  <c r="Y51" i="4"/>
  <c r="AL24" i="4"/>
  <c r="X51" i="4"/>
  <c r="AK24" i="4"/>
  <c r="W51" i="4"/>
  <c r="AK50" i="4"/>
  <c r="AE24" i="4"/>
  <c r="AE51" i="4" s="1"/>
  <c r="AN24" i="4"/>
  <c r="AN51" i="4" s="1"/>
  <c r="AO24" i="4"/>
  <c r="AO51" i="4" s="1"/>
  <c r="AH24" i="4"/>
  <c r="AH50" i="4"/>
  <c r="AG24" i="4"/>
  <c r="AG50" i="4"/>
  <c r="AI24" i="4"/>
  <c r="AI50" i="4"/>
  <c r="AJ24" i="4"/>
  <c r="AJ50" i="4"/>
  <c r="AP24" i="4"/>
  <c r="AP50" i="4"/>
  <c r="AF24" i="4"/>
  <c r="AF50" i="4"/>
  <c r="AD24" i="4"/>
  <c r="AD50" i="4"/>
  <c r="H52" i="4"/>
  <c r="V52" i="4" s="1"/>
  <c r="I52" i="4"/>
  <c r="J52" i="4"/>
  <c r="M52" i="4"/>
  <c r="AA52" i="4" s="1"/>
  <c r="L52" i="4"/>
  <c r="Z52" i="4" s="1"/>
  <c r="C52" i="4"/>
  <c r="Q52" i="4" s="1"/>
  <c r="B52" i="4"/>
  <c r="P52" i="4" s="1"/>
  <c r="K52" i="4"/>
  <c r="Y52" i="4" s="1"/>
  <c r="D52" i="4"/>
  <c r="R52" i="4" s="1"/>
  <c r="N52" i="4"/>
  <c r="AB52" i="4" s="1"/>
  <c r="E52" i="4"/>
  <c r="S52" i="4" s="1"/>
  <c r="G52" i="4"/>
  <c r="U52" i="4" s="1"/>
  <c r="F52" i="4"/>
  <c r="T52" i="4" s="1"/>
  <c r="A53" i="4"/>
  <c r="A26" i="4"/>
  <c r="I25" i="4"/>
  <c r="L25" i="4"/>
  <c r="C25" i="4"/>
  <c r="J25" i="4"/>
  <c r="B25" i="4"/>
  <c r="K25" i="4"/>
  <c r="M25" i="4"/>
  <c r="D25" i="4"/>
  <c r="N25" i="4"/>
  <c r="E25" i="4"/>
  <c r="G25" i="4"/>
  <c r="F25" i="4"/>
  <c r="H25" i="4"/>
  <c r="AM51" i="4" l="1"/>
  <c r="AL51" i="4"/>
  <c r="AK51" i="4"/>
  <c r="AK25" i="4"/>
  <c r="W52" i="4"/>
  <c r="AL25" i="4"/>
  <c r="X52" i="4"/>
  <c r="AM25" i="4"/>
  <c r="AE25" i="4"/>
  <c r="AE52" i="4" s="1"/>
  <c r="AO25" i="4"/>
  <c r="AO52" i="4" s="1"/>
  <c r="AN25" i="4"/>
  <c r="AN52" i="4" s="1"/>
  <c r="AP25" i="4"/>
  <c r="AP51" i="4"/>
  <c r="AJ25" i="4"/>
  <c r="AJ51" i="4"/>
  <c r="AI25" i="4"/>
  <c r="AI51" i="4"/>
  <c r="AF25" i="4"/>
  <c r="AF51" i="4"/>
  <c r="AG25" i="4"/>
  <c r="AG51" i="4"/>
  <c r="AH25" i="4"/>
  <c r="AH51" i="4"/>
  <c r="AD25" i="4"/>
  <c r="AD51" i="4"/>
  <c r="I53" i="4"/>
  <c r="J53" i="4"/>
  <c r="K53" i="4"/>
  <c r="C53" i="4"/>
  <c r="Q53" i="4" s="1"/>
  <c r="N53" i="4"/>
  <c r="AB53" i="4" s="1"/>
  <c r="B53" i="4"/>
  <c r="P53" i="4" s="1"/>
  <c r="M53" i="4"/>
  <c r="AA53" i="4" s="1"/>
  <c r="L53" i="4"/>
  <c r="Z53" i="4" s="1"/>
  <c r="H53" i="4"/>
  <c r="V53" i="4" s="1"/>
  <c r="E53" i="4"/>
  <c r="S53" i="4" s="1"/>
  <c r="D53" i="4"/>
  <c r="R53" i="4" s="1"/>
  <c r="F53" i="4"/>
  <c r="T53" i="4" s="1"/>
  <c r="G53" i="4"/>
  <c r="U53" i="4" s="1"/>
  <c r="A54" i="4"/>
  <c r="A27" i="4"/>
  <c r="K26" i="4"/>
  <c r="B26" i="4"/>
  <c r="L26" i="4"/>
  <c r="N26" i="4"/>
  <c r="E26" i="4"/>
  <c r="C26" i="4"/>
  <c r="M26" i="4"/>
  <c r="D26" i="4"/>
  <c r="F26" i="4"/>
  <c r="J26" i="4"/>
  <c r="G26" i="4"/>
  <c r="H26" i="4"/>
  <c r="I26" i="4"/>
  <c r="AL52" i="4" l="1"/>
  <c r="AM26" i="4"/>
  <c r="Y53" i="4"/>
  <c r="AK26" i="4"/>
  <c r="W53" i="4"/>
  <c r="AL26" i="4"/>
  <c r="X53" i="4"/>
  <c r="AM52" i="4"/>
  <c r="AO26" i="4"/>
  <c r="AO53" i="4" s="1"/>
  <c r="AN26" i="4"/>
  <c r="AN53" i="4" s="1"/>
  <c r="AE26" i="4"/>
  <c r="AE53" i="4" s="1"/>
  <c r="AI26" i="4"/>
  <c r="AI52" i="4"/>
  <c r="AH26" i="4"/>
  <c r="AH52" i="4"/>
  <c r="AJ26" i="4"/>
  <c r="AJ52" i="4"/>
  <c r="AF26" i="4"/>
  <c r="AF52" i="4"/>
  <c r="AG26" i="4"/>
  <c r="AG52" i="4"/>
  <c r="AK52" i="4"/>
  <c r="AP26" i="4"/>
  <c r="AP52" i="4"/>
  <c r="AD26" i="4"/>
  <c r="AD52" i="4"/>
  <c r="M54" i="4"/>
  <c r="AA54" i="4" s="1"/>
  <c r="C54" i="4"/>
  <c r="Q54" i="4" s="1"/>
  <c r="E54" i="4"/>
  <c r="S54" i="4" s="1"/>
  <c r="F54" i="4"/>
  <c r="T54" i="4" s="1"/>
  <c r="G54" i="4"/>
  <c r="U54" i="4" s="1"/>
  <c r="H54" i="4"/>
  <c r="V54" i="4" s="1"/>
  <c r="I54" i="4"/>
  <c r="W54" i="4" s="1"/>
  <c r="L54" i="4"/>
  <c r="Z54" i="4" s="1"/>
  <c r="J54" i="4"/>
  <c r="X54" i="4" s="1"/>
  <c r="B54" i="4"/>
  <c r="P54" i="4" s="1"/>
  <c r="N54" i="4"/>
  <c r="AB54" i="4" s="1"/>
  <c r="K54" i="4"/>
  <c r="D54" i="4"/>
  <c r="R54" i="4" s="1"/>
  <c r="A55" i="4"/>
  <c r="A28" i="4"/>
  <c r="C27" i="4"/>
  <c r="M27" i="4"/>
  <c r="D27" i="4"/>
  <c r="N27" i="4"/>
  <c r="E27" i="4"/>
  <c r="F27" i="4"/>
  <c r="G27" i="4"/>
  <c r="H27" i="4"/>
  <c r="I27" i="4"/>
  <c r="K27" i="4"/>
  <c r="L27" i="4"/>
  <c r="B27" i="4"/>
  <c r="J27" i="4"/>
  <c r="AM53" i="4" l="1"/>
  <c r="AK53" i="4"/>
  <c r="AL53" i="4"/>
  <c r="AM27" i="4"/>
  <c r="Y54" i="4"/>
  <c r="AK27" i="4"/>
  <c r="AL27" i="4"/>
  <c r="AO27" i="4"/>
  <c r="AO54" i="4" s="1"/>
  <c r="AE27" i="4"/>
  <c r="AE54" i="4" s="1"/>
  <c r="AN27" i="4"/>
  <c r="AN54" i="4" s="1"/>
  <c r="AG27" i="4"/>
  <c r="AG53" i="4"/>
  <c r="AP27" i="4"/>
  <c r="AP53" i="4"/>
  <c r="AJ27" i="4"/>
  <c r="AJ53" i="4"/>
  <c r="AH27" i="4"/>
  <c r="AH53" i="4"/>
  <c r="AF27" i="4"/>
  <c r="AF53" i="4"/>
  <c r="AI27" i="4"/>
  <c r="AI53" i="4"/>
  <c r="AD27" i="4"/>
  <c r="AD53" i="4"/>
  <c r="J55" i="4"/>
  <c r="X55" i="4" s="1"/>
  <c r="H55" i="4"/>
  <c r="V55" i="4" s="1"/>
  <c r="I55" i="4"/>
  <c r="B55" i="4"/>
  <c r="P55" i="4" s="1"/>
  <c r="D55" i="4"/>
  <c r="R55" i="4" s="1"/>
  <c r="C55" i="4"/>
  <c r="Q55" i="4" s="1"/>
  <c r="K55" i="4"/>
  <c r="Y55" i="4" s="1"/>
  <c r="M55" i="4"/>
  <c r="AA55" i="4" s="1"/>
  <c r="F55" i="4"/>
  <c r="T55" i="4" s="1"/>
  <c r="L55" i="4"/>
  <c r="Z55" i="4" s="1"/>
  <c r="G55" i="4"/>
  <c r="U55" i="4" s="1"/>
  <c r="N55" i="4"/>
  <c r="AB55" i="4" s="1"/>
  <c r="E55" i="4"/>
  <c r="S55" i="4" s="1"/>
  <c r="A56" i="4"/>
  <c r="A29" i="4"/>
  <c r="E28" i="4"/>
  <c r="H28" i="4"/>
  <c r="F28" i="4"/>
  <c r="G28" i="4"/>
  <c r="I28" i="4"/>
  <c r="J28" i="4"/>
  <c r="K28" i="4"/>
  <c r="N28" i="4"/>
  <c r="C28" i="4"/>
  <c r="B28" i="4"/>
  <c r="M28" i="4"/>
  <c r="D28" i="4"/>
  <c r="L28" i="4"/>
  <c r="AM54" i="4" l="1"/>
  <c r="AK28" i="4"/>
  <c r="W55" i="4"/>
  <c r="AL54" i="4"/>
  <c r="AK54" i="4"/>
  <c r="AM28" i="4"/>
  <c r="AL28" i="4"/>
  <c r="AO28" i="4"/>
  <c r="AO55" i="4" s="1"/>
  <c r="AN28" i="4"/>
  <c r="AN55" i="4" s="1"/>
  <c r="AE28" i="4"/>
  <c r="AE55" i="4" s="1"/>
  <c r="AI28" i="4"/>
  <c r="AI54" i="4"/>
  <c r="AP28" i="4"/>
  <c r="AP54" i="4"/>
  <c r="AJ28" i="4"/>
  <c r="AJ54" i="4"/>
  <c r="AH28" i="4"/>
  <c r="AH54" i="4"/>
  <c r="AF28" i="4"/>
  <c r="AF54" i="4"/>
  <c r="AG28" i="4"/>
  <c r="AG54" i="4"/>
  <c r="AD28" i="4"/>
  <c r="AD54" i="4"/>
  <c r="H56" i="4"/>
  <c r="V56" i="4" s="1"/>
  <c r="K56" i="4"/>
  <c r="I56" i="4"/>
  <c r="W56" i="4" s="1"/>
  <c r="J56" i="4"/>
  <c r="X56" i="4" s="1"/>
  <c r="B56" i="4"/>
  <c r="P56" i="4" s="1"/>
  <c r="M56" i="4"/>
  <c r="AA56" i="4" s="1"/>
  <c r="F56" i="4"/>
  <c r="T56" i="4" s="1"/>
  <c r="D56" i="4"/>
  <c r="R56" i="4" s="1"/>
  <c r="C56" i="4"/>
  <c r="Q56" i="4" s="1"/>
  <c r="L56" i="4"/>
  <c r="Z56" i="4" s="1"/>
  <c r="E56" i="4"/>
  <c r="S56" i="4" s="1"/>
  <c r="G56" i="4"/>
  <c r="U56" i="4" s="1"/>
  <c r="N56" i="4"/>
  <c r="AB56" i="4" s="1"/>
  <c r="A57" i="4"/>
  <c r="A30" i="4"/>
  <c r="G29" i="4"/>
  <c r="K29" i="4"/>
  <c r="H29" i="4"/>
  <c r="J29" i="4"/>
  <c r="I29" i="4"/>
  <c r="L29" i="4"/>
  <c r="M29" i="4"/>
  <c r="C29" i="4"/>
  <c r="D29" i="4"/>
  <c r="B29" i="4"/>
  <c r="E29" i="4"/>
  <c r="F29" i="4"/>
  <c r="N29" i="4"/>
  <c r="AM29" i="4" l="1"/>
  <c r="Y56" i="4"/>
  <c r="AN29" i="4"/>
  <c r="AN56" i="4" s="1"/>
  <c r="AL55" i="4"/>
  <c r="AM55" i="4"/>
  <c r="AO29" i="4"/>
  <c r="AO56" i="4" s="1"/>
  <c r="AL29" i="4"/>
  <c r="AK29" i="4"/>
  <c r="AE29" i="4"/>
  <c r="AE56" i="4" s="1"/>
  <c r="AH29" i="4"/>
  <c r="AH55" i="4"/>
  <c r="AF29" i="4"/>
  <c r="AF55" i="4"/>
  <c r="AG29" i="4"/>
  <c r="AG55" i="4"/>
  <c r="AI29" i="4"/>
  <c r="AI55" i="4"/>
  <c r="AJ29" i="4"/>
  <c r="AJ55" i="4"/>
  <c r="AP29" i="4"/>
  <c r="AP55" i="4"/>
  <c r="AK55" i="4"/>
  <c r="AD29" i="4"/>
  <c r="AD55" i="4"/>
  <c r="H57" i="4"/>
  <c r="V57" i="4" s="1"/>
  <c r="I57" i="4"/>
  <c r="J57" i="4"/>
  <c r="C57" i="4"/>
  <c r="Q57" i="4" s="1"/>
  <c r="N57" i="4"/>
  <c r="AB57" i="4" s="1"/>
  <c r="K57" i="4"/>
  <c r="Y57" i="4" s="1"/>
  <c r="M57" i="4"/>
  <c r="AA57" i="4" s="1"/>
  <c r="L57" i="4"/>
  <c r="Z57" i="4" s="1"/>
  <c r="D57" i="4"/>
  <c r="R57" i="4" s="1"/>
  <c r="G57" i="4"/>
  <c r="U57" i="4" s="1"/>
  <c r="E57" i="4"/>
  <c r="S57" i="4" s="1"/>
  <c r="F57" i="4"/>
  <c r="T57" i="4" s="1"/>
  <c r="B57" i="4"/>
  <c r="P57" i="4" s="1"/>
  <c r="A58" i="4"/>
  <c r="A31" i="4"/>
  <c r="I30" i="4"/>
  <c r="J30" i="4"/>
  <c r="C30" i="4"/>
  <c r="K30" i="4"/>
  <c r="L30" i="4"/>
  <c r="M30" i="4"/>
  <c r="D30" i="4"/>
  <c r="N30" i="4"/>
  <c r="E30" i="4"/>
  <c r="B30" i="4"/>
  <c r="G30" i="4"/>
  <c r="H30" i="4"/>
  <c r="F30" i="4"/>
  <c r="AM56" i="4" l="1"/>
  <c r="AL30" i="4"/>
  <c r="X57" i="4"/>
  <c r="AK30" i="4"/>
  <c r="W57" i="4"/>
  <c r="AL56" i="4"/>
  <c r="AK56" i="4"/>
  <c r="AM30" i="4"/>
  <c r="AE30" i="4"/>
  <c r="AE57" i="4" s="1"/>
  <c r="AN30" i="4"/>
  <c r="AN57" i="4" s="1"/>
  <c r="AO30" i="4"/>
  <c r="AO57" i="4" s="1"/>
  <c r="AF30" i="4"/>
  <c r="AF56" i="4"/>
  <c r="AJ30" i="4"/>
  <c r="AJ56" i="4"/>
  <c r="AI30" i="4"/>
  <c r="AI56" i="4"/>
  <c r="AG30" i="4"/>
  <c r="AG56" i="4"/>
  <c r="AH30" i="4"/>
  <c r="AH56" i="4"/>
  <c r="AP30" i="4"/>
  <c r="AP56" i="4"/>
  <c r="AD30" i="4"/>
  <c r="AD56" i="4"/>
  <c r="I58" i="4"/>
  <c r="J58" i="4"/>
  <c r="K58" i="4"/>
  <c r="M58" i="4"/>
  <c r="AA58" i="4" s="1"/>
  <c r="E58" i="4"/>
  <c r="S58" i="4" s="1"/>
  <c r="D58" i="4"/>
  <c r="R58" i="4" s="1"/>
  <c r="F58" i="4"/>
  <c r="T58" i="4" s="1"/>
  <c r="C58" i="4"/>
  <c r="Q58" i="4" s="1"/>
  <c r="B58" i="4"/>
  <c r="P58" i="4" s="1"/>
  <c r="L58" i="4"/>
  <c r="Z58" i="4" s="1"/>
  <c r="H58" i="4"/>
  <c r="V58" i="4" s="1"/>
  <c r="G58" i="4"/>
  <c r="U58" i="4" s="1"/>
  <c r="N58" i="4"/>
  <c r="AB58" i="4" s="1"/>
  <c r="A59" i="4"/>
  <c r="A32" i="4"/>
  <c r="K31" i="4"/>
  <c r="N31" i="4"/>
  <c r="L31" i="4"/>
  <c r="C31" i="4"/>
  <c r="M31" i="4"/>
  <c r="D31" i="4"/>
  <c r="E31" i="4"/>
  <c r="F31" i="4"/>
  <c r="B31" i="4"/>
  <c r="G31" i="4"/>
  <c r="J31" i="4"/>
  <c r="H31" i="4"/>
  <c r="I31" i="4"/>
  <c r="AL57" i="4" l="1"/>
  <c r="AK57" i="4"/>
  <c r="AM31" i="4"/>
  <c r="Y58" i="4"/>
  <c r="AL31" i="4"/>
  <c r="X58" i="4"/>
  <c r="AK31" i="4"/>
  <c r="W58" i="4"/>
  <c r="AM57" i="4"/>
  <c r="AE31" i="4"/>
  <c r="AE58" i="4" s="1"/>
  <c r="AO31" i="4"/>
  <c r="AO58" i="4" s="1"/>
  <c r="AN31" i="4"/>
  <c r="AN58" i="4" s="1"/>
  <c r="AH31" i="4"/>
  <c r="AH57" i="4"/>
  <c r="AG31" i="4"/>
  <c r="AG57" i="4"/>
  <c r="AI31" i="4"/>
  <c r="AI57" i="4"/>
  <c r="AP31" i="4"/>
  <c r="AP57" i="4"/>
  <c r="AF31" i="4"/>
  <c r="AF57" i="4"/>
  <c r="AJ31" i="4"/>
  <c r="AJ57" i="4"/>
  <c r="AD31" i="4"/>
  <c r="AD57" i="4"/>
  <c r="C59" i="4"/>
  <c r="Q59" i="4" s="1"/>
  <c r="M59" i="4"/>
  <c r="AA59" i="4" s="1"/>
  <c r="H59" i="4"/>
  <c r="V59" i="4" s="1"/>
  <c r="N59" i="4"/>
  <c r="AB59" i="4" s="1"/>
  <c r="E59" i="4"/>
  <c r="S59" i="4" s="1"/>
  <c r="L59" i="4"/>
  <c r="Z59" i="4" s="1"/>
  <c r="I59" i="4"/>
  <c r="B59" i="4"/>
  <c r="P59" i="4" s="1"/>
  <c r="D59" i="4"/>
  <c r="R59" i="4" s="1"/>
  <c r="J59" i="4"/>
  <c r="X59" i="4" s="1"/>
  <c r="G59" i="4"/>
  <c r="U59" i="4" s="1"/>
  <c r="K59" i="4"/>
  <c r="F59" i="4"/>
  <c r="T59" i="4" s="1"/>
  <c r="A60" i="4"/>
  <c r="A33" i="4"/>
  <c r="C32" i="4"/>
  <c r="M32" i="4"/>
  <c r="B32" i="4"/>
  <c r="D32" i="4"/>
  <c r="N32" i="4"/>
  <c r="F32" i="4"/>
  <c r="E32" i="4"/>
  <c r="G32" i="4"/>
  <c r="H32" i="4"/>
  <c r="I32" i="4"/>
  <c r="J32" i="4"/>
  <c r="K32" i="4"/>
  <c r="L32" i="4"/>
  <c r="AL58" i="4" l="1"/>
  <c r="AM58" i="4"/>
  <c r="AK58" i="4"/>
  <c r="AM32" i="4"/>
  <c r="Y59" i="4"/>
  <c r="AK32" i="4"/>
  <c r="W59" i="4"/>
  <c r="AL32" i="4"/>
  <c r="AO32" i="4"/>
  <c r="AO59" i="4" s="1"/>
  <c r="AE32" i="4"/>
  <c r="AE59" i="4" s="1"/>
  <c r="AN32" i="4"/>
  <c r="AN59" i="4" s="1"/>
  <c r="AF32" i="4"/>
  <c r="AF58" i="4"/>
  <c r="AI32" i="4"/>
  <c r="AI58" i="4"/>
  <c r="AG32" i="4"/>
  <c r="AG58" i="4"/>
  <c r="AP32" i="4"/>
  <c r="AP58" i="4"/>
  <c r="AJ32" i="4"/>
  <c r="AJ58" i="4"/>
  <c r="AH32" i="4"/>
  <c r="AH58" i="4"/>
  <c r="AD32" i="4"/>
  <c r="AD58" i="4"/>
  <c r="I60" i="4"/>
  <c r="W60" i="4" s="1"/>
  <c r="J60" i="4"/>
  <c r="G60" i="4"/>
  <c r="U60" i="4" s="1"/>
  <c r="H60" i="4"/>
  <c r="V60" i="4" s="1"/>
  <c r="K60" i="4"/>
  <c r="L60" i="4"/>
  <c r="Z60" i="4" s="1"/>
  <c r="C60" i="4"/>
  <c r="Q60" i="4" s="1"/>
  <c r="D60" i="4"/>
  <c r="R60" i="4" s="1"/>
  <c r="B60" i="4"/>
  <c r="P60" i="4" s="1"/>
  <c r="N60" i="4"/>
  <c r="AB60" i="4" s="1"/>
  <c r="M60" i="4"/>
  <c r="AA60" i="4" s="1"/>
  <c r="E60" i="4"/>
  <c r="S60" i="4" s="1"/>
  <c r="F60" i="4"/>
  <c r="T60" i="4" s="1"/>
  <c r="A61" i="4"/>
  <c r="E33" i="4"/>
  <c r="H33" i="4"/>
  <c r="F33" i="4"/>
  <c r="A34" i="4"/>
  <c r="G33" i="4"/>
  <c r="I33" i="4"/>
  <c r="B33" i="4"/>
  <c r="J33" i="4"/>
  <c r="K33" i="4"/>
  <c r="N33" i="4"/>
  <c r="D33" i="4"/>
  <c r="L33" i="4"/>
  <c r="C33" i="4"/>
  <c r="M33" i="4"/>
  <c r="AM59" i="4" l="1"/>
  <c r="AK59" i="4"/>
  <c r="AL33" i="4"/>
  <c r="X60" i="4"/>
  <c r="AM33" i="4"/>
  <c r="Y60" i="4"/>
  <c r="AN33" i="4"/>
  <c r="AN60" i="4" s="1"/>
  <c r="AL59" i="4"/>
  <c r="AK33" i="4"/>
  <c r="AO33" i="4"/>
  <c r="AO60" i="4" s="1"/>
  <c r="AE33" i="4"/>
  <c r="AE60" i="4" s="1"/>
  <c r="AH33" i="4"/>
  <c r="AH59" i="4"/>
  <c r="AJ33" i="4"/>
  <c r="AJ59" i="4"/>
  <c r="AI33" i="4"/>
  <c r="AI59" i="4"/>
  <c r="AP33" i="4"/>
  <c r="AP59" i="4"/>
  <c r="AG33" i="4"/>
  <c r="AG59" i="4"/>
  <c r="AF33" i="4"/>
  <c r="AF59" i="4"/>
  <c r="AD33" i="4"/>
  <c r="AD59" i="4"/>
  <c r="H61" i="4"/>
  <c r="V61" i="4" s="1"/>
  <c r="L61" i="4"/>
  <c r="Z61" i="4" s="1"/>
  <c r="K61" i="4"/>
  <c r="I61" i="4"/>
  <c r="J61" i="4"/>
  <c r="X61" i="4" s="1"/>
  <c r="F61" i="4"/>
  <c r="T61" i="4" s="1"/>
  <c r="D61" i="4"/>
  <c r="R61" i="4" s="1"/>
  <c r="B61" i="4"/>
  <c r="P61" i="4" s="1"/>
  <c r="E61" i="4"/>
  <c r="S61" i="4" s="1"/>
  <c r="G61" i="4"/>
  <c r="U61" i="4" s="1"/>
  <c r="M61" i="4"/>
  <c r="AA61" i="4" s="1"/>
  <c r="N61" i="4"/>
  <c r="AB61" i="4" s="1"/>
  <c r="C61" i="4"/>
  <c r="Q61" i="4" s="1"/>
  <c r="G34" i="4"/>
  <c r="B34" i="4"/>
  <c r="H34" i="4"/>
  <c r="I34" i="4"/>
  <c r="J34" i="4"/>
  <c r="K34" i="4"/>
  <c r="L34" i="4"/>
  <c r="C34" i="4"/>
  <c r="M34" i="4"/>
  <c r="D34" i="4"/>
  <c r="N34" i="4"/>
  <c r="E34" i="4"/>
  <c r="F34" i="4"/>
  <c r="AL60" i="4" l="1"/>
  <c r="AM60" i="4"/>
  <c r="AM34" i="4"/>
  <c r="Y61" i="4"/>
  <c r="AK34" i="4"/>
  <c r="W61" i="4"/>
  <c r="AK60" i="4"/>
  <c r="AL34" i="4"/>
  <c r="AN34" i="4"/>
  <c r="AN61" i="4" s="1"/>
  <c r="AO34" i="4"/>
  <c r="AO61" i="4" s="1"/>
  <c r="AE34" i="4"/>
  <c r="AE61" i="4" s="1"/>
  <c r="AH60" i="4"/>
  <c r="AP60" i="4"/>
  <c r="AI60" i="4"/>
  <c r="AF60" i="4"/>
  <c r="AG60" i="4"/>
  <c r="AJ60" i="4"/>
  <c r="AD60" i="4"/>
  <c r="AM61" i="4" l="1"/>
  <c r="AK61" i="4"/>
  <c r="AL61" i="4"/>
  <c r="AG34" i="4"/>
  <c r="AG61" i="4" s="1"/>
  <c r="AH34" i="4"/>
  <c r="AH61" i="4" s="1"/>
  <c r="AF34" i="4"/>
  <c r="AF61" i="4" s="1"/>
  <c r="AP34" i="4"/>
  <c r="AP61" i="4" s="1"/>
  <c r="AJ34" i="4"/>
  <c r="AJ61" i="4" s="1"/>
  <c r="AI34" i="4"/>
  <c r="AI61" i="4" s="1"/>
  <c r="AD34" i="4"/>
  <c r="AD61" i="4" s="1"/>
  <c r="H8" i="2"/>
  <c r="I8" i="2" s="1"/>
  <c r="H6" i="2"/>
  <c r="I6" i="2" s="1"/>
  <c r="B77" i="5"/>
  <c r="B79" i="5" s="1"/>
  <c r="E25" i="5" l="1"/>
  <c r="C25" i="5"/>
  <c r="H10" i="5"/>
  <c r="E10" i="5"/>
  <c r="B10" i="5"/>
  <c r="I10" i="5"/>
  <c r="L10" i="5"/>
  <c r="M10" i="5"/>
  <c r="C10" i="5"/>
  <c r="G10" i="5"/>
  <c r="K10" i="5"/>
  <c r="N10" i="5"/>
  <c r="D10" i="5"/>
  <c r="F10" i="5"/>
  <c r="J10" i="5"/>
  <c r="I25" i="5"/>
  <c r="H25" i="5"/>
  <c r="K25" i="5"/>
  <c r="B76" i="5"/>
  <c r="B78" i="5" s="1"/>
  <c r="J25" i="5"/>
  <c r="N25" i="5"/>
  <c r="M25" i="5"/>
  <c r="D25" i="5"/>
  <c r="G25" i="5"/>
  <c r="F25" i="5"/>
  <c r="L25" i="5"/>
  <c r="B25" i="5"/>
  <c r="M9" i="5" l="1"/>
  <c r="D9" i="5"/>
  <c r="B9" i="5"/>
  <c r="L9" i="5"/>
  <c r="K9" i="5"/>
  <c r="H9" i="5"/>
  <c r="G9" i="5"/>
  <c r="J9" i="5"/>
  <c r="E9" i="5"/>
  <c r="I9" i="5"/>
  <c r="F9" i="5"/>
  <c r="N9" i="5"/>
  <c r="C9" i="5"/>
  <c r="M14" i="5"/>
  <c r="M16" i="5"/>
  <c r="M18" i="5"/>
  <c r="M12" i="5"/>
  <c r="E12" i="5"/>
  <c r="E16" i="5"/>
  <c r="E18" i="5"/>
  <c r="E14" i="5"/>
  <c r="N12" i="5"/>
  <c r="N18" i="5"/>
  <c r="N16" i="5"/>
  <c r="N14" i="5"/>
  <c r="K18" i="5"/>
  <c r="K12" i="5"/>
  <c r="K14" i="5"/>
  <c r="K16" i="5"/>
  <c r="G18" i="5"/>
  <c r="G16" i="5"/>
  <c r="G14" i="5"/>
  <c r="G12" i="5"/>
  <c r="C18" i="5"/>
  <c r="C16" i="5"/>
  <c r="C14" i="5"/>
  <c r="C12" i="5"/>
  <c r="L16" i="5"/>
  <c r="L14" i="5"/>
  <c r="L12" i="5"/>
  <c r="L18" i="5"/>
  <c r="I16" i="5"/>
  <c r="I18" i="5"/>
  <c r="I14" i="5"/>
  <c r="I12" i="5"/>
  <c r="J12" i="5"/>
  <c r="J14" i="5"/>
  <c r="J18" i="5"/>
  <c r="J16" i="5"/>
  <c r="B16" i="5"/>
  <c r="B12" i="5"/>
  <c r="B14" i="5"/>
  <c r="B18" i="5"/>
  <c r="F14" i="5"/>
  <c r="F16" i="5"/>
  <c r="F12" i="5"/>
  <c r="F18" i="5"/>
  <c r="D12" i="5"/>
  <c r="D16" i="5"/>
  <c r="D14" i="5"/>
  <c r="D18" i="5"/>
  <c r="H16" i="5"/>
  <c r="H12" i="5"/>
  <c r="H14" i="5"/>
  <c r="H18" i="5"/>
  <c r="M20" i="5" l="1"/>
  <c r="M22" i="5" s="1"/>
  <c r="M32" i="5" s="1"/>
  <c r="M34" i="5" s="1"/>
  <c r="M36" i="5" s="1"/>
  <c r="N20" i="5"/>
  <c r="N22" i="5" s="1"/>
  <c r="N32" i="5" s="1"/>
  <c r="N34" i="5" s="1"/>
  <c r="N36" i="5" s="1"/>
  <c r="I20" i="5"/>
  <c r="I22" i="5" s="1"/>
  <c r="I32" i="5" s="1"/>
  <c r="I34" i="5" s="1"/>
  <c r="I36" i="5" s="1"/>
  <c r="C20" i="5"/>
  <c r="C22" i="5" s="1"/>
  <c r="C32" i="5" s="1"/>
  <c r="C34" i="5" s="1"/>
  <c r="C36" i="5" s="1"/>
  <c r="F20" i="5"/>
  <c r="F22" i="5" s="1"/>
  <c r="F32" i="5" s="1"/>
  <c r="F34" i="5" s="1"/>
  <c r="F36" i="5" s="1"/>
  <c r="G20" i="5"/>
  <c r="G22" i="5" s="1"/>
  <c r="G32" i="5" s="1"/>
  <c r="G34" i="5" s="1"/>
  <c r="G36" i="5" s="1"/>
  <c r="E20" i="5"/>
  <c r="E22" i="5" s="1"/>
  <c r="E32" i="5" s="1"/>
  <c r="E34" i="5" s="1"/>
  <c r="E36" i="5" s="1"/>
  <c r="D20" i="5"/>
  <c r="D22" i="5" s="1"/>
  <c r="D32" i="5" s="1"/>
  <c r="K20" i="5"/>
  <c r="K22" i="5" s="1"/>
  <c r="K32" i="5" s="1"/>
  <c r="K34" i="5" s="1"/>
  <c r="K36" i="5" s="1"/>
  <c r="H20" i="5"/>
  <c r="H22" i="5" s="1"/>
  <c r="H32" i="5" s="1"/>
  <c r="H34" i="5" s="1"/>
  <c r="H36" i="5" s="1"/>
  <c r="B20" i="5"/>
  <c r="B22" i="5" s="1"/>
  <c r="B32" i="5" s="1"/>
  <c r="B34" i="5" s="1"/>
  <c r="B36" i="5" s="1"/>
  <c r="J20" i="5"/>
  <c r="J22" i="5" s="1"/>
  <c r="J32" i="5" s="1"/>
  <c r="J34" i="5" s="1"/>
  <c r="J36" i="5" s="1"/>
  <c r="L20" i="5"/>
  <c r="L22" i="5" s="1"/>
  <c r="L32" i="5" s="1"/>
  <c r="I15" i="5"/>
  <c r="I17" i="5"/>
  <c r="I13" i="5"/>
  <c r="I11" i="5"/>
  <c r="G15" i="5"/>
  <c r="G13" i="5"/>
  <c r="G11" i="5"/>
  <c r="G17" i="5"/>
  <c r="H17" i="5"/>
  <c r="H13" i="5"/>
  <c r="H15" i="5"/>
  <c r="H11" i="5"/>
  <c r="L17" i="5"/>
  <c r="L13" i="5"/>
  <c r="L15" i="5"/>
  <c r="L11" i="5"/>
  <c r="C11" i="5"/>
  <c r="C17" i="5"/>
  <c r="C15" i="5"/>
  <c r="C13" i="5"/>
  <c r="N11" i="5"/>
  <c r="N15" i="5"/>
  <c r="N17" i="5"/>
  <c r="N13" i="5"/>
  <c r="D11" i="5"/>
  <c r="D15" i="5"/>
  <c r="D17" i="5"/>
  <c r="D13" i="5"/>
  <c r="E13" i="5"/>
  <c r="E15" i="5"/>
  <c r="E11" i="5"/>
  <c r="E17" i="5"/>
  <c r="J17" i="5"/>
  <c r="J15" i="5"/>
  <c r="J11" i="5"/>
  <c r="J13" i="5"/>
  <c r="K11" i="5"/>
  <c r="K13" i="5"/>
  <c r="K17" i="5"/>
  <c r="K15" i="5"/>
  <c r="B15" i="5"/>
  <c r="B11" i="5"/>
  <c r="B17" i="5"/>
  <c r="B13" i="5"/>
  <c r="F11" i="5"/>
  <c r="F17" i="5"/>
  <c r="F13" i="5"/>
  <c r="F15" i="5"/>
  <c r="M11" i="5"/>
  <c r="M15" i="5"/>
  <c r="M13" i="5"/>
  <c r="M17" i="5"/>
  <c r="B40" i="5" l="1"/>
  <c r="B39" i="5"/>
  <c r="F19" i="5"/>
  <c r="F21" i="5" s="1"/>
  <c r="F31" i="5" s="1"/>
  <c r="F33" i="5" s="1"/>
  <c r="F35" i="5" s="1"/>
  <c r="K19" i="5"/>
  <c r="K21" i="5" s="1"/>
  <c r="K31" i="5" s="1"/>
  <c r="K33" i="5" s="1"/>
  <c r="K35" i="5" s="1"/>
  <c r="N19" i="5"/>
  <c r="N21" i="5" s="1"/>
  <c r="N31" i="5" s="1"/>
  <c r="N33" i="5" s="1"/>
  <c r="N35" i="5" s="1"/>
  <c r="D34" i="5"/>
  <c r="D36" i="5" s="1"/>
  <c r="I19" i="5"/>
  <c r="I21" i="5" s="1"/>
  <c r="I31" i="5" s="1"/>
  <c r="I33" i="5" s="1"/>
  <c r="I35" i="5" s="1"/>
  <c r="L34" i="5"/>
  <c r="L36" i="5" s="1"/>
  <c r="J19" i="5"/>
  <c r="J21" i="5" s="1"/>
  <c r="J31" i="5" s="1"/>
  <c r="J33" i="5" s="1"/>
  <c r="J35" i="5" s="1"/>
  <c r="B19" i="5"/>
  <c r="B21" i="5" s="1"/>
  <c r="B31" i="5" s="1"/>
  <c r="B33" i="5" s="1"/>
  <c r="H19" i="5"/>
  <c r="H21" i="5" s="1"/>
  <c r="H31" i="5" s="1"/>
  <c r="H33" i="5" s="1"/>
  <c r="E19" i="5"/>
  <c r="E21" i="5" s="1"/>
  <c r="E31" i="5" s="1"/>
  <c r="E33" i="5" s="1"/>
  <c r="E35" i="5" s="1"/>
  <c r="D19" i="5"/>
  <c r="D21" i="5" s="1"/>
  <c r="D31" i="5" s="1"/>
  <c r="D33" i="5" s="1"/>
  <c r="D35" i="5" s="1"/>
  <c r="C19" i="5"/>
  <c r="C21" i="5" s="1"/>
  <c r="C31" i="5" s="1"/>
  <c r="C33" i="5" s="1"/>
  <c r="C35" i="5" s="1"/>
  <c r="G19" i="5"/>
  <c r="G21" i="5" s="1"/>
  <c r="G31" i="5" s="1"/>
  <c r="G33" i="5" s="1"/>
  <c r="M19" i="5"/>
  <c r="M21" i="5" s="1"/>
  <c r="M31" i="5" s="1"/>
  <c r="L19" i="5"/>
  <c r="L21" i="5" s="1"/>
  <c r="L31" i="5" s="1"/>
  <c r="G39" i="5"/>
  <c r="G51" i="5"/>
  <c r="G44" i="5"/>
  <c r="G48" i="5"/>
  <c r="G42" i="5"/>
  <c r="G43" i="5"/>
  <c r="G41" i="5"/>
  <c r="G55" i="5"/>
  <c r="G46" i="5"/>
  <c r="G57" i="5"/>
  <c r="G45" i="5"/>
  <c r="G54" i="5"/>
  <c r="G40" i="5"/>
  <c r="G52" i="5"/>
  <c r="G50" i="5"/>
  <c r="G47" i="5"/>
  <c r="G53" i="5"/>
  <c r="G49" i="5"/>
  <c r="G58" i="5"/>
  <c r="G56" i="5"/>
  <c r="E48" i="5"/>
  <c r="E42" i="5"/>
  <c r="E40" i="5"/>
  <c r="E52" i="5"/>
  <c r="E43" i="5"/>
  <c r="E57" i="5"/>
  <c r="E56" i="5"/>
  <c r="E41" i="5"/>
  <c r="E39" i="5"/>
  <c r="E51" i="5"/>
  <c r="E49" i="5"/>
  <c r="E54" i="5"/>
  <c r="E53" i="5"/>
  <c r="E44" i="5"/>
  <c r="E46" i="5"/>
  <c r="E45" i="5"/>
  <c r="E47" i="5"/>
  <c r="E50" i="5"/>
  <c r="E58" i="5"/>
  <c r="E55" i="5"/>
  <c r="B47" i="5"/>
  <c r="B50" i="5"/>
  <c r="B42" i="5"/>
  <c r="B52" i="5"/>
  <c r="B51" i="5"/>
  <c r="B57" i="5"/>
  <c r="B54" i="5"/>
  <c r="B41" i="5"/>
  <c r="B58" i="5"/>
  <c r="B56" i="5"/>
  <c r="B49" i="5"/>
  <c r="B53" i="5"/>
  <c r="B55" i="5"/>
  <c r="B48" i="5"/>
  <c r="B45" i="5"/>
  <c r="B43" i="5"/>
  <c r="B44" i="5"/>
  <c r="B46" i="5"/>
  <c r="C53" i="5"/>
  <c r="C48" i="5"/>
  <c r="C46" i="5"/>
  <c r="C50" i="5"/>
  <c r="C54" i="5"/>
  <c r="C56" i="5"/>
  <c r="C39" i="5"/>
  <c r="C47" i="5"/>
  <c r="C57" i="5"/>
  <c r="C58" i="5"/>
  <c r="C49" i="5"/>
  <c r="C52" i="5"/>
  <c r="C43" i="5"/>
  <c r="C42" i="5"/>
  <c r="C55" i="5"/>
  <c r="C45" i="5"/>
  <c r="C51" i="5"/>
  <c r="C41" i="5"/>
  <c r="C44" i="5"/>
  <c r="C40" i="5"/>
  <c r="N42" i="5"/>
  <c r="N45" i="5"/>
  <c r="N39" i="5"/>
  <c r="N47" i="5"/>
  <c r="N41" i="5"/>
  <c r="N49" i="5"/>
  <c r="N40" i="5"/>
  <c r="N56" i="5"/>
  <c r="N55" i="5"/>
  <c r="N53" i="5"/>
  <c r="N48" i="5"/>
  <c r="N57" i="5"/>
  <c r="N50" i="5"/>
  <c r="N51" i="5"/>
  <c r="N54" i="5"/>
  <c r="N52" i="5"/>
  <c r="N43" i="5"/>
  <c r="N46" i="5"/>
  <c r="N58" i="5"/>
  <c r="N44" i="5"/>
  <c r="J58" i="5"/>
  <c r="J51" i="5"/>
  <c r="J54" i="5"/>
  <c r="J57" i="5"/>
  <c r="J39" i="5"/>
  <c r="J48" i="5"/>
  <c r="J40" i="5"/>
  <c r="J53" i="5"/>
  <c r="J44" i="5"/>
  <c r="J45" i="5"/>
  <c r="J41" i="5"/>
  <c r="J55" i="5"/>
  <c r="J56" i="5"/>
  <c r="J49" i="5"/>
  <c r="J43" i="5"/>
  <c r="J50" i="5"/>
  <c r="J42" i="5"/>
  <c r="J47" i="5"/>
  <c r="J46" i="5"/>
  <c r="J52" i="5"/>
  <c r="M47" i="5"/>
  <c r="M51" i="5"/>
  <c r="M56" i="5"/>
  <c r="M54" i="5"/>
  <c r="M52" i="5"/>
  <c r="M39" i="5"/>
  <c r="M48" i="5"/>
  <c r="M55" i="5"/>
  <c r="M45" i="5"/>
  <c r="M41" i="5"/>
  <c r="M44" i="5"/>
  <c r="M40" i="5"/>
  <c r="M43" i="5"/>
  <c r="M49" i="5"/>
  <c r="M53" i="5"/>
  <c r="M57" i="5"/>
  <c r="M42" i="5"/>
  <c r="M50" i="5"/>
  <c r="M46" i="5"/>
  <c r="M58" i="5"/>
  <c r="I39" i="5"/>
  <c r="I51" i="5"/>
  <c r="I56" i="5"/>
  <c r="I42" i="5"/>
  <c r="I45" i="5"/>
  <c r="I58" i="5"/>
  <c r="I40" i="5"/>
  <c r="I57" i="5"/>
  <c r="I43" i="5"/>
  <c r="I52" i="5"/>
  <c r="I47" i="5"/>
  <c r="I44" i="5"/>
  <c r="I41" i="5"/>
  <c r="I46" i="5"/>
  <c r="I53" i="5"/>
  <c r="I54" i="5"/>
  <c r="I48" i="5"/>
  <c r="I49" i="5"/>
  <c r="I55" i="5"/>
  <c r="I50" i="5"/>
  <c r="K57" i="5"/>
  <c r="K46" i="5"/>
  <c r="K40" i="5"/>
  <c r="K54" i="5"/>
  <c r="K55" i="5"/>
  <c r="K53" i="5"/>
  <c r="K49" i="5"/>
  <c r="K48" i="5"/>
  <c r="K47" i="5"/>
  <c r="K52" i="5"/>
  <c r="K42" i="5"/>
  <c r="K51" i="5"/>
  <c r="K45" i="5"/>
  <c r="K50" i="5"/>
  <c r="K56" i="5"/>
  <c r="K41" i="5"/>
  <c r="K44" i="5"/>
  <c r="K43" i="5"/>
  <c r="K58" i="5"/>
  <c r="K39" i="5"/>
  <c r="F46" i="5"/>
  <c r="F57" i="5"/>
  <c r="F45" i="5"/>
  <c r="F42" i="5"/>
  <c r="F52" i="5"/>
  <c r="F39" i="5"/>
  <c r="F44" i="5"/>
  <c r="F56" i="5"/>
  <c r="F49" i="5"/>
  <c r="F48" i="5"/>
  <c r="F58" i="5"/>
  <c r="F41" i="5"/>
  <c r="F47" i="5"/>
  <c r="F55" i="5"/>
  <c r="F43" i="5"/>
  <c r="F50" i="5"/>
  <c r="F53" i="5"/>
  <c r="F40" i="5"/>
  <c r="F54" i="5"/>
  <c r="F51" i="5"/>
  <c r="H48" i="5"/>
  <c r="H41" i="5"/>
  <c r="H43" i="5"/>
  <c r="H56" i="5"/>
  <c r="H40" i="5"/>
  <c r="H45" i="5"/>
  <c r="H50" i="5"/>
  <c r="H54" i="5"/>
  <c r="H42" i="5"/>
  <c r="H57" i="5"/>
  <c r="H52" i="5"/>
  <c r="H55" i="5"/>
  <c r="H47" i="5"/>
  <c r="H46" i="5"/>
  <c r="H51" i="5"/>
  <c r="H53" i="5"/>
  <c r="H39" i="5"/>
  <c r="H44" i="5"/>
  <c r="H58" i="5"/>
  <c r="H49" i="5"/>
  <c r="K60" i="5" l="1"/>
  <c r="K59" i="5"/>
  <c r="E59" i="5"/>
  <c r="E60" i="5"/>
  <c r="F60" i="5"/>
  <c r="F59" i="5"/>
  <c r="N59" i="5"/>
  <c r="N60" i="5"/>
  <c r="J60" i="5"/>
  <c r="J59" i="5"/>
  <c r="I60" i="5"/>
  <c r="I59" i="5"/>
  <c r="C59" i="5"/>
  <c r="C60" i="5"/>
  <c r="D59" i="5"/>
  <c r="D60" i="5"/>
  <c r="B35" i="5"/>
  <c r="B63" i="5" s="1"/>
  <c r="D58" i="5"/>
  <c r="D43" i="5"/>
  <c r="D44" i="5"/>
  <c r="D53" i="5"/>
  <c r="D48" i="5"/>
  <c r="D42" i="5"/>
  <c r="D57" i="5"/>
  <c r="D39" i="5"/>
  <c r="D54" i="5"/>
  <c r="D52" i="5"/>
  <c r="D49" i="5"/>
  <c r="D40" i="5"/>
  <c r="D41" i="5"/>
  <c r="D45" i="5"/>
  <c r="D50" i="5"/>
  <c r="D46" i="5"/>
  <c r="D56" i="5"/>
  <c r="D51" i="5"/>
  <c r="D47" i="5"/>
  <c r="D55" i="5"/>
  <c r="L57" i="5"/>
  <c r="L39" i="5"/>
  <c r="L40" i="5"/>
  <c r="L45" i="5"/>
  <c r="L55" i="5"/>
  <c r="L50" i="5"/>
  <c r="L48" i="5"/>
  <c r="L53" i="5"/>
  <c r="L54" i="5"/>
  <c r="L56" i="5"/>
  <c r="L44" i="5"/>
  <c r="L49" i="5"/>
  <c r="L51" i="5"/>
  <c r="L52" i="5"/>
  <c r="L58" i="5"/>
  <c r="L42" i="5"/>
  <c r="L43" i="5"/>
  <c r="L47" i="5"/>
  <c r="L46" i="5"/>
  <c r="L41" i="5"/>
  <c r="H35" i="5"/>
  <c r="H62" i="5" s="1"/>
  <c r="L33" i="5"/>
  <c r="L35" i="5" s="1"/>
  <c r="M33" i="5"/>
  <c r="M35" i="5" s="1"/>
  <c r="G35" i="5"/>
  <c r="N63" i="5"/>
  <c r="N62" i="5"/>
  <c r="N61" i="5"/>
  <c r="I61" i="5"/>
  <c r="I62" i="5"/>
  <c r="I63" i="5"/>
  <c r="E63" i="5"/>
  <c r="E62" i="5"/>
  <c r="E61" i="5"/>
  <c r="D61" i="5"/>
  <c r="D63" i="5"/>
  <c r="D62" i="5"/>
  <c r="J63" i="5"/>
  <c r="J62" i="5"/>
  <c r="J61" i="5"/>
  <c r="C61" i="5"/>
  <c r="C62" i="5"/>
  <c r="C63" i="5"/>
  <c r="F61" i="5"/>
  <c r="F63" i="5"/>
  <c r="F62" i="5"/>
  <c r="K62" i="5"/>
  <c r="K63" i="5"/>
  <c r="K61" i="5"/>
  <c r="E64" i="5" l="1"/>
  <c r="E65" i="5" s="1"/>
  <c r="E66" i="5" s="1"/>
  <c r="H61" i="5"/>
  <c r="B62" i="5"/>
  <c r="M59" i="5"/>
  <c r="M60" i="5"/>
  <c r="L60" i="5"/>
  <c r="L59" i="5"/>
  <c r="H63" i="5"/>
  <c r="H60" i="5"/>
  <c r="H59" i="5"/>
  <c r="B59" i="5"/>
  <c r="B61" i="5"/>
  <c r="B60" i="5"/>
  <c r="G63" i="5"/>
  <c r="G59" i="5"/>
  <c r="G60" i="5"/>
  <c r="C64" i="5"/>
  <c r="C65" i="5" s="1"/>
  <c r="C66" i="5" s="1"/>
  <c r="J64" i="5"/>
  <c r="J65" i="5" s="1"/>
  <c r="J66" i="5" s="1"/>
  <c r="K64" i="5"/>
  <c r="K65" i="5" s="1"/>
  <c r="K66" i="5" s="1"/>
  <c r="N64" i="5"/>
  <c r="N65" i="5" s="1"/>
  <c r="N66" i="5" s="1"/>
  <c r="G61" i="5"/>
  <c r="G62" i="5"/>
  <c r="M63" i="5"/>
  <c r="M61" i="5"/>
  <c r="M62" i="5"/>
  <c r="L61" i="5"/>
  <c r="L62" i="5"/>
  <c r="L63" i="5"/>
  <c r="D64" i="5"/>
  <c r="D65" i="5" s="1"/>
  <c r="D66" i="5" s="1"/>
  <c r="F64" i="5"/>
  <c r="F65" i="5" s="1"/>
  <c r="F66" i="5" s="1"/>
  <c r="I64" i="5"/>
  <c r="I65" i="5" s="1"/>
  <c r="I66" i="5" s="1"/>
  <c r="H64" i="5" l="1"/>
  <c r="H65" i="5" s="1"/>
  <c r="H66" i="5" s="1"/>
  <c r="B64" i="5"/>
  <c r="B65" i="5" s="1"/>
  <c r="B66" i="5" s="1"/>
  <c r="M64" i="5"/>
  <c r="M65" i="5" s="1"/>
  <c r="M66" i="5" s="1"/>
  <c r="G64" i="5"/>
  <c r="G65" i="5" s="1"/>
  <c r="G66" i="5" s="1"/>
  <c r="L64" i="5"/>
  <c r="L65" i="5" s="1"/>
  <c r="L6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<sst xmlns="http://schemas.openxmlformats.org/spreadsheetml/2006/main" count="714" uniqueCount="372">
  <si>
    <t>Car</t>
  </si>
  <si>
    <t>Engine</t>
  </si>
  <si>
    <t>HP</t>
  </si>
  <si>
    <t>Price</t>
  </si>
  <si>
    <t>Torque</t>
  </si>
  <si>
    <t>0-60</t>
  </si>
  <si>
    <t>1/4 Mile</t>
  </si>
  <si>
    <t>Mileage</t>
  </si>
  <si>
    <t>MPG</t>
  </si>
  <si>
    <t>Weight</t>
  </si>
  <si>
    <t>Drive</t>
  </si>
  <si>
    <t>AWD</t>
  </si>
  <si>
    <t>RWD</t>
  </si>
  <si>
    <t>30-50</t>
  </si>
  <si>
    <t>50-70</t>
  </si>
  <si>
    <t>Resell Value (3 Yrs)</t>
  </si>
  <si>
    <t>5 Yrs</t>
  </si>
  <si>
    <t>7 Yrs</t>
  </si>
  <si>
    <t>Residual (3 Yrs)</t>
  </si>
  <si>
    <t>Down</t>
  </si>
  <si>
    <t>APR</t>
  </si>
  <si>
    <t>Term</t>
  </si>
  <si>
    <t>Monthly</t>
  </si>
  <si>
    <t>Post Resell Monthly</t>
  </si>
  <si>
    <t>Total Payment + Initial Down</t>
  </si>
  <si>
    <t>Total Post Resell Payment</t>
  </si>
  <si>
    <t>True Adjustment Rate</t>
  </si>
  <si>
    <t>Salary</t>
  </si>
  <si>
    <t>State Tax</t>
  </si>
  <si>
    <t>Rent</t>
  </si>
  <si>
    <t>Loans</t>
  </si>
  <si>
    <t>Misc.</t>
  </si>
  <si>
    <t>Left-Over</t>
  </si>
  <si>
    <t>Employer-Match</t>
  </si>
  <si>
    <t>Federal Tax</t>
  </si>
  <si>
    <t>Social Security Tax</t>
  </si>
  <si>
    <t>Medicare Tax</t>
  </si>
  <si>
    <t>Annual</t>
  </si>
  <si>
    <t>Food</t>
  </si>
  <si>
    <t>Total to Invest</t>
  </si>
  <si>
    <t>Gas</t>
  </si>
  <si>
    <t>Total</t>
  </si>
  <si>
    <t>Home Price</t>
  </si>
  <si>
    <t>Home Appreciation</t>
  </si>
  <si>
    <t>Monthly Mortgage</t>
  </si>
  <si>
    <t>Total Payments</t>
  </si>
  <si>
    <t>Balance</t>
  </si>
  <si>
    <t>Sell Profit</t>
  </si>
  <si>
    <t>Buying Power Post Penalty</t>
  </si>
  <si>
    <t>Total + Down</t>
  </si>
  <si>
    <t>Sell Profit (Total)</t>
  </si>
  <si>
    <t>Yearly Post Tax</t>
  </si>
  <si>
    <t>Salary Post Deduction</t>
  </si>
  <si>
    <t>Yearly Post Deduction</t>
  </si>
  <si>
    <t>Yearly Salary Progression</t>
  </si>
  <si>
    <t>Start @70k</t>
  </si>
  <si>
    <t>Start @75k</t>
  </si>
  <si>
    <t>Start @80k</t>
  </si>
  <si>
    <t>Start @85k</t>
  </si>
  <si>
    <t>Start @95k</t>
  </si>
  <si>
    <t>Start @90k</t>
  </si>
  <si>
    <t>Start @100k</t>
  </si>
  <si>
    <t>Bi-Yearly</t>
  </si>
  <si>
    <t>Start @105k</t>
  </si>
  <si>
    <t>Tri-Yearly</t>
  </si>
  <si>
    <t>Start @110k</t>
  </si>
  <si>
    <t>Start @115k</t>
  </si>
  <si>
    <t>Final Salary</t>
  </si>
  <si>
    <t>Age</t>
  </si>
  <si>
    <t>Reduction</t>
  </si>
  <si>
    <t>School</t>
  </si>
  <si>
    <t>Ranking</t>
  </si>
  <si>
    <t>Program</t>
  </si>
  <si>
    <t>Part-Time Rate</t>
  </si>
  <si>
    <t>Full-Time Rate</t>
  </si>
  <si>
    <t>Cost Part-Time</t>
  </si>
  <si>
    <t>Cost Full-Time</t>
  </si>
  <si>
    <t>Degree</t>
  </si>
  <si>
    <t>Masters</t>
  </si>
  <si>
    <t>Online</t>
  </si>
  <si>
    <t>Cost Online</t>
  </si>
  <si>
    <t>"4965,3110,1235"</t>
  </si>
  <si>
    <t>Credits Required</t>
  </si>
  <si>
    <t>Baruch</t>
  </si>
  <si>
    <t>MBA (STEM-Designated)</t>
  </si>
  <si>
    <t>PhD</t>
  </si>
  <si>
    <t>Business (Operations &amp; Decision Analystics)</t>
  </si>
  <si>
    <t>CCNY</t>
  </si>
  <si>
    <t>CS</t>
  </si>
  <si>
    <t>The Graduate Center</t>
  </si>
  <si>
    <t>Math</t>
  </si>
  <si>
    <t>Statistics</t>
  </si>
  <si>
    <t>Physics</t>
  </si>
  <si>
    <t>MTA Adjusted Part-Time</t>
  </si>
  <si>
    <t>MTA Full</t>
  </si>
  <si>
    <t>MTA Online</t>
  </si>
  <si>
    <t>Salary Start</t>
  </si>
  <si>
    <t>Current Salary</t>
  </si>
  <si>
    <t>Saved</t>
  </si>
  <si>
    <t>Pre-Car Left Over</t>
  </si>
  <si>
    <t>Pre-Car Employer-Match</t>
  </si>
  <si>
    <t>Pre-Car Total to Invest</t>
  </si>
  <si>
    <t>Months till Car Down</t>
  </si>
  <si>
    <t>Car Loan + Insurance</t>
  </si>
  <si>
    <t>Monthly MTA Adjusted Part-Time</t>
  </si>
  <si>
    <t>Monthly MTA Full</t>
  </si>
  <si>
    <t>Monthly MTA Online</t>
  </si>
  <si>
    <t>Nx 350h</t>
  </si>
  <si>
    <t>Rx 350</t>
  </si>
  <si>
    <t>Daily Miles</t>
  </si>
  <si>
    <t>Monthly Gas</t>
  </si>
  <si>
    <t>Real Cost</t>
  </si>
  <si>
    <t>Yearly Difference</t>
  </si>
  <si>
    <t>Monthly Difference</t>
  </si>
  <si>
    <t>Over 5 Years</t>
  </si>
  <si>
    <t>RAV4</t>
  </si>
  <si>
    <t>RAV4 Hybrid</t>
  </si>
  <si>
    <t>Regular Gas Price</t>
  </si>
  <si>
    <t>Premium Gas Price</t>
  </si>
  <si>
    <t>#1 Choice</t>
  </si>
  <si>
    <t>2nd Place</t>
  </si>
  <si>
    <t>Last Place</t>
  </si>
  <si>
    <t>Trade-In Value</t>
  </si>
  <si>
    <t>Gas Price Adjusted to Rx350</t>
  </si>
  <si>
    <t>MPG (20/80)</t>
  </si>
  <si>
    <t>Payment</t>
  </si>
  <si>
    <t>Insurance</t>
  </si>
  <si>
    <t>Gas Price</t>
  </si>
  <si>
    <t>Miles Driven Per Week</t>
  </si>
  <si>
    <t>Resell</t>
  </si>
  <si>
    <t>Tri-Year Car Loan + Insurance</t>
  </si>
  <si>
    <t>Tri-Year Gas</t>
  </si>
  <si>
    <t>Tri-Year Total to Invest</t>
  </si>
  <si>
    <t>Tri-Year Salary Post Deduction</t>
  </si>
  <si>
    <t>Tri-Year Annual</t>
  </si>
  <si>
    <t>Tri-Year Monthly</t>
  </si>
  <si>
    <t>Tri-Year Federal Tax</t>
  </si>
  <si>
    <t>Tri-Year State Tax</t>
  </si>
  <si>
    <t>Tri-Year Social Security Tax</t>
  </si>
  <si>
    <t>Tri-Year Medicare Tax</t>
  </si>
  <si>
    <t>Tri-Year Monthly Left-Over</t>
  </si>
  <si>
    <t>Tri-Year Monthly Employer-Match</t>
  </si>
  <si>
    <t>Years Matured (Inflation Adjusted Salary)</t>
  </si>
  <si>
    <t>Years Matured (Adjusted to Inflation Salary)</t>
  </si>
  <si>
    <t>True Adjustment Rate of Loan</t>
  </si>
  <si>
    <t>Car 1 (5 Years)</t>
  </si>
  <si>
    <t>Today's Price</t>
  </si>
  <si>
    <t>C8 Z51</t>
  </si>
  <si>
    <t>328d Wagon</t>
  </si>
  <si>
    <t>Cars.com Reliability</t>
  </si>
  <si>
    <t>Cars.com Performance</t>
  </si>
  <si>
    <t>Car 2 (5 Years)</t>
  </si>
  <si>
    <t>Car 2 - 3Years</t>
  </si>
  <si>
    <t>Car 1 - 10 Years</t>
  </si>
  <si>
    <t>Secondary Car Loan + Insurance</t>
  </si>
  <si>
    <t>Secondary Yearly Post Tax</t>
  </si>
  <si>
    <t>Secondary Yearly Post Deduction</t>
  </si>
  <si>
    <t>X3 M40i</t>
  </si>
  <si>
    <t>Down Percentage</t>
  </si>
  <si>
    <t>Debts</t>
  </si>
  <si>
    <t>21 Rav 4 Hybrid</t>
  </si>
  <si>
    <t>21 Venza Hybrid (25k)</t>
  </si>
  <si>
    <t>4th Place</t>
  </si>
  <si>
    <t>5th Place</t>
  </si>
  <si>
    <t>6th Place</t>
  </si>
  <si>
    <t>Income</t>
  </si>
  <si>
    <t>Uber</t>
  </si>
  <si>
    <t>Lyft</t>
  </si>
  <si>
    <t>Dad</t>
  </si>
  <si>
    <t>Mom</t>
  </si>
  <si>
    <t>Expense</t>
  </si>
  <si>
    <t>Aunu</t>
  </si>
  <si>
    <t>Abrity</t>
  </si>
  <si>
    <t>Me</t>
  </si>
  <si>
    <t>Grocery (Parent)</t>
  </si>
  <si>
    <t>Grocery (Us)</t>
  </si>
  <si>
    <t>Bills</t>
  </si>
  <si>
    <t>Phone</t>
  </si>
  <si>
    <t>Card</t>
  </si>
  <si>
    <t>Changes</t>
  </si>
  <si>
    <t>Link</t>
  </si>
  <si>
    <t>https://www.tricountylexus.com/auto/preowned-2021-toyota-corolla-little-falls-nj/85279474/</t>
  </si>
  <si>
    <t>18 Accord EX-L (61k)</t>
  </si>
  <si>
    <t>20 Camry Hybrid (49k)</t>
  </si>
  <si>
    <t>https://www.tricountylexus.com/auto/preowned-2021-toyota-venza-little-falls-nj/84710101/</t>
  </si>
  <si>
    <t>https://www.tricountylexus.com/auto/preowned-2018-honda-accord-little-falls-nj/86119072/</t>
  </si>
  <si>
    <t>https://www.tricountylexus.com/auto/preowned-2020-toyota-camry-hybrid-little-falls-nj/85786687/</t>
  </si>
  <si>
    <t>https://www.tricountylexus.com/auto/preowned-2021-toyota-rav4-little-falls-nj/85737622/</t>
  </si>
  <si>
    <t>https://www.tricountylexus.com/auto/preowned-2021-lexus-ux-250h-little-falls-nj/86270482/</t>
  </si>
  <si>
    <t>21 Rav 4 (48k Black)</t>
  </si>
  <si>
    <t>UX 250h (31k Black)</t>
  </si>
  <si>
    <t>21 Corolla (61k Black)</t>
  </si>
  <si>
    <t>Term (in Months)</t>
  </si>
  <si>
    <t>Property Tax Rate</t>
  </si>
  <si>
    <t>10 Panamera Turbo</t>
  </si>
  <si>
    <t>01/03 E46 M3</t>
  </si>
  <si>
    <t>S54</t>
  </si>
  <si>
    <t>4.8L V8</t>
  </si>
  <si>
    <t>03 E46 M3</t>
  </si>
  <si>
    <t>Transmission</t>
  </si>
  <si>
    <t>Manual</t>
  </si>
  <si>
    <t>Auto</t>
  </si>
  <si>
    <t>6.2L V8</t>
  </si>
  <si>
    <t>13 GT-R</t>
  </si>
  <si>
    <t>3.8L V6</t>
  </si>
  <si>
    <t>Exterior</t>
  </si>
  <si>
    <t>Interior</t>
  </si>
  <si>
    <t>21 Z51 Coupe</t>
  </si>
  <si>
    <t>3.6L Flat-Six</t>
  </si>
  <si>
    <t>14 GT-R</t>
  </si>
  <si>
    <t>Pearl White</t>
  </si>
  <si>
    <t>Black</t>
  </si>
  <si>
    <t>19 GT-R</t>
  </si>
  <si>
    <t>Adrenaline Red</t>
  </si>
  <si>
    <t>Red Amber (Dash)</t>
  </si>
  <si>
    <t>White</t>
  </si>
  <si>
    <t>Silver</t>
  </si>
  <si>
    <t>Shiny Black</t>
  </si>
  <si>
    <t>Tan (Seats Lightish / Else Saturated)</t>
  </si>
  <si>
    <t>Darker Silver</t>
  </si>
  <si>
    <t>Deep Metallic Blue</t>
  </si>
  <si>
    <t>12 Ford Escape</t>
  </si>
  <si>
    <t>2.5L I4</t>
  </si>
  <si>
    <t>2000 Corvette</t>
  </si>
  <si>
    <t>5.7L V8</t>
  </si>
  <si>
    <t>16 328d xDrive</t>
  </si>
  <si>
    <t>2L I4 Diesel</t>
  </si>
  <si>
    <t>07 Corvette Coupe</t>
  </si>
  <si>
    <t>6L V8</t>
  </si>
  <si>
    <t>08 GT500</t>
  </si>
  <si>
    <t>5.4L V8</t>
  </si>
  <si>
    <t>09 Turbo Coupe (997.2)</t>
  </si>
  <si>
    <t>Combo Sense</t>
  </si>
  <si>
    <t>If I get X, I can go for THIS</t>
  </si>
  <si>
    <t>Darkish Gray Cloth</t>
  </si>
  <si>
    <t>Light Metallic Champagne</t>
  </si>
  <si>
    <t>Perfect Tan + Driver Oriented Controls</t>
  </si>
  <si>
    <t>Black w/ Red Stiching + Pano Roof</t>
  </si>
  <si>
    <t>Ferrari Yellow (Clear Headlights)</t>
  </si>
  <si>
    <t>Black + Yellow (to match)</t>
  </si>
  <si>
    <t>White (Blue Stripes)</t>
  </si>
  <si>
    <t>Black (Good Backseats)</t>
  </si>
  <si>
    <t>Beater (0/1)</t>
  </si>
  <si>
    <t>Daily (0/1)</t>
  </si>
  <si>
    <t>Fun (0-2)</t>
  </si>
  <si>
    <t>Looks (1-4)</t>
  </si>
  <si>
    <t>Interior (1-3) + 1 (Backseats)</t>
  </si>
  <si>
    <t>Gas (1-4)</t>
  </si>
  <si>
    <t>Reliable (1-3)</t>
  </si>
  <si>
    <t>Fast(0-2)</t>
  </si>
  <si>
    <t>Want (0/1)</t>
  </si>
  <si>
    <t>Life (1-3) + Sell (0-2)</t>
  </si>
  <si>
    <t>Manual (0/1)</t>
  </si>
  <si>
    <t>Deal (0-2) + Not Overpriced (0-2)</t>
  </si>
  <si>
    <t>Car Independency (0/1)</t>
  </si>
  <si>
    <t>Residual (0-3)</t>
  </si>
  <si>
    <t>Total (Out of 36)</t>
  </si>
  <si>
    <t>If I get THIS, I can go for X (ROW)</t>
  </si>
  <si>
    <t>(Column)</t>
  </si>
  <si>
    <t>Budget</t>
  </si>
  <si>
    <t>Car 1</t>
  </si>
  <si>
    <t>Car 2</t>
  </si>
  <si>
    <t>Car 3</t>
  </si>
  <si>
    <t>Comfortable Home (15Y)</t>
  </si>
  <si>
    <t>True Adj. Rate</t>
  </si>
  <si>
    <t>Comfortable Home (20Y)</t>
  </si>
  <si>
    <t>Comfortable Home (30Y)</t>
  </si>
  <si>
    <t>Starting Salary</t>
  </si>
  <si>
    <t>Comfortable Home (10Y)</t>
  </si>
  <si>
    <t>&lt;5k</t>
  </si>
  <si>
    <t>Full Coverage Yearly</t>
  </si>
  <si>
    <t>F.C. Monthly</t>
  </si>
  <si>
    <t>12 Ford Escape (Non F.C.)</t>
  </si>
  <si>
    <t>True Monthly Cost of Ownership</t>
  </si>
  <si>
    <t>Savings Compared To:</t>
  </si>
  <si>
    <t>Yearly Savings</t>
  </si>
  <si>
    <t>Over 5Y</t>
  </si>
  <si>
    <t>85k</t>
  </si>
  <si>
    <t>Max Allowed (30Y)</t>
  </si>
  <si>
    <t>Max Allowed (20Y)</t>
  </si>
  <si>
    <t>Max Allowed (15Y)</t>
  </si>
  <si>
    <t>Max Allowed (10Y)</t>
  </si>
  <si>
    <t>100k</t>
  </si>
  <si>
    <t>120k</t>
  </si>
  <si>
    <t>Monthly Maintenance Estimate</t>
  </si>
  <si>
    <t>Car Loan + Insurance + Gas + Maintenance</t>
  </si>
  <si>
    <t>True Cost of Car(s)</t>
  </si>
  <si>
    <t>&lt;20k</t>
  </si>
  <si>
    <t>16 328d xDrive Wagon</t>
  </si>
  <si>
    <t>2000 Corvette Coupe</t>
  </si>
  <si>
    <t>&lt;30k</t>
  </si>
  <si>
    <t>&lt;40k</t>
  </si>
  <si>
    <t>&lt;50k</t>
  </si>
  <si>
    <t>&lt;60k</t>
  </si>
  <si>
    <t>2000 Vette</t>
  </si>
  <si>
    <t>07 Vette</t>
  </si>
  <si>
    <t>&lt;80k</t>
  </si>
  <si>
    <t>Residual</t>
  </si>
  <si>
    <t>09 Turbo</t>
  </si>
  <si>
    <t xml:space="preserve">13 GT-R </t>
  </si>
  <si>
    <t>Adjustment</t>
  </si>
  <si>
    <t>&lt;107k</t>
  </si>
  <si>
    <t>Residual:Price</t>
  </si>
  <si>
    <t xml:space="preserve">Total: </t>
  </si>
  <si>
    <t>Total: 1,236</t>
  </si>
  <si>
    <t>Total: 1,111</t>
  </si>
  <si>
    <t>Total: 590</t>
  </si>
  <si>
    <t>Total: 260</t>
  </si>
  <si>
    <t>Total: 564</t>
  </si>
  <si>
    <t>Total: 706</t>
  </si>
  <si>
    <t>Total: 817</t>
  </si>
  <si>
    <t>Total: 935</t>
  </si>
  <si>
    <t>Total: 1,264</t>
  </si>
  <si>
    <t>Total: 1,037</t>
  </si>
  <si>
    <t>Down: 5,000</t>
  </si>
  <si>
    <t>Down: 7,500</t>
  </si>
  <si>
    <t>Down: 10,000</t>
  </si>
  <si>
    <t>Down: 12,500</t>
  </si>
  <si>
    <t>Down: 15,000</t>
  </si>
  <si>
    <t>Down: 17,500</t>
  </si>
  <si>
    <t>Down: 25,000</t>
  </si>
  <si>
    <t>Down: 24,000</t>
  </si>
  <si>
    <t>Down: 27,000</t>
  </si>
  <si>
    <t>Down: 30,000</t>
  </si>
  <si>
    <t>Down: 33,000</t>
  </si>
  <si>
    <t>Down: 35,000</t>
  </si>
  <si>
    <t>Down: 37,000</t>
  </si>
  <si>
    <t>Down: 36,000</t>
  </si>
  <si>
    <t>Down: 32,000</t>
  </si>
  <si>
    <t>Total: 1,190</t>
  </si>
  <si>
    <t>Total: 1,265</t>
  </si>
  <si>
    <t>Total: 1,343</t>
  </si>
  <si>
    <t>07 Z06</t>
  </si>
  <si>
    <t>7L V8</t>
  </si>
  <si>
    <t>15/16 RC F</t>
  </si>
  <si>
    <t>5L V8</t>
  </si>
  <si>
    <t>Black / Blue Mica</t>
  </si>
  <si>
    <t>Red / White</t>
  </si>
  <si>
    <t>15 4C</t>
  </si>
  <si>
    <t>White / Ferrari Italia Stripes</t>
  </si>
  <si>
    <t>Black (Red Stitches)</t>
  </si>
  <si>
    <t>1.7L I4</t>
  </si>
  <si>
    <t>01 Lotus Espirit Coupe</t>
  </si>
  <si>
    <t>Yellow</t>
  </si>
  <si>
    <t>Black (Yellow Piping)</t>
  </si>
  <si>
    <t>3.5L V8</t>
  </si>
  <si>
    <t>22 IS 500 F Sport Performance</t>
  </si>
  <si>
    <t>19 LS 500 F Sport</t>
  </si>
  <si>
    <t>3.5L V6</t>
  </si>
  <si>
    <t>Light Sand (Dark Brown Dash)</t>
  </si>
  <si>
    <t>21 RC F Fuji Edition</t>
  </si>
  <si>
    <t>Suede Red</t>
  </si>
  <si>
    <t>Red (Great Backseats)</t>
  </si>
  <si>
    <t>Gray (Carbon Trunk &amp; Wing)</t>
  </si>
  <si>
    <t>07 Turbo Coupe (997)</t>
  </si>
  <si>
    <t>08 Turbo Coupe (997.2)</t>
  </si>
  <si>
    <t>Dark Blue (Masculine Sally) + Carbon Fiber Front Lip</t>
  </si>
  <si>
    <t>Brownish Tan (Dash)</t>
  </si>
  <si>
    <t>23 Z51 Coupe</t>
  </si>
  <si>
    <t>Black (Wing)</t>
  </si>
  <si>
    <t>Black / Silver</t>
  </si>
  <si>
    <t>Black / Red</t>
  </si>
  <si>
    <t>Black / Tan (Light Brown + Saturation)</t>
  </si>
  <si>
    <t>07 GT3</t>
  </si>
  <si>
    <t>White / Black</t>
  </si>
  <si>
    <t>23 Z06</t>
  </si>
  <si>
    <t>5.5L V8</t>
  </si>
  <si>
    <t>Auto/Manual</t>
  </si>
  <si>
    <t>Beige / Black</t>
  </si>
  <si>
    <t>19 Carrera S</t>
  </si>
  <si>
    <t>3L Flat-Six</t>
  </si>
  <si>
    <t>Light Chocolate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</si>
</sst>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0.0"/>
    <numFmt numFmtId="168" formatCode="_(&quot;$&quot;* #,##0_);_(&quot;$&quot;* \(#,##0\);_(&quot;$&quot;* &quot;-&quot;??_);_(@_)"/>
    <numFmt numFmtId="169" formatCode="0.000"/>
    <numFmt numFmtId="170" formatCode="_(&quot;$&quot;* #,##0.0_);_(&quot;$&quot;* \(#,##0.0\);_(&quot;$&quot;* &quot;-&quot;??_);_(@_)"/>
    <numFmt numFmtId="171" formatCode="_(* #,##0.000_);_(* \(#,##0.00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E36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37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4" fontId="0" fillId="0" borderId="0" xfId="0" applyNumberFormat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4" fillId="0" borderId="0" xfId="0" applyNumberFormat="1" applyFont="1"/>
    <xf numFmtId="3" fontId="3" fillId="0" borderId="0" xfId="0" applyNumberFormat="1" applyFont="1"/>
    <xf numFmtId="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3" fontId="1" fillId="0" borderId="0" xfId="0" applyNumberFormat="1" applyFont="1"/>
    <xf numFmtId="1" fontId="1" fillId="0" borderId="0" xfId="0" applyNumberFormat="1" applyFont="1"/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164" fontId="0" fillId="0" borderId="0" xfId="1" applyNumberFormat="1" applyFont="1" applyFill="1"/>
    <xf numFmtId="0" fontId="0" fillId="0" borderId="0" xfId="0" applyAlignment="1">
      <alignment horizontal="right"/>
    </xf>
    <xf numFmtId="43" fontId="0" fillId="0" borderId="0" xfId="2" applyFont="1"/>
    <xf numFmtId="9" fontId="0" fillId="0" borderId="0" xfId="0" applyNumberFormat="1"/>
    <xf numFmtId="166" fontId="0" fillId="0" borderId="0" xfId="2" applyNumberFormat="1" applyFont="1"/>
    <xf numFmtId="0" fontId="0" fillId="0" borderId="1" xfId="0" applyBorder="1"/>
    <xf numFmtId="0" fontId="0" fillId="3" borderId="1" xfId="0" applyFill="1" applyBorder="1"/>
    <xf numFmtId="166" fontId="0" fillId="3" borderId="1" xfId="2" applyNumberFormat="1" applyFont="1" applyFill="1" applyBorder="1"/>
    <xf numFmtId="166" fontId="0" fillId="3" borderId="1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166" fontId="0" fillId="4" borderId="1" xfId="2" applyNumberFormat="1" applyFont="1" applyFill="1" applyBorder="1"/>
    <xf numFmtId="166" fontId="0" fillId="4" borderId="1" xfId="0" applyNumberFormat="1" applyFill="1" applyBorder="1"/>
    <xf numFmtId="0" fontId="0" fillId="5" borderId="1" xfId="0" applyFill="1" applyBorder="1"/>
    <xf numFmtId="166" fontId="0" fillId="5" borderId="1" xfId="2" applyNumberFormat="1" applyFont="1" applyFill="1" applyBorder="1"/>
    <xf numFmtId="166" fontId="0" fillId="5" borderId="1" xfId="0" applyNumberFormat="1" applyFill="1" applyBorder="1"/>
    <xf numFmtId="0" fontId="1" fillId="4" borderId="1" xfId="0" applyFont="1" applyFill="1" applyBorder="1"/>
    <xf numFmtId="3" fontId="1" fillId="4" borderId="1" xfId="0" applyNumberFormat="1" applyFont="1" applyFill="1" applyBorder="1"/>
    <xf numFmtId="0" fontId="1" fillId="5" borderId="1" xfId="0" applyFont="1" applyFill="1" applyBorder="1"/>
    <xf numFmtId="3" fontId="0" fillId="0" borderId="2" xfId="0" applyNumberFormat="1" applyBorder="1"/>
    <xf numFmtId="3" fontId="0" fillId="0" borderId="3" xfId="0" applyNumberFormat="1" applyBorder="1"/>
    <xf numFmtId="1" fontId="0" fillId="0" borderId="2" xfId="0" applyNumberFormat="1" applyBorder="1"/>
    <xf numFmtId="1" fontId="0" fillId="5" borderId="1" xfId="0" applyNumberFormat="1" applyFill="1" applyBorder="1"/>
    <xf numFmtId="4" fontId="0" fillId="5" borderId="1" xfId="0" applyNumberFormat="1" applyFill="1" applyBorder="1"/>
    <xf numFmtId="4" fontId="0" fillId="3" borderId="1" xfId="0" applyNumberFormat="1" applyFill="1" applyBorder="1"/>
    <xf numFmtId="0" fontId="5" fillId="0" borderId="1" xfId="0" applyFont="1" applyBorder="1"/>
    <xf numFmtId="43" fontId="0" fillId="3" borderId="1" xfId="0" applyNumberFormat="1" applyFill="1" applyBorder="1"/>
    <xf numFmtId="43" fontId="0" fillId="4" borderId="1" xfId="0" applyNumberFormat="1" applyFill="1" applyBorder="1"/>
    <xf numFmtId="43" fontId="0" fillId="5" borderId="1" xfId="0" applyNumberFormat="1" applyFill="1" applyBorder="1"/>
    <xf numFmtId="0" fontId="5" fillId="0" borderId="0" xfId="0" applyFont="1"/>
    <xf numFmtId="0" fontId="5" fillId="2" borderId="0" xfId="0" applyFont="1" applyFill="1"/>
    <xf numFmtId="3" fontId="5" fillId="0" borderId="0" xfId="0" applyNumberFormat="1" applyFont="1"/>
    <xf numFmtId="1" fontId="5" fillId="0" borderId="0" xfId="0" applyNumberFormat="1" applyFont="1"/>
    <xf numFmtId="1" fontId="5" fillId="5" borderId="1" xfId="0" applyNumberFormat="1" applyFont="1" applyFill="1" applyBorder="1"/>
    <xf numFmtId="1" fontId="5" fillId="3" borderId="1" xfId="0" applyNumberFormat="1" applyFont="1" applyFill="1" applyBorder="1"/>
    <xf numFmtId="4" fontId="5" fillId="0" borderId="0" xfId="0" applyNumberFormat="1" applyFont="1"/>
    <xf numFmtId="164" fontId="5" fillId="0" borderId="0" xfId="0" applyNumberFormat="1" applyFont="1"/>
    <xf numFmtId="44" fontId="0" fillId="0" borderId="0" xfId="1" applyFont="1"/>
    <xf numFmtId="8" fontId="0" fillId="0" borderId="1" xfId="0" applyNumberFormat="1" applyBorder="1"/>
    <xf numFmtId="2" fontId="0" fillId="0" borderId="1" xfId="0" applyNumberFormat="1" applyBorder="1"/>
    <xf numFmtId="44" fontId="0" fillId="0" borderId="1" xfId="0" applyNumberFormat="1" applyBorder="1"/>
    <xf numFmtId="0" fontId="5" fillId="0" borderId="1" xfId="0" applyFont="1" applyBorder="1" applyAlignment="1">
      <alignment horizontal="center"/>
    </xf>
    <xf numFmtId="4" fontId="0" fillId="0" borderId="1" xfId="0" applyNumberFormat="1" applyBorder="1"/>
    <xf numFmtId="4" fontId="1" fillId="0" borderId="2" xfId="0" applyNumberFormat="1" applyFont="1" applyBorder="1" applyAlignment="1">
      <alignment horizontal="right"/>
    </xf>
    <xf numFmtId="3" fontId="3" fillId="0" borderId="2" xfId="0" applyNumberFormat="1" applyFont="1" applyBorder="1"/>
    <xf numFmtId="3" fontId="3" fillId="0" borderId="7" xfId="0" applyNumberFormat="1" applyFont="1" applyBorder="1"/>
    <xf numFmtId="3" fontId="3" fillId="0" borderId="3" xfId="0" applyNumberFormat="1" applyFont="1" applyBorder="1"/>
    <xf numFmtId="1" fontId="3" fillId="0" borderId="2" xfId="0" applyNumberFormat="1" applyFont="1" applyBorder="1"/>
    <xf numFmtId="1" fontId="4" fillId="0" borderId="2" xfId="0" applyNumberFormat="1" applyFont="1" applyBorder="1"/>
    <xf numFmtId="165" fontId="4" fillId="0" borderId="7" xfId="0" applyNumberFormat="1" applyFont="1" applyBorder="1"/>
    <xf numFmtId="3" fontId="4" fillId="0" borderId="7" xfId="0" applyNumberFormat="1" applyFont="1" applyBorder="1"/>
    <xf numFmtId="3" fontId="4" fillId="0" borderId="3" xfId="0" applyNumberFormat="1" applyFont="1" applyBorder="1"/>
    <xf numFmtId="165" fontId="4" fillId="0" borderId="3" xfId="0" applyNumberFormat="1" applyFont="1" applyBorder="1"/>
    <xf numFmtId="3" fontId="4" fillId="0" borderId="2" xfId="0" applyNumberFormat="1" applyFont="1" applyBorder="1"/>
    <xf numFmtId="3" fontId="0" fillId="0" borderId="7" xfId="0" applyNumberFormat="1" applyBorder="1"/>
    <xf numFmtId="1" fontId="0" fillId="0" borderId="8" xfId="0" applyNumberFormat="1" applyBorder="1"/>
    <xf numFmtId="4" fontId="0" fillId="0" borderId="9" xfId="0" applyNumberFormat="1" applyBorder="1"/>
    <xf numFmtId="9" fontId="0" fillId="0" borderId="3" xfId="0" applyNumberFormat="1" applyBorder="1"/>
    <xf numFmtId="1" fontId="0" fillId="5" borderId="0" xfId="0" applyNumberFormat="1" applyFill="1"/>
    <xf numFmtId="3" fontId="0" fillId="5" borderId="0" xfId="0" applyNumberFormat="1" applyFill="1"/>
    <xf numFmtId="4" fontId="0" fillId="5" borderId="0" xfId="0" applyNumberFormat="1" applyFill="1"/>
    <xf numFmtId="3" fontId="0" fillId="2" borderId="0" xfId="0" applyNumberFormat="1" applyFill="1"/>
    <xf numFmtId="43" fontId="0" fillId="5" borderId="0" xfId="2" applyFont="1" applyFill="1"/>
    <xf numFmtId="43" fontId="0" fillId="2" borderId="0" xfId="2" applyFont="1" applyFill="1"/>
    <xf numFmtId="1" fontId="5" fillId="5" borderId="0" xfId="0" applyNumberFormat="1" applyFont="1" applyFill="1"/>
    <xf numFmtId="1" fontId="5" fillId="0" borderId="1" xfId="0" applyNumberFormat="1" applyFont="1" applyBorder="1"/>
    <xf numFmtId="1" fontId="5" fillId="2" borderId="1" xfId="0" applyNumberFormat="1" applyFont="1" applyFill="1" applyBorder="1"/>
    <xf numFmtId="4" fontId="0" fillId="2" borderId="1" xfId="0" applyNumberFormat="1" applyFill="1" applyBorder="1"/>
    <xf numFmtId="44" fontId="0" fillId="0" borderId="7" xfId="0" applyNumberFormat="1" applyBorder="1"/>
    <xf numFmtId="44" fontId="0" fillId="0" borderId="3" xfId="0" applyNumberFormat="1" applyBorder="1"/>
    <xf numFmtId="44" fontId="2" fillId="0" borderId="10" xfId="1" applyFont="1" applyFill="1" applyBorder="1"/>
    <xf numFmtId="44" fontId="2" fillId="0" borderId="0" xfId="1" applyFont="1" applyFill="1" applyBorder="1"/>
    <xf numFmtId="44" fontId="2" fillId="0" borderId="11" xfId="1" applyFont="1" applyFill="1" applyBorder="1"/>
    <xf numFmtId="1" fontId="8" fillId="0" borderId="2" xfId="0" applyNumberFormat="1" applyFont="1" applyBorder="1"/>
    <xf numFmtId="4" fontId="8" fillId="0" borderId="7" xfId="0" applyNumberFormat="1" applyFont="1" applyBorder="1"/>
    <xf numFmtId="4" fontId="8" fillId="0" borderId="3" xfId="0" applyNumberFormat="1" applyFont="1" applyBorder="1"/>
    <xf numFmtId="8" fontId="0" fillId="0" borderId="0" xfId="0" applyNumberFormat="1"/>
    <xf numFmtId="0" fontId="0" fillId="0" borderId="14" xfId="0" applyBorder="1"/>
    <xf numFmtId="2" fontId="0" fillId="0" borderId="14" xfId="0" applyNumberFormat="1" applyBorder="1"/>
    <xf numFmtId="0" fontId="5" fillId="0" borderId="5" xfId="0" applyFont="1" applyBorder="1"/>
    <xf numFmtId="0" fontId="5" fillId="0" borderId="7" xfId="0" applyFont="1" applyBorder="1"/>
    <xf numFmtId="0" fontId="5" fillId="0" borderId="2" xfId="0" applyFont="1" applyBorder="1"/>
    <xf numFmtId="0" fontId="5" fillId="0" borderId="3" xfId="0" applyFont="1" applyBorder="1"/>
    <xf numFmtId="0" fontId="5" fillId="8" borderId="0" xfId="0" applyFont="1" applyFill="1"/>
    <xf numFmtId="164" fontId="0" fillId="8" borderId="0" xfId="0" applyNumberFormat="1" applyFill="1"/>
    <xf numFmtId="4" fontId="5" fillId="0" borderId="8" xfId="0" applyNumberFormat="1" applyFont="1" applyBorder="1"/>
    <xf numFmtId="4" fontId="5" fillId="0" borderId="12" xfId="0" applyNumberFormat="1" applyFont="1" applyBorder="1"/>
    <xf numFmtId="0" fontId="5" fillId="0" borderId="12" xfId="0" applyFont="1" applyBorder="1"/>
    <xf numFmtId="0" fontId="5" fillId="0" borderId="9" xfId="0" applyFont="1" applyBorder="1"/>
    <xf numFmtId="4" fontId="5" fillId="0" borderId="10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right"/>
    </xf>
    <xf numFmtId="4" fontId="5" fillId="0" borderId="11" xfId="0" applyNumberFormat="1" applyFont="1" applyBorder="1" applyAlignment="1">
      <alignment horizontal="right"/>
    </xf>
    <xf numFmtId="164" fontId="0" fillId="0" borderId="10" xfId="0" applyNumberFormat="1" applyBorder="1"/>
    <xf numFmtId="164" fontId="0" fillId="0" borderId="11" xfId="0" applyNumberFormat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4" fontId="0" fillId="8" borderId="13" xfId="0" applyNumberFormat="1" applyFill="1" applyBorder="1"/>
    <xf numFmtId="164" fontId="0" fillId="8" borderId="14" xfId="0" applyNumberFormat="1" applyFill="1" applyBorder="1"/>
    <xf numFmtId="164" fontId="0" fillId="8" borderId="15" xfId="0" applyNumberFormat="1" applyFill="1" applyBorder="1"/>
    <xf numFmtId="0" fontId="5" fillId="0" borderId="8" xfId="0" applyFont="1" applyBorder="1"/>
    <xf numFmtId="4" fontId="7" fillId="0" borderId="10" xfId="0" applyNumberFormat="1" applyFont="1" applyBorder="1" applyAlignment="1">
      <alignment horizontal="right"/>
    </xf>
    <xf numFmtId="4" fontId="7" fillId="0" borderId="0" xfId="0" applyNumberFormat="1" applyFont="1" applyAlignment="1">
      <alignment horizontal="right"/>
    </xf>
    <xf numFmtId="4" fontId="7" fillId="0" borderId="11" xfId="0" applyNumberFormat="1" applyFont="1" applyBorder="1" applyAlignment="1">
      <alignment horizontal="right"/>
    </xf>
    <xf numFmtId="4" fontId="0" fillId="0" borderId="10" xfId="0" applyNumberFormat="1" applyBorder="1"/>
    <xf numFmtId="4" fontId="0" fillId="0" borderId="11" xfId="0" applyNumberFormat="1" applyBorder="1"/>
    <xf numFmtId="164" fontId="0" fillId="2" borderId="10" xfId="1" applyNumberFormat="1" applyFont="1" applyFill="1" applyBorder="1"/>
    <xf numFmtId="164" fontId="0" fillId="2" borderId="0" xfId="1" applyNumberFormat="1" applyFont="1" applyFill="1" applyBorder="1"/>
    <xf numFmtId="164" fontId="0" fillId="2" borderId="11" xfId="1" applyNumberFormat="1" applyFont="1" applyFill="1" applyBorder="1"/>
    <xf numFmtId="1" fontId="0" fillId="8" borderId="2" xfId="0" applyNumberFormat="1" applyFill="1" applyBorder="1"/>
    <xf numFmtId="44" fontId="0" fillId="8" borderId="7" xfId="0" applyNumberFormat="1" applyFill="1" applyBorder="1"/>
    <xf numFmtId="44" fontId="0" fillId="8" borderId="3" xfId="0" applyNumberFormat="1" applyFill="1" applyBorder="1"/>
    <xf numFmtId="0" fontId="0" fillId="0" borderId="7" xfId="0" applyBorder="1"/>
    <xf numFmtId="0" fontId="0" fillId="0" borderId="3" xfId="0" applyBorder="1"/>
    <xf numFmtId="0" fontId="5" fillId="0" borderId="4" xfId="0" applyFont="1" applyBorder="1"/>
    <xf numFmtId="0" fontId="0" fillId="0" borderId="2" xfId="0" applyBorder="1"/>
    <xf numFmtId="168" fontId="0" fillId="0" borderId="1" xfId="1" applyNumberFormat="1" applyFont="1" applyBorder="1" applyAlignment="1"/>
    <xf numFmtId="168" fontId="0" fillId="0" borderId="1" xfId="1" applyNumberFormat="1" applyFont="1" applyBorder="1"/>
    <xf numFmtId="0" fontId="5" fillId="11" borderId="1" xfId="0" applyFont="1" applyFill="1" applyBorder="1"/>
    <xf numFmtId="0" fontId="0" fillId="12" borderId="1" xfId="0" applyFill="1" applyBorder="1"/>
    <xf numFmtId="0" fontId="5" fillId="6" borderId="4" xfId="0" applyFont="1" applyFill="1" applyBorder="1"/>
    <xf numFmtId="168" fontId="0" fillId="0" borderId="4" xfId="1" applyNumberFormat="1" applyFont="1" applyBorder="1" applyAlignment="1"/>
    <xf numFmtId="8" fontId="0" fillId="0" borderId="4" xfId="0" applyNumberFormat="1" applyBorder="1"/>
    <xf numFmtId="0" fontId="0" fillId="0" borderId="4" xfId="0" applyBorder="1"/>
    <xf numFmtId="2" fontId="0" fillId="0" borderId="4" xfId="0" applyNumberFormat="1" applyBorder="1"/>
    <xf numFmtId="44" fontId="0" fillId="0" borderId="4" xfId="0" applyNumberFormat="1" applyBorder="1"/>
    <xf numFmtId="0" fontId="0" fillId="10" borderId="6" xfId="0" applyFill="1" applyBorder="1"/>
    <xf numFmtId="168" fontId="0" fillId="0" borderId="6" xfId="1" applyNumberFormat="1" applyFont="1" applyBorder="1" applyAlignment="1">
      <alignment horizontal="right"/>
    </xf>
    <xf numFmtId="8" fontId="0" fillId="0" borderId="6" xfId="0" applyNumberFormat="1" applyBorder="1"/>
    <xf numFmtId="0" fontId="0" fillId="0" borderId="6" xfId="0" applyBorder="1"/>
    <xf numFmtId="2" fontId="0" fillId="0" borderId="6" xfId="0" applyNumberFormat="1" applyBorder="1"/>
    <xf numFmtId="168" fontId="0" fillId="0" borderId="6" xfId="1" applyNumberFormat="1" applyFont="1" applyBorder="1"/>
    <xf numFmtId="44" fontId="0" fillId="0" borderId="6" xfId="0" applyNumberFormat="1" applyBorder="1"/>
    <xf numFmtId="168" fontId="2" fillId="0" borderId="7" xfId="1" applyNumberFormat="1" applyFont="1" applyFill="1" applyBorder="1" applyAlignment="1"/>
    <xf numFmtId="8" fontId="0" fillId="0" borderId="7" xfId="0" applyNumberFormat="1" applyBorder="1"/>
    <xf numFmtId="2" fontId="0" fillId="0" borderId="7" xfId="0" applyNumberFormat="1" applyBorder="1"/>
    <xf numFmtId="0" fontId="0" fillId="0" borderId="12" xfId="0" applyBorder="1"/>
    <xf numFmtId="44" fontId="0" fillId="0" borderId="12" xfId="1" applyFont="1" applyBorder="1"/>
    <xf numFmtId="44" fontId="0" fillId="0" borderId="9" xfId="1" applyFont="1" applyBorder="1"/>
    <xf numFmtId="0" fontId="0" fillId="0" borderId="10" xfId="0" applyBorder="1"/>
    <xf numFmtId="44" fontId="0" fillId="0" borderId="0" xfId="1" applyFont="1" applyBorder="1"/>
    <xf numFmtId="44" fontId="0" fillId="0" borderId="11" xfId="1" applyFont="1" applyBorder="1"/>
    <xf numFmtId="0" fontId="0" fillId="0" borderId="13" xfId="0" applyBorder="1"/>
    <xf numFmtId="44" fontId="0" fillId="0" borderId="14" xfId="1" applyFont="1" applyBorder="1"/>
    <xf numFmtId="44" fontId="0" fillId="0" borderId="15" xfId="1" applyFont="1" applyBorder="1"/>
    <xf numFmtId="44" fontId="0" fillId="0" borderId="3" xfId="1" applyFont="1" applyBorder="1"/>
    <xf numFmtId="0" fontId="0" fillId="0" borderId="5" xfId="0" applyBorder="1"/>
    <xf numFmtId="0" fontId="0" fillId="0" borderId="11" xfId="0" applyBorder="1"/>
    <xf numFmtId="8" fontId="0" fillId="0" borderId="10" xfId="0" applyNumberFormat="1" applyBorder="1"/>
    <xf numFmtId="44" fontId="0" fillId="0" borderId="15" xfId="0" applyNumberFormat="1" applyBorder="1"/>
    <xf numFmtId="168" fontId="0" fillId="0" borderId="12" xfId="1" applyNumberFormat="1" applyFont="1" applyBorder="1" applyAlignment="1"/>
    <xf numFmtId="44" fontId="0" fillId="0" borderId="9" xfId="0" applyNumberFormat="1" applyBorder="1"/>
    <xf numFmtId="0" fontId="5" fillId="11" borderId="3" xfId="0" applyFont="1" applyFill="1" applyBorder="1"/>
    <xf numFmtId="0" fontId="5" fillId="6" borderId="9" xfId="0" applyFont="1" applyFill="1" applyBorder="1"/>
    <xf numFmtId="0" fontId="0" fillId="10" borderId="15" xfId="0" applyFill="1" applyBorder="1"/>
    <xf numFmtId="0" fontId="0" fillId="5" borderId="3" xfId="0" applyFill="1" applyBorder="1"/>
    <xf numFmtId="0" fontId="0" fillId="12" borderId="3" xfId="0" applyFill="1" applyBorder="1"/>
    <xf numFmtId="0" fontId="9" fillId="0" borderId="0" xfId="4"/>
    <xf numFmtId="3" fontId="0" fillId="0" borderId="8" xfId="0" applyNumberFormat="1" applyBorder="1"/>
    <xf numFmtId="3" fontId="0" fillId="0" borderId="9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3" xfId="0" applyNumberFormat="1" applyBorder="1"/>
    <xf numFmtId="3" fontId="0" fillId="7" borderId="3" xfId="0" applyNumberFormat="1" applyFill="1" applyBorder="1"/>
    <xf numFmtId="3" fontId="0" fillId="0" borderId="12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3" fontId="4" fillId="0" borderId="21" xfId="0" applyNumberFormat="1" applyFont="1" applyBorder="1"/>
    <xf numFmtId="3" fontId="4" fillId="0" borderId="22" xfId="0" applyNumberFormat="1" applyFont="1" applyBorder="1"/>
    <xf numFmtId="3" fontId="4" fillId="0" borderId="23" xfId="0" applyNumberFormat="1" applyFont="1" applyBorder="1"/>
    <xf numFmtId="3" fontId="4" fillId="0" borderId="24" xfId="0" applyNumberFormat="1" applyFont="1" applyBorder="1"/>
    <xf numFmtId="3" fontId="4" fillId="0" borderId="25" xfId="0" applyNumberFormat="1" applyFont="1" applyBorder="1"/>
    <xf numFmtId="3" fontId="3" fillId="0" borderId="21" xfId="0" applyNumberFormat="1" applyFont="1" applyBorder="1"/>
    <xf numFmtId="3" fontId="3" fillId="0" borderId="22" xfId="0" applyNumberFormat="1" applyFont="1" applyBorder="1"/>
    <xf numFmtId="3" fontId="3" fillId="0" borderId="23" xfId="0" applyNumberFormat="1" applyFont="1" applyBorder="1"/>
    <xf numFmtId="3" fontId="3" fillId="0" borderId="24" xfId="0" applyNumberFormat="1" applyFont="1" applyBorder="1"/>
    <xf numFmtId="3" fontId="3" fillId="0" borderId="25" xfId="0" applyNumberFormat="1" applyFont="1" applyBorder="1"/>
    <xf numFmtId="10" fontId="0" fillId="0" borderId="12" xfId="3" applyNumberFormat="1" applyFont="1" applyBorder="1"/>
    <xf numFmtId="0" fontId="0" fillId="0" borderId="17" xfId="0" applyBorder="1"/>
    <xf numFmtId="0" fontId="0" fillId="0" borderId="26" xfId="0" applyBorder="1"/>
    <xf numFmtId="166" fontId="0" fillId="0" borderId="26" xfId="2" applyNumberFormat="1" applyFont="1" applyFill="1" applyBorder="1"/>
    <xf numFmtId="168" fontId="0" fillId="0" borderId="26" xfId="1" applyNumberFormat="1" applyFont="1" applyBorder="1"/>
    <xf numFmtId="0" fontId="0" fillId="0" borderId="5" xfId="0" applyBorder="1" applyAlignment="1">
      <alignment horizontal="left"/>
    </xf>
    <xf numFmtId="9" fontId="0" fillId="0" borderId="29" xfId="3" applyFont="1" applyFill="1" applyBorder="1"/>
    <xf numFmtId="166" fontId="0" fillId="0" borderId="0" xfId="2" applyNumberFormat="1" applyFont="1" applyFill="1" applyBorder="1"/>
    <xf numFmtId="168" fontId="0" fillId="0" borderId="0" xfId="1" applyNumberFormat="1" applyFont="1" applyBorder="1"/>
    <xf numFmtId="9" fontId="0" fillId="0" borderId="0" xfId="3" applyFont="1" applyFill="1" applyBorder="1"/>
    <xf numFmtId="0" fontId="0" fillId="0" borderId="30" xfId="0" applyBorder="1"/>
    <xf numFmtId="0" fontId="0" fillId="0" borderId="0" xfId="2" applyNumberFormat="1" applyFont="1" applyFill="1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26" xfId="3" applyFont="1" applyBorder="1"/>
    <xf numFmtId="44" fontId="0" fillId="0" borderId="0" xfId="0" applyNumberFormat="1"/>
    <xf numFmtId="0" fontId="0" fillId="0" borderId="8" xfId="0" applyBorder="1"/>
    <xf numFmtId="0" fontId="0" fillId="0" borderId="0" xfId="0" applyAlignment="1">
      <alignment horizontal="left"/>
    </xf>
    <xf numFmtId="2" fontId="5" fillId="0" borderId="4" xfId="0" applyNumberFormat="1" applyFont="1" applyBorder="1"/>
    <xf numFmtId="43" fontId="5" fillId="0" borderId="4" xfId="2" applyFont="1" applyBorder="1"/>
    <xf numFmtId="10" fontId="5" fillId="0" borderId="4" xfId="0" applyNumberFormat="1" applyFont="1" applyBorder="1"/>
    <xf numFmtId="166" fontId="0" fillId="0" borderId="12" xfId="2" applyNumberFormat="1" applyFont="1" applyBorder="1"/>
    <xf numFmtId="2" fontId="0" fillId="0" borderId="12" xfId="0" applyNumberFormat="1" applyBorder="1"/>
    <xf numFmtId="43" fontId="0" fillId="0" borderId="12" xfId="2" applyFont="1" applyBorder="1"/>
    <xf numFmtId="10" fontId="0" fillId="0" borderId="9" xfId="0" applyNumberFormat="1" applyBorder="1"/>
    <xf numFmtId="0" fontId="1" fillId="0" borderId="10" xfId="0" applyFont="1" applyBorder="1"/>
    <xf numFmtId="43" fontId="0" fillId="0" borderId="0" xfId="2" applyFont="1" applyBorder="1"/>
    <xf numFmtId="10" fontId="0" fillId="0" borderId="11" xfId="0" applyNumberFormat="1" applyBorder="1"/>
    <xf numFmtId="166" fontId="0" fillId="0" borderId="0" xfId="2" applyNumberFormat="1" applyFont="1" applyBorder="1"/>
    <xf numFmtId="43" fontId="0" fillId="0" borderId="14" xfId="2" applyFont="1" applyBorder="1"/>
    <xf numFmtId="10" fontId="0" fillId="0" borderId="15" xfId="0" applyNumberFormat="1" applyBorder="1"/>
    <xf numFmtId="0" fontId="0" fillId="0" borderId="19" xfId="0" applyBorder="1"/>
    <xf numFmtId="166" fontId="0" fillId="0" borderId="0" xfId="0" applyNumberFormat="1"/>
    <xf numFmtId="166" fontId="0" fillId="0" borderId="14" xfId="0" applyNumberFormat="1" applyBorder="1"/>
    <xf numFmtId="168" fontId="0" fillId="0" borderId="0" xfId="1" applyNumberFormat="1" applyFont="1" applyFill="1" applyBorder="1"/>
    <xf numFmtId="9" fontId="0" fillId="0" borderId="0" xfId="3" applyFont="1" applyBorder="1"/>
    <xf numFmtId="166" fontId="1" fillId="0" borderId="0" xfId="2" applyNumberFormat="1" applyFont="1" applyFill="1" applyBorder="1"/>
    <xf numFmtId="168" fontId="1" fillId="0" borderId="0" xfId="1" applyNumberFormat="1" applyFont="1" applyFill="1" applyBorder="1"/>
    <xf numFmtId="9" fontId="0" fillId="0" borderId="20" xfId="3" applyFont="1" applyFill="1" applyBorder="1"/>
    <xf numFmtId="0" fontId="1" fillId="0" borderId="19" xfId="0" applyFont="1" applyBorder="1"/>
    <xf numFmtId="0" fontId="0" fillId="0" borderId="0" xfId="0" applyAlignment="1">
      <alignment horizontal="center" vertical="center"/>
    </xf>
    <xf numFmtId="0" fontId="0" fillId="0" borderId="0" xfId="2" applyNumberFormat="1" applyFont="1" applyBorder="1" applyAlignment="1">
      <alignment horizontal="center"/>
    </xf>
    <xf numFmtId="170" fontId="0" fillId="0" borderId="0" xfId="2" applyNumberFormat="1" applyFont="1" applyBorder="1"/>
    <xf numFmtId="169" fontId="0" fillId="0" borderId="0" xfId="0" applyNumberFormat="1"/>
    <xf numFmtId="168" fontId="0" fillId="0" borderId="0" xfId="0" applyNumberFormat="1"/>
    <xf numFmtId="0" fontId="0" fillId="0" borderId="18" xfId="0" applyBorder="1"/>
    <xf numFmtId="0" fontId="0" fillId="0" borderId="20" xfId="0" applyBorder="1"/>
    <xf numFmtId="0" fontId="0" fillId="0" borderId="29" xfId="0" applyBorder="1"/>
    <xf numFmtId="0" fontId="0" fillId="0" borderId="0" xfId="0" applyAlignment="1">
      <alignment horizontal="center"/>
    </xf>
    <xf numFmtId="0" fontId="2" fillId="0" borderId="0" xfId="2" applyNumberFormat="1" applyFont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0" fillId="0" borderId="11" xfId="0" applyBorder="1" applyAlignment="1">
      <alignment horizontal="center"/>
    </xf>
    <xf numFmtId="0" fontId="2" fillId="0" borderId="11" xfId="2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2" applyNumberFormat="1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2" applyNumberFormat="1" applyFont="1" applyFill="1" applyBorder="1" applyAlignment="1">
      <alignment horizontal="center"/>
    </xf>
    <xf numFmtId="0" fontId="0" fillId="0" borderId="15" xfId="0" applyBorder="1"/>
    <xf numFmtId="166" fontId="0" fillId="0" borderId="19" xfId="2" applyNumberFormat="1" applyFont="1" applyFill="1" applyBorder="1"/>
    <xf numFmtId="166" fontId="0" fillId="0" borderId="20" xfId="2" applyNumberFormat="1" applyFont="1" applyFill="1" applyBorder="1"/>
    <xf numFmtId="167" fontId="0" fillId="0" borderId="19" xfId="0" applyNumberFormat="1" applyBorder="1"/>
    <xf numFmtId="1" fontId="1" fillId="0" borderId="19" xfId="0" applyNumberFormat="1" applyFont="1" applyBorder="1"/>
    <xf numFmtId="0" fontId="1" fillId="0" borderId="20" xfId="0" applyFont="1" applyBorder="1"/>
    <xf numFmtId="166" fontId="5" fillId="0" borderId="7" xfId="2" applyNumberFormat="1" applyFont="1" applyBorder="1"/>
    <xf numFmtId="9" fontId="0" fillId="0" borderId="12" xfId="3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9" fontId="0" fillId="0" borderId="9" xfId="3" applyFont="1" applyBorder="1" applyAlignment="1">
      <alignment horizontal="center"/>
    </xf>
    <xf numFmtId="9" fontId="0" fillId="0" borderId="8" xfId="3" applyFont="1" applyBorder="1" applyAlignment="1">
      <alignment horizontal="left"/>
    </xf>
    <xf numFmtId="0" fontId="0" fillId="0" borderId="9" xfId="0" applyBorder="1" applyAlignment="1">
      <alignment horizontal="center"/>
    </xf>
    <xf numFmtId="9" fontId="0" fillId="0" borderId="10" xfId="3" applyFont="1" applyBorder="1" applyAlignment="1">
      <alignment horizontal="left"/>
    </xf>
    <xf numFmtId="9" fontId="0" fillId="0" borderId="13" xfId="3" applyFont="1" applyBorder="1" applyAlignment="1">
      <alignment horizontal="left"/>
    </xf>
    <xf numFmtId="0" fontId="0" fillId="0" borderId="15" xfId="0" applyBorder="1" applyAlignment="1">
      <alignment horizontal="center"/>
    </xf>
    <xf numFmtId="0" fontId="2" fillId="0" borderId="0" xfId="2" applyNumberFormat="1" applyFont="1" applyBorder="1" applyAlignment="1">
      <alignment horizontal="right" vertical="center"/>
    </xf>
    <xf numFmtId="0" fontId="2" fillId="0" borderId="0" xfId="2" applyNumberFormat="1" applyFont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right"/>
    </xf>
    <xf numFmtId="0" fontId="2" fillId="0" borderId="14" xfId="2" applyNumberFormat="1" applyFont="1" applyBorder="1" applyAlignment="1">
      <alignment horizontal="right"/>
    </xf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righ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6" xfId="0" applyBorder="1" applyAlignment="1">
      <alignment horizontal="right"/>
    </xf>
    <xf numFmtId="0" fontId="0" fillId="0" borderId="32" xfId="0" applyBorder="1" applyAlignment="1">
      <alignment horizontal="right"/>
    </xf>
    <xf numFmtId="166" fontId="0" fillId="0" borderId="27" xfId="2" applyNumberFormat="1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0" xfId="0" applyBorder="1" applyAlignment="1">
      <alignment horizontal="left"/>
    </xf>
    <xf numFmtId="43" fontId="0" fillId="0" borderId="0" xfId="0" applyNumberFormat="1"/>
    <xf numFmtId="168" fontId="0" fillId="0" borderId="14" xfId="1" applyNumberFormat="1" applyFont="1" applyBorder="1"/>
    <xf numFmtId="168" fontId="0" fillId="0" borderId="12" xfId="1" applyNumberFormat="1" applyFont="1" applyFill="1" applyBorder="1"/>
    <xf numFmtId="0" fontId="5" fillId="0" borderId="5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2" fillId="0" borderId="4" xfId="2" applyNumberFormat="1" applyFont="1" applyBorder="1"/>
    <xf numFmtId="2" fontId="2" fillId="0" borderId="5" xfId="2" applyNumberFormat="1" applyFont="1" applyBorder="1"/>
    <xf numFmtId="2" fontId="0" fillId="0" borderId="5" xfId="0" applyNumberFormat="1" applyBorder="1"/>
    <xf numFmtId="10" fontId="5" fillId="0" borderId="2" xfId="0" applyNumberFormat="1" applyFont="1" applyBorder="1"/>
    <xf numFmtId="2" fontId="0" fillId="0" borderId="10" xfId="0" applyNumberFormat="1" applyBorder="1"/>
    <xf numFmtId="44" fontId="0" fillId="0" borderId="11" xfId="0" applyNumberFormat="1" applyBorder="1"/>
    <xf numFmtId="2" fontId="0" fillId="0" borderId="13" xfId="0" applyNumberFormat="1" applyBorder="1"/>
    <xf numFmtId="0" fontId="5" fillId="0" borderId="34" xfId="0" applyFont="1" applyBorder="1" applyAlignment="1">
      <alignment horizontal="center"/>
    </xf>
    <xf numFmtId="44" fontId="0" fillId="0" borderId="8" xfId="0" applyNumberFormat="1" applyBorder="1"/>
    <xf numFmtId="44" fontId="0" fillId="0" borderId="10" xfId="0" applyNumberFormat="1" applyBorder="1"/>
    <xf numFmtId="44" fontId="0" fillId="0" borderId="13" xfId="0" applyNumberFormat="1" applyBorder="1"/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5" fillId="0" borderId="37" xfId="0" applyNumberFormat="1" applyFont="1" applyBorder="1" applyAlignment="1">
      <alignment horizontal="left"/>
    </xf>
    <xf numFmtId="4" fontId="5" fillId="0" borderId="33" xfId="0" applyNumberFormat="1" applyFont="1" applyBorder="1" applyAlignment="1">
      <alignment horizontal="left"/>
    </xf>
    <xf numFmtId="0" fontId="0" fillId="0" borderId="32" xfId="0" applyBorder="1"/>
    <xf numFmtId="0" fontId="0" fillId="0" borderId="28" xfId="0" applyBorder="1"/>
    <xf numFmtId="0" fontId="0" fillId="0" borderId="27" xfId="0" applyBorder="1"/>
    <xf numFmtId="0" fontId="0" fillId="3" borderId="17" xfId="0" applyFill="1" applyBorder="1"/>
    <xf numFmtId="0" fontId="0" fillId="3" borderId="35" xfId="0" applyFill="1" applyBorder="1"/>
    <xf numFmtId="0" fontId="0" fillId="3" borderId="36" xfId="0" applyFill="1" applyBorder="1"/>
    <xf numFmtId="166" fontId="0" fillId="3" borderId="17" xfId="2" applyNumberFormat="1" applyFont="1" applyFill="1" applyBorder="1"/>
    <xf numFmtId="9" fontId="0" fillId="3" borderId="36" xfId="0" applyNumberFormat="1" applyFill="1" applyBorder="1"/>
    <xf numFmtId="166" fontId="0" fillId="3" borderId="35" xfId="2" applyNumberFormat="1" applyFont="1" applyFill="1" applyBorder="1"/>
    <xf numFmtId="9" fontId="0" fillId="3" borderId="18" xfId="0" applyNumberFormat="1" applyFill="1" applyBorder="1"/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166" fontId="0" fillId="3" borderId="0" xfId="2" applyNumberFormat="1" applyFont="1" applyFill="1" applyBorder="1"/>
    <xf numFmtId="9" fontId="0" fillId="3" borderId="11" xfId="0" applyNumberFormat="1" applyFill="1" applyBorder="1"/>
    <xf numFmtId="166" fontId="0" fillId="3" borderId="10" xfId="2" applyNumberFormat="1" applyFont="1" applyFill="1" applyBorder="1"/>
    <xf numFmtId="9" fontId="0" fillId="3" borderId="20" xfId="0" applyNumberFormat="1" applyFill="1" applyBorder="1"/>
    <xf numFmtId="0" fontId="0" fillId="13" borderId="17" xfId="0" applyFill="1" applyBorder="1"/>
    <xf numFmtId="0" fontId="0" fillId="13" borderId="35" xfId="0" applyFill="1" applyBorder="1"/>
    <xf numFmtId="0" fontId="0" fillId="13" borderId="36" xfId="0" applyFill="1" applyBorder="1"/>
    <xf numFmtId="166" fontId="0" fillId="13" borderId="17" xfId="2" applyNumberFormat="1" applyFont="1" applyFill="1" applyBorder="1"/>
    <xf numFmtId="9" fontId="0" fillId="13" borderId="36" xfId="0" applyNumberFormat="1" applyFill="1" applyBorder="1"/>
    <xf numFmtId="166" fontId="0" fillId="13" borderId="35" xfId="2" applyNumberFormat="1" applyFont="1" applyFill="1" applyBorder="1"/>
    <xf numFmtId="9" fontId="0" fillId="13" borderId="18" xfId="0" applyNumberFormat="1" applyFill="1" applyBorder="1"/>
    <xf numFmtId="0" fontId="0" fillId="13" borderId="0" xfId="0" applyFill="1"/>
    <xf numFmtId="0" fontId="0" fillId="13" borderId="10" xfId="0" applyFill="1" applyBorder="1"/>
    <xf numFmtId="0" fontId="0" fillId="13" borderId="11" xfId="0" applyFill="1" applyBorder="1"/>
    <xf numFmtId="166" fontId="0" fillId="13" borderId="0" xfId="2" applyNumberFormat="1" applyFont="1" applyFill="1" applyBorder="1"/>
    <xf numFmtId="9" fontId="0" fillId="13" borderId="11" xfId="0" applyNumberFormat="1" applyFill="1" applyBorder="1"/>
    <xf numFmtId="166" fontId="0" fillId="13" borderId="10" xfId="2" applyNumberFormat="1" applyFont="1" applyFill="1" applyBorder="1"/>
    <xf numFmtId="9" fontId="0" fillId="13" borderId="20" xfId="0" applyNumberFormat="1" applyFill="1" applyBorder="1"/>
    <xf numFmtId="0" fontId="0" fillId="13" borderId="14" xfId="0" applyFill="1" applyBorder="1"/>
    <xf numFmtId="0" fontId="0" fillId="13" borderId="13" xfId="0" applyFill="1" applyBorder="1"/>
    <xf numFmtId="0" fontId="0" fillId="13" borderId="15" xfId="0" applyFill="1" applyBorder="1"/>
    <xf numFmtId="166" fontId="0" fillId="13" borderId="14" xfId="2" applyNumberFormat="1" applyFont="1" applyFill="1" applyBorder="1"/>
    <xf numFmtId="9" fontId="0" fillId="13" borderId="15" xfId="0" applyNumberFormat="1" applyFill="1" applyBorder="1"/>
    <xf numFmtId="166" fontId="0" fillId="13" borderId="13" xfId="2" applyNumberFormat="1" applyFont="1" applyFill="1" applyBorder="1"/>
    <xf numFmtId="9" fontId="0" fillId="13" borderId="38" xfId="0" applyNumberFormat="1" applyFill="1" applyBorder="1"/>
    <xf numFmtId="0" fontId="1" fillId="13" borderId="11" xfId="0" applyFont="1" applyFill="1" applyBorder="1"/>
    <xf numFmtId="0" fontId="0" fillId="13" borderId="26" xfId="0" applyFill="1" applyBorder="1"/>
    <xf numFmtId="0" fontId="0" fillId="13" borderId="31" xfId="0" applyFill="1" applyBorder="1"/>
    <xf numFmtId="0" fontId="1" fillId="13" borderId="32" xfId="0" applyFont="1" applyFill="1" applyBorder="1"/>
    <xf numFmtId="166" fontId="0" fillId="13" borderId="26" xfId="2" applyNumberFormat="1" applyFont="1" applyFill="1" applyBorder="1"/>
    <xf numFmtId="9" fontId="0" fillId="13" borderId="32" xfId="0" applyNumberFormat="1" applyFill="1" applyBorder="1"/>
    <xf numFmtId="9" fontId="0" fillId="13" borderId="29" xfId="0" applyNumberFormat="1" applyFill="1" applyBorder="1"/>
    <xf numFmtId="16" fontId="0" fillId="13" borderId="17" xfId="0" applyNumberFormat="1" applyFill="1" applyBorder="1"/>
    <xf numFmtId="0" fontId="1" fillId="13" borderId="36" xfId="0" applyFont="1" applyFill="1" applyBorder="1"/>
    <xf numFmtId="166" fontId="0" fillId="13" borderId="31" xfId="2" applyNumberFormat="1" applyFont="1" applyFill="1" applyBorder="1"/>
    <xf numFmtId="0" fontId="1" fillId="13" borderId="15" xfId="0" applyFont="1" applyFill="1" applyBorder="1"/>
    <xf numFmtId="0" fontId="0" fillId="13" borderId="8" xfId="0" applyFill="1" applyBorder="1"/>
    <xf numFmtId="0" fontId="0" fillId="13" borderId="12" xfId="0" applyFill="1" applyBorder="1"/>
    <xf numFmtId="0" fontId="1" fillId="13" borderId="9" xfId="0" applyFont="1" applyFill="1" applyBorder="1"/>
    <xf numFmtId="9" fontId="0" fillId="13" borderId="39" xfId="0" applyNumberFormat="1" applyFill="1" applyBorder="1"/>
    <xf numFmtId="0" fontId="0" fillId="3" borderId="12" xfId="0" applyFill="1" applyBorder="1"/>
    <xf numFmtId="0" fontId="0" fillId="3" borderId="8" xfId="0" applyFill="1" applyBorder="1"/>
    <xf numFmtId="0" fontId="1" fillId="3" borderId="9" xfId="0" applyFont="1" applyFill="1" applyBorder="1"/>
    <xf numFmtId="166" fontId="0" fillId="3" borderId="12" xfId="2" applyNumberFormat="1" applyFont="1" applyFill="1" applyBorder="1"/>
    <xf numFmtId="9" fontId="0" fillId="3" borderId="9" xfId="0" applyNumberFormat="1" applyFill="1" applyBorder="1"/>
    <xf numFmtId="166" fontId="0" fillId="3" borderId="8" xfId="2" applyNumberFormat="1" applyFont="1" applyFill="1" applyBorder="1"/>
    <xf numFmtId="9" fontId="0" fillId="3" borderId="39" xfId="0" applyNumberFormat="1" applyFill="1" applyBorder="1"/>
    <xf numFmtId="0" fontId="1" fillId="3" borderId="11" xfId="0" applyFont="1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15" xfId="0" applyFont="1" applyFill="1" applyBorder="1"/>
    <xf numFmtId="166" fontId="0" fillId="3" borderId="14" xfId="2" applyNumberFormat="1" applyFont="1" applyFill="1" applyBorder="1"/>
    <xf numFmtId="9" fontId="0" fillId="3" borderId="15" xfId="0" applyNumberFormat="1" applyFill="1" applyBorder="1"/>
    <xf numFmtId="166" fontId="0" fillId="3" borderId="13" xfId="2" applyNumberFormat="1" applyFont="1" applyFill="1" applyBorder="1"/>
    <xf numFmtId="9" fontId="0" fillId="3" borderId="38" xfId="0" applyNumberFormat="1" applyFill="1" applyBorder="1"/>
    <xf numFmtId="0" fontId="1" fillId="3" borderId="36" xfId="0" applyFont="1" applyFill="1" applyBorder="1"/>
    <xf numFmtId="0" fontId="0" fillId="3" borderId="40" xfId="0" applyFill="1" applyBorder="1"/>
    <xf numFmtId="0" fontId="0" fillId="3" borderId="28" xfId="0" applyFill="1" applyBorder="1"/>
    <xf numFmtId="0" fontId="0" fillId="13" borderId="40" xfId="0" applyFill="1" applyBorder="1"/>
    <xf numFmtId="0" fontId="0" fillId="13" borderId="28" xfId="0" applyFill="1" applyBorder="1"/>
    <xf numFmtId="4" fontId="1" fillId="0" borderId="4" xfId="0" applyNumberFormat="1" applyFont="1" applyBorder="1" applyAlignment="1">
      <alignment horizontal="right"/>
    </xf>
    <xf numFmtId="4" fontId="7" fillId="0" borderId="37" xfId="0" applyNumberFormat="1" applyFont="1" applyBorder="1" applyAlignment="1">
      <alignment horizontal="left"/>
    </xf>
    <xf numFmtId="9" fontId="0" fillId="13" borderId="9" xfId="0" applyNumberFormat="1" applyFill="1" applyBorder="1"/>
    <xf numFmtId="166" fontId="0" fillId="3" borderId="36" xfId="2" applyNumberFormat="1" applyFont="1" applyFill="1" applyBorder="1"/>
    <xf numFmtId="166" fontId="0" fillId="3" borderId="11" xfId="2" applyNumberFormat="1" applyFont="1" applyFill="1" applyBorder="1"/>
    <xf numFmtId="166" fontId="0" fillId="13" borderId="36" xfId="2" applyNumberFormat="1" applyFont="1" applyFill="1" applyBorder="1"/>
    <xf numFmtId="166" fontId="0" fillId="13" borderId="11" xfId="2" applyNumberFormat="1" applyFont="1" applyFill="1" applyBorder="1"/>
    <xf numFmtId="166" fontId="0" fillId="13" borderId="15" xfId="2" applyNumberFormat="1" applyFont="1" applyFill="1" applyBorder="1"/>
    <xf numFmtId="166" fontId="0" fillId="3" borderId="9" xfId="2" applyNumberFormat="1" applyFont="1" applyFill="1" applyBorder="1"/>
    <xf numFmtId="166" fontId="0" fillId="3" borderId="15" xfId="2" applyNumberFormat="1" applyFont="1" applyFill="1" applyBorder="1"/>
    <xf numFmtId="166" fontId="0" fillId="13" borderId="32" xfId="2" applyNumberFormat="1" applyFont="1" applyFill="1" applyBorder="1"/>
    <xf numFmtId="166" fontId="0" fillId="13" borderId="8" xfId="2" applyNumberFormat="1" applyFont="1" applyFill="1" applyBorder="1"/>
    <xf numFmtId="166" fontId="0" fillId="13" borderId="9" xfId="2" applyNumberFormat="1" applyFont="1" applyFill="1" applyBorder="1"/>
    <xf numFmtId="2" fontId="0" fillId="0" borderId="33" xfId="0" applyNumberFormat="1" applyBorder="1" applyAlignment="1">
      <alignment horizontal="center"/>
    </xf>
    <xf numFmtId="0" fontId="1" fillId="3" borderId="41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66" fontId="5" fillId="0" borderId="8" xfId="2" applyNumberFormat="1" applyFont="1" applyBorder="1" applyAlignment="1">
      <alignment horizontal="center"/>
    </xf>
    <xf numFmtId="166" fontId="0" fillId="13" borderId="12" xfId="2" applyNumberFormat="1" applyFont="1" applyFill="1" applyBorder="1"/>
    <xf numFmtId="166" fontId="5" fillId="0" borderId="12" xfId="2" applyNumberFormat="1" applyFont="1" applyBorder="1" applyAlignment="1">
      <alignment horizontal="center"/>
    </xf>
    <xf numFmtId="171" fontId="0" fillId="3" borderId="36" xfId="2" applyNumberFormat="1" applyFont="1" applyFill="1" applyBorder="1"/>
    <xf numFmtId="171" fontId="0" fillId="3" borderId="11" xfId="2" applyNumberFormat="1" applyFont="1" applyFill="1" applyBorder="1"/>
    <xf numFmtId="171" fontId="0" fillId="13" borderId="36" xfId="2" applyNumberFormat="1" applyFont="1" applyFill="1" applyBorder="1"/>
    <xf numFmtId="171" fontId="0" fillId="13" borderId="11" xfId="2" applyNumberFormat="1" applyFont="1" applyFill="1" applyBorder="1"/>
    <xf numFmtId="171" fontId="0" fillId="13" borderId="15" xfId="2" applyNumberFormat="1" applyFont="1" applyFill="1" applyBorder="1"/>
    <xf numFmtId="171" fontId="0" fillId="3" borderId="9" xfId="2" applyNumberFormat="1" applyFont="1" applyFill="1" applyBorder="1"/>
    <xf numFmtId="171" fontId="0" fillId="3" borderId="15" xfId="2" applyNumberFormat="1" applyFont="1" applyFill="1" applyBorder="1"/>
    <xf numFmtId="171" fontId="0" fillId="13" borderId="32" xfId="2" applyNumberFormat="1" applyFont="1" applyFill="1" applyBorder="1"/>
    <xf numFmtId="171" fontId="0" fillId="13" borderId="9" xfId="2" applyNumberFormat="1" applyFont="1" applyFill="1" applyBorder="1"/>
    <xf numFmtId="171" fontId="0" fillId="3" borderId="41" xfId="2" applyNumberFormat="1" applyFont="1" applyFill="1" applyBorder="1"/>
    <xf numFmtId="171" fontId="0" fillId="3" borderId="5" xfId="2" applyNumberFormat="1" applyFont="1" applyFill="1" applyBorder="1"/>
    <xf numFmtId="171" fontId="0" fillId="3" borderId="6" xfId="2" applyNumberFormat="1" applyFont="1" applyFill="1" applyBorder="1"/>
    <xf numFmtId="0" fontId="10" fillId="3" borderId="10" xfId="0" applyFont="1" applyFill="1" applyBorder="1"/>
    <xf numFmtId="0" fontId="10" fillId="3" borderId="0" xfId="0" applyFont="1" applyFill="1"/>
    <xf numFmtId="0" fontId="10" fillId="13" borderId="0" xfId="0" applyFont="1" applyFill="1"/>
    <xf numFmtId="0" fontId="10" fillId="13" borderId="10" xfId="0" applyFont="1" applyFill="1" applyBorder="1"/>
    <xf numFmtId="166" fontId="0" fillId="0" borderId="26" xfId="2" applyNumberFormat="1" applyFont="1" applyBorder="1"/>
    <xf numFmtId="0" fontId="0" fillId="0" borderId="31" xfId="0" applyBorder="1"/>
    <xf numFmtId="166" fontId="0" fillId="0" borderId="8" xfId="2" applyNumberFormat="1" applyFont="1" applyBorder="1"/>
    <xf numFmtId="166" fontId="0" fillId="0" borderId="10" xfId="2" applyNumberFormat="1" applyFont="1" applyBorder="1"/>
    <xf numFmtId="166" fontId="0" fillId="0" borderId="31" xfId="2" applyNumberFormat="1" applyFont="1" applyBorder="1"/>
    <xf numFmtId="166" fontId="0" fillId="0" borderId="8" xfId="0" applyNumberFormat="1" applyBorder="1"/>
    <xf numFmtId="171" fontId="0" fillId="0" borderId="8" xfId="0" applyNumberFormat="1" applyBorder="1"/>
    <xf numFmtId="9" fontId="0" fillId="0" borderId="12" xfId="0" applyNumberFormat="1" applyBorder="1"/>
    <xf numFmtId="9" fontId="0" fillId="0" borderId="26" xfId="0" applyNumberFormat="1" applyBorder="1"/>
    <xf numFmtId="9" fontId="0" fillId="0" borderId="39" xfId="0" applyNumberFormat="1" applyBorder="1"/>
    <xf numFmtId="9" fontId="0" fillId="0" borderId="20" xfId="0" applyNumberFormat="1" applyBorder="1"/>
    <xf numFmtId="9" fontId="0" fillId="0" borderId="29" xfId="0" applyNumberFormat="1" applyBorder="1"/>
    <xf numFmtId="0" fontId="10" fillId="0" borderId="10" xfId="0" applyFont="1" applyBorder="1"/>
    <xf numFmtId="0" fontId="10" fillId="0" borderId="0" xfId="0" applyFont="1"/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E36D"/>
        </left>
        <right style="thin">
          <color rgb="FF00E36D"/>
        </right>
        <top style="thin">
          <color rgb="FF00E36D"/>
        </top>
        <bottom style="thin">
          <color rgb="FF00E36D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E3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countylexus.com/auto/preowned-2021-toyota-corolla-little-falls-nj/852794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21FE-3517-6746-8078-A72DF0E9CF5E}">
  <sheetPr>
    <pageSetUpPr fitToPage="1"/>
  </sheetPr>
  <dimension ref="A1:X64"/>
  <sheetViews>
    <sheetView tabSelected="1" zoomScale="90" zoomScaleNormal="90" workbookViewId="0">
      <selection activeCell="K19" sqref="K19"/>
    </sheetView>
  </sheetViews>
  <sheetFormatPr baseColWidth="10" defaultRowHeight="16" x14ac:dyDescent="0.2"/>
  <cols>
    <col min="1" max="1" width="26.83203125" bestFit="1" customWidth="1"/>
    <col min="2" max="2" width="13.5" bestFit="1" customWidth="1"/>
    <col min="3" max="3" width="12.5" style="21" bestFit="1" customWidth="1"/>
    <col min="4" max="4" width="12.6640625" bestFit="1" customWidth="1"/>
    <col min="5" max="5" width="13.1640625" bestFit="1" customWidth="1"/>
    <col min="6" max="6" width="16.1640625" bestFit="1" customWidth="1"/>
    <col min="7" max="7" width="17.33203125" bestFit="1" customWidth="1"/>
    <col min="8" max="8" width="25" bestFit="1" customWidth="1"/>
    <col min="9" max="9" width="12.6640625" bestFit="1" customWidth="1"/>
    <col min="10" max="10" width="8.83203125" bestFit="1" customWidth="1"/>
    <col min="11" max="11" width="18.33203125" bestFit="1" customWidth="1"/>
    <col min="12" max="12" width="28.6640625" bestFit="1" customWidth="1"/>
    <col min="13" max="13" width="20.33203125" bestFit="1" customWidth="1"/>
    <col min="14" max="14" width="52.6640625" bestFit="1" customWidth="1"/>
    <col min="15" max="15" width="32.83203125" bestFit="1" customWidth="1"/>
    <col min="16" max="16" width="14.83203125" bestFit="1" customWidth="1"/>
    <col min="17" max="17" width="17.6640625" bestFit="1" customWidth="1"/>
    <col min="18" max="18" width="19.83203125" bestFit="1" customWidth="1"/>
    <col min="19" max="19" width="17.33203125" bestFit="1" customWidth="1"/>
    <col min="20" max="21" width="8.5" bestFit="1" customWidth="1"/>
    <col min="22" max="22" width="14" bestFit="1" customWidth="1"/>
    <col min="23" max="24" width="8.33203125" bestFit="1" customWidth="1"/>
  </cols>
  <sheetData>
    <row r="1" spans="1:24" x14ac:dyDescent="0.2">
      <c r="A1" s="98" t="s">
        <v>0</v>
      </c>
      <c r="B1" s="97" t="s">
        <v>7</v>
      </c>
      <c r="C1" s="259" t="s">
        <v>3</v>
      </c>
      <c r="D1" s="99" t="s">
        <v>1</v>
      </c>
      <c r="E1" s="98" t="s">
        <v>2</v>
      </c>
      <c r="F1" s="97" t="s">
        <v>4</v>
      </c>
      <c r="G1" s="99" t="s">
        <v>9</v>
      </c>
      <c r="H1" s="98" t="s">
        <v>5</v>
      </c>
      <c r="I1" s="97" t="s">
        <v>13</v>
      </c>
      <c r="J1" s="97" t="s">
        <v>14</v>
      </c>
      <c r="K1" s="99" t="s">
        <v>6</v>
      </c>
      <c r="L1" s="98" t="s">
        <v>10</v>
      </c>
      <c r="M1" s="99" t="s">
        <v>199</v>
      </c>
      <c r="N1" s="98" t="s">
        <v>205</v>
      </c>
      <c r="O1" s="99" t="s">
        <v>206</v>
      </c>
      <c r="P1" s="98" t="s">
        <v>124</v>
      </c>
      <c r="Q1" s="97" t="s">
        <v>149</v>
      </c>
      <c r="R1" s="99" t="s">
        <v>150</v>
      </c>
      <c r="S1" s="98" t="s">
        <v>15</v>
      </c>
      <c r="T1" s="97" t="s">
        <v>16</v>
      </c>
      <c r="U1" s="99" t="s">
        <v>17</v>
      </c>
      <c r="V1" s="98" t="s">
        <v>18</v>
      </c>
      <c r="W1" s="97" t="s">
        <v>16</v>
      </c>
      <c r="X1" s="99" t="s">
        <v>17</v>
      </c>
    </row>
    <row r="2" spans="1:24" x14ac:dyDescent="0.2">
      <c r="A2" s="226" t="s">
        <v>221</v>
      </c>
      <c r="B2" s="203">
        <v>75000</v>
      </c>
      <c r="C2" s="229">
        <v>3700</v>
      </c>
      <c r="D2" t="s">
        <v>222</v>
      </c>
      <c r="E2" s="226">
        <v>171</v>
      </c>
      <c r="G2" s="241"/>
      <c r="H2" s="226"/>
      <c r="K2" s="241"/>
      <c r="L2" s="226" t="s">
        <v>11</v>
      </c>
      <c r="M2" s="241" t="s">
        <v>201</v>
      </c>
      <c r="N2" s="226" t="s">
        <v>215</v>
      </c>
      <c r="O2" s="241" t="s">
        <v>234</v>
      </c>
      <c r="P2" s="256">
        <f>0.2*20+27*0.8</f>
        <v>25.6</v>
      </c>
      <c r="Q2">
        <v>4.4000000000000004</v>
      </c>
      <c r="R2" s="241">
        <v>4.2</v>
      </c>
      <c r="S2" s="254">
        <v>3407</v>
      </c>
      <c r="T2" s="203">
        <v>2638</v>
      </c>
      <c r="U2" s="255">
        <v>2043</v>
      </c>
      <c r="V2" s="230">
        <f>S2/$C2</f>
        <v>0.92081081081081084</v>
      </c>
      <c r="W2" s="230">
        <f>T2/$C2</f>
        <v>0.71297297297297302</v>
      </c>
      <c r="X2" s="233">
        <f>U2/$C2</f>
        <v>0.55216216216216218</v>
      </c>
    </row>
    <row r="3" spans="1:24" x14ac:dyDescent="0.2">
      <c r="A3" s="226" t="s">
        <v>223</v>
      </c>
      <c r="B3" s="203">
        <v>59099</v>
      </c>
      <c r="C3" s="229">
        <v>14998</v>
      </c>
      <c r="D3" t="s">
        <v>224</v>
      </c>
      <c r="E3" s="226">
        <v>345</v>
      </c>
      <c r="G3" s="241"/>
      <c r="H3" s="226">
        <v>4.7</v>
      </c>
      <c r="K3" s="241">
        <v>13.1</v>
      </c>
      <c r="L3" s="226" t="s">
        <v>12</v>
      </c>
      <c r="M3" s="241" t="s">
        <v>200</v>
      </c>
      <c r="N3" s="226" t="s">
        <v>235</v>
      </c>
      <c r="O3" s="241" t="s">
        <v>236</v>
      </c>
      <c r="P3" s="256">
        <f>0.2*16+0.8*25</f>
        <v>23.2</v>
      </c>
      <c r="Q3">
        <v>4.5</v>
      </c>
      <c r="R3" s="241">
        <v>5</v>
      </c>
      <c r="S3" s="254">
        <v>12858</v>
      </c>
      <c r="T3" s="203">
        <v>11605</v>
      </c>
      <c r="U3" s="255">
        <v>10474</v>
      </c>
      <c r="V3" s="230">
        <f>S3/$C3</f>
        <v>0.85731430857447655</v>
      </c>
      <c r="W3" s="230">
        <f>T3/$C3</f>
        <v>0.77376983597813043</v>
      </c>
      <c r="X3" s="233">
        <f>U3/$C3</f>
        <v>0.69835978130417387</v>
      </c>
    </row>
    <row r="4" spans="1:24" x14ac:dyDescent="0.2">
      <c r="A4" s="226" t="s">
        <v>195</v>
      </c>
      <c r="B4" s="203">
        <f>AVERAGE(131215,117311)</f>
        <v>124263</v>
      </c>
      <c r="C4" s="229">
        <f>AVERAGE(18995,16500)</f>
        <v>17747.5</v>
      </c>
      <c r="D4" t="s">
        <v>196</v>
      </c>
      <c r="E4" s="226">
        <v>333</v>
      </c>
      <c r="F4">
        <v>269</v>
      </c>
      <c r="G4" s="241">
        <v>3241</v>
      </c>
      <c r="H4" s="226">
        <v>4.5999999999999996</v>
      </c>
      <c r="K4" s="241">
        <v>13.2</v>
      </c>
      <c r="L4" s="226" t="s">
        <v>12</v>
      </c>
      <c r="M4" s="241" t="s">
        <v>200</v>
      </c>
      <c r="N4" s="226" t="s">
        <v>220</v>
      </c>
      <c r="O4" s="241" t="s">
        <v>211</v>
      </c>
      <c r="P4" s="256">
        <f>13*0.2 + 28*0.8</f>
        <v>25.000000000000004</v>
      </c>
      <c r="Q4">
        <v>4.3</v>
      </c>
      <c r="R4" s="241">
        <v>5</v>
      </c>
      <c r="S4" s="254">
        <v>16000</v>
      </c>
      <c r="T4" s="203">
        <v>14000</v>
      </c>
      <c r="U4" s="255">
        <v>11500</v>
      </c>
      <c r="V4" s="230">
        <f>S4/$C4</f>
        <v>0.90153542752500349</v>
      </c>
      <c r="W4" s="230">
        <f>T4/$C4</f>
        <v>0.78884349908437812</v>
      </c>
      <c r="X4" s="233">
        <f>U4/$C4</f>
        <v>0.64797858853359624</v>
      </c>
    </row>
    <row r="5" spans="1:24" x14ac:dyDescent="0.2">
      <c r="A5" s="226" t="s">
        <v>288</v>
      </c>
      <c r="B5" s="203">
        <v>119628</v>
      </c>
      <c r="C5" s="229">
        <v>18247</v>
      </c>
      <c r="D5" t="s">
        <v>226</v>
      </c>
      <c r="E5" s="226">
        <v>180</v>
      </c>
      <c r="G5" s="241"/>
      <c r="H5" s="226"/>
      <c r="K5" s="241"/>
      <c r="L5" s="226" t="s">
        <v>11</v>
      </c>
      <c r="M5" s="241" t="s">
        <v>201</v>
      </c>
      <c r="N5" s="226" t="s">
        <v>215</v>
      </c>
      <c r="O5" s="241" t="s">
        <v>237</v>
      </c>
      <c r="P5" s="256">
        <f>0.2*30+0.8*40</f>
        <v>38</v>
      </c>
      <c r="Q5">
        <v>5</v>
      </c>
      <c r="R5" s="241">
        <v>5</v>
      </c>
      <c r="S5" s="254">
        <v>17254</v>
      </c>
      <c r="T5" s="203">
        <v>16774</v>
      </c>
      <c r="U5" s="255">
        <v>16308</v>
      </c>
      <c r="V5" s="230">
        <f>S5/$C5</f>
        <v>0.94558009535814103</v>
      </c>
      <c r="W5" s="230">
        <f>T5/$C5</f>
        <v>0.91927440127144189</v>
      </c>
      <c r="X5" s="233">
        <f>U5/$C5</f>
        <v>0.89373595659560479</v>
      </c>
    </row>
    <row r="6" spans="1:24" x14ac:dyDescent="0.2">
      <c r="A6" s="226" t="s">
        <v>227</v>
      </c>
      <c r="B6" s="203">
        <v>61126</v>
      </c>
      <c r="C6" s="229">
        <v>23995</v>
      </c>
      <c r="D6" t="s">
        <v>228</v>
      </c>
      <c r="E6" s="226">
        <v>400</v>
      </c>
      <c r="G6" s="241"/>
      <c r="H6" s="226">
        <v>4.3</v>
      </c>
      <c r="K6" s="241">
        <v>12.8</v>
      </c>
      <c r="L6" s="226" t="s">
        <v>12</v>
      </c>
      <c r="M6" s="241" t="s">
        <v>200</v>
      </c>
      <c r="N6" s="226" t="s">
        <v>238</v>
      </c>
      <c r="O6" s="241" t="s">
        <v>239</v>
      </c>
      <c r="P6" s="256">
        <f>16*0.2+26*0.8</f>
        <v>24</v>
      </c>
      <c r="Q6">
        <v>4.7</v>
      </c>
      <c r="R6" s="241">
        <v>5</v>
      </c>
      <c r="S6" s="254">
        <v>20572</v>
      </c>
      <c r="T6" s="203">
        <v>18566</v>
      </c>
      <c r="U6" s="255">
        <v>16757</v>
      </c>
      <c r="V6" s="230">
        <f>S6/$C6</f>
        <v>0.85734528026672219</v>
      </c>
      <c r="W6" s="230">
        <f>T6/$C6</f>
        <v>0.77374453011043964</v>
      </c>
      <c r="X6" s="233">
        <f>U6/$C6</f>
        <v>0.69835382371327359</v>
      </c>
    </row>
    <row r="7" spans="1:24" x14ac:dyDescent="0.2">
      <c r="A7" s="234" t="s">
        <v>194</v>
      </c>
      <c r="B7" s="231">
        <v>74365</v>
      </c>
      <c r="C7" s="232">
        <v>23999</v>
      </c>
      <c r="D7" s="1" t="s">
        <v>197</v>
      </c>
      <c r="E7" s="234">
        <v>500</v>
      </c>
      <c r="F7" s="1">
        <v>516</v>
      </c>
      <c r="G7" s="241">
        <v>4343</v>
      </c>
      <c r="H7" s="234">
        <v>3.4</v>
      </c>
      <c r="I7" s="1"/>
      <c r="J7" s="1"/>
      <c r="K7" s="258">
        <v>11.7</v>
      </c>
      <c r="L7" s="226" t="s">
        <v>11</v>
      </c>
      <c r="M7" s="241" t="s">
        <v>201</v>
      </c>
      <c r="N7" s="226" t="s">
        <v>219</v>
      </c>
      <c r="O7" s="241" t="s">
        <v>218</v>
      </c>
      <c r="P7" s="257">
        <f>15*0.2+23*0.8</f>
        <v>21.400000000000002</v>
      </c>
      <c r="Q7">
        <v>4.5999999999999996</v>
      </c>
      <c r="R7" s="241">
        <v>4.9000000000000004</v>
      </c>
      <c r="S7" s="254">
        <v>21233</v>
      </c>
      <c r="T7" s="203">
        <v>19568</v>
      </c>
      <c r="U7" s="255">
        <v>18034</v>
      </c>
      <c r="V7" s="230">
        <f>S7/$C7</f>
        <v>0.88474519771657156</v>
      </c>
      <c r="W7" s="230">
        <f>T7/$C7</f>
        <v>0.81536730697112381</v>
      </c>
      <c r="X7" s="233">
        <f>U7/$C7</f>
        <v>0.75144797699904164</v>
      </c>
    </row>
    <row r="8" spans="1:24" x14ac:dyDescent="0.2">
      <c r="A8" s="226" t="s">
        <v>198</v>
      </c>
      <c r="B8" s="203">
        <v>71500</v>
      </c>
      <c r="C8" s="229">
        <v>26500</v>
      </c>
      <c r="D8" t="s">
        <v>196</v>
      </c>
      <c r="E8" s="226">
        <v>333</v>
      </c>
      <c r="F8">
        <v>269</v>
      </c>
      <c r="G8" s="241">
        <v>3241</v>
      </c>
      <c r="H8" s="226">
        <v>4.5999999999999996</v>
      </c>
      <c r="K8" s="241">
        <v>13.2</v>
      </c>
      <c r="L8" s="226" t="s">
        <v>12</v>
      </c>
      <c r="M8" s="241" t="s">
        <v>200</v>
      </c>
      <c r="N8" s="226" t="s">
        <v>216</v>
      </c>
      <c r="O8" s="241" t="s">
        <v>211</v>
      </c>
      <c r="P8" s="256">
        <f>13*0.2 + 28*0.8</f>
        <v>25.000000000000004</v>
      </c>
      <c r="Q8">
        <v>4.5</v>
      </c>
      <c r="R8" s="241">
        <v>4.9000000000000004</v>
      </c>
      <c r="S8" s="254">
        <v>25500</v>
      </c>
      <c r="T8" s="203">
        <v>23000</v>
      </c>
      <c r="U8" s="255">
        <v>2100</v>
      </c>
      <c r="V8" s="230">
        <f>S8/$C8</f>
        <v>0.96226415094339623</v>
      </c>
      <c r="W8" s="230">
        <f>T8/$C8</f>
        <v>0.86792452830188682</v>
      </c>
      <c r="X8" s="233">
        <f>U8/$C8</f>
        <v>7.9245283018867921E-2</v>
      </c>
    </row>
    <row r="9" spans="1:24" x14ac:dyDescent="0.2">
      <c r="A9" s="226" t="s">
        <v>229</v>
      </c>
      <c r="B9" s="203">
        <f>49840</f>
        <v>49840</v>
      </c>
      <c r="C9" s="229">
        <f>32950</f>
        <v>32950</v>
      </c>
      <c r="D9" t="s">
        <v>230</v>
      </c>
      <c r="E9" s="226">
        <v>500</v>
      </c>
      <c r="G9" s="241"/>
      <c r="H9" s="226">
        <v>4.3</v>
      </c>
      <c r="K9" s="241">
        <v>12.6</v>
      </c>
      <c r="L9" s="226" t="s">
        <v>12</v>
      </c>
      <c r="M9" s="241" t="s">
        <v>200</v>
      </c>
      <c r="N9" s="226" t="s">
        <v>240</v>
      </c>
      <c r="O9" s="241" t="s">
        <v>241</v>
      </c>
      <c r="P9" s="256">
        <f>14*0.2 + 20*0.8</f>
        <v>18.8</v>
      </c>
      <c r="Q9">
        <v>4.7</v>
      </c>
      <c r="R9" s="241">
        <v>4.8</v>
      </c>
      <c r="S9" s="254">
        <v>24830</v>
      </c>
      <c r="T9" s="203">
        <v>20561</v>
      </c>
      <c r="U9" s="255">
        <v>17027</v>
      </c>
      <c r="V9" s="230">
        <f>S9/$C9</f>
        <v>0.75356600910470406</v>
      </c>
      <c r="W9" s="230">
        <f>T9/$C9</f>
        <v>0.62400606980273143</v>
      </c>
      <c r="X9" s="233">
        <f>U9/$C9</f>
        <v>0.51675265553869498</v>
      </c>
    </row>
    <row r="10" spans="1:24" x14ac:dyDescent="0.2">
      <c r="A10" s="234" t="s">
        <v>332</v>
      </c>
      <c r="B10" s="231">
        <v>32675</v>
      </c>
      <c r="C10" s="232">
        <v>35500</v>
      </c>
      <c r="D10" s="1" t="s">
        <v>333</v>
      </c>
      <c r="E10" s="234">
        <v>505</v>
      </c>
      <c r="F10" s="1"/>
      <c r="G10" s="241"/>
      <c r="H10" s="234">
        <v>3.6</v>
      </c>
      <c r="I10" s="1"/>
      <c r="J10" s="1"/>
      <c r="K10" s="258">
        <v>11.8</v>
      </c>
      <c r="L10" s="226" t="s">
        <v>12</v>
      </c>
      <c r="M10" s="241" t="s">
        <v>200</v>
      </c>
      <c r="N10" s="226" t="s">
        <v>238</v>
      </c>
      <c r="O10" s="241" t="s">
        <v>211</v>
      </c>
      <c r="P10" s="257"/>
      <c r="R10" s="241"/>
      <c r="S10" s="254"/>
      <c r="T10" s="203"/>
      <c r="U10" s="255"/>
      <c r="V10" s="230"/>
      <c r="W10" s="230"/>
      <c r="X10" s="233"/>
    </row>
    <row r="11" spans="1:24" x14ac:dyDescent="0.2">
      <c r="A11" s="234" t="s">
        <v>334</v>
      </c>
      <c r="B11" s="231">
        <f>AVERAGE(38733,42242)</f>
        <v>40487.5</v>
      </c>
      <c r="C11" s="232">
        <f>AVERAGE(40994,42000)</f>
        <v>41497</v>
      </c>
      <c r="D11" s="1" t="s">
        <v>335</v>
      </c>
      <c r="E11" s="234">
        <v>467</v>
      </c>
      <c r="F11" s="1"/>
      <c r="G11" s="241"/>
      <c r="H11" s="234">
        <v>4.3</v>
      </c>
      <c r="I11" s="1"/>
      <c r="J11" s="1"/>
      <c r="K11" s="258">
        <v>12.8</v>
      </c>
      <c r="L11" s="226" t="s">
        <v>12</v>
      </c>
      <c r="M11" s="241" t="s">
        <v>201</v>
      </c>
      <c r="N11" s="226" t="s">
        <v>336</v>
      </c>
      <c r="O11" s="241" t="s">
        <v>337</v>
      </c>
      <c r="P11" s="257"/>
      <c r="R11" s="241"/>
      <c r="S11" s="254"/>
      <c r="T11" s="203"/>
      <c r="U11" s="255"/>
      <c r="V11" s="230"/>
      <c r="W11" s="230"/>
      <c r="X11" s="233"/>
    </row>
    <row r="12" spans="1:24" x14ac:dyDescent="0.2">
      <c r="A12" s="234" t="s">
        <v>338</v>
      </c>
      <c r="B12" s="231">
        <f>AVERAGE(5300,21688)</f>
        <v>13494</v>
      </c>
      <c r="C12" s="232">
        <f>AVERAGE(49995,48000)</f>
        <v>48997.5</v>
      </c>
      <c r="D12" s="1" t="s">
        <v>341</v>
      </c>
      <c r="E12" s="234">
        <v>237</v>
      </c>
      <c r="F12" s="1"/>
      <c r="G12" s="241"/>
      <c r="H12" s="234">
        <v>4.2</v>
      </c>
      <c r="I12" s="1"/>
      <c r="J12" s="1"/>
      <c r="K12" s="258">
        <v>12.8</v>
      </c>
      <c r="L12" s="226" t="s">
        <v>12</v>
      </c>
      <c r="M12" s="241" t="s">
        <v>201</v>
      </c>
      <c r="N12" s="226" t="s">
        <v>339</v>
      </c>
      <c r="O12" s="241" t="s">
        <v>340</v>
      </c>
      <c r="P12" s="257"/>
      <c r="R12" s="241"/>
      <c r="S12" s="254"/>
      <c r="T12" s="203"/>
      <c r="U12" s="255"/>
      <c r="V12" s="230"/>
      <c r="W12" s="230"/>
      <c r="X12" s="233"/>
    </row>
    <row r="13" spans="1:24" x14ac:dyDescent="0.2">
      <c r="A13" s="234" t="s">
        <v>346</v>
      </c>
      <c r="B13" s="231">
        <v>16012</v>
      </c>
      <c r="C13" s="232">
        <v>50607</v>
      </c>
      <c r="D13" s="1" t="s">
        <v>335</v>
      </c>
      <c r="E13" s="234">
        <v>472</v>
      </c>
      <c r="F13" s="1"/>
      <c r="G13" s="241"/>
      <c r="H13" s="234">
        <v>4.3</v>
      </c>
      <c r="I13" s="1"/>
      <c r="J13" s="1"/>
      <c r="K13" s="258">
        <v>12.7</v>
      </c>
      <c r="L13" s="226" t="s">
        <v>12</v>
      </c>
      <c r="M13" s="241" t="s">
        <v>201</v>
      </c>
      <c r="N13" s="226" t="s">
        <v>211</v>
      </c>
      <c r="O13" s="241" t="s">
        <v>352</v>
      </c>
      <c r="P13" s="257"/>
      <c r="R13" s="241"/>
      <c r="S13" s="254"/>
      <c r="T13" s="203"/>
      <c r="U13" s="255"/>
      <c r="V13" s="230"/>
      <c r="W13" s="230"/>
      <c r="X13" s="233"/>
    </row>
    <row r="14" spans="1:24" x14ac:dyDescent="0.2">
      <c r="A14" s="234" t="s">
        <v>342</v>
      </c>
      <c r="B14" s="231">
        <v>48645</v>
      </c>
      <c r="C14" s="232">
        <v>53995</v>
      </c>
      <c r="D14" s="1" t="s">
        <v>345</v>
      </c>
      <c r="E14" s="234">
        <v>350</v>
      </c>
      <c r="F14" s="1"/>
      <c r="G14" s="241"/>
      <c r="H14" s="234">
        <v>4.3</v>
      </c>
      <c r="I14" s="1"/>
      <c r="J14" s="1"/>
      <c r="K14" s="258">
        <v>12.7</v>
      </c>
      <c r="L14" s="226" t="s">
        <v>12</v>
      </c>
      <c r="M14" s="241" t="s">
        <v>200</v>
      </c>
      <c r="N14" s="226" t="s">
        <v>343</v>
      </c>
      <c r="O14" s="241" t="s">
        <v>344</v>
      </c>
      <c r="P14" s="257"/>
      <c r="R14" s="241"/>
      <c r="S14" s="254"/>
      <c r="T14" s="203"/>
      <c r="U14" s="255"/>
      <c r="V14" s="230"/>
      <c r="W14" s="230"/>
      <c r="X14" s="233"/>
    </row>
    <row r="15" spans="1:24" x14ac:dyDescent="0.2">
      <c r="A15" s="226" t="s">
        <v>203</v>
      </c>
      <c r="B15" s="203">
        <v>33465</v>
      </c>
      <c r="C15" s="204">
        <v>54910</v>
      </c>
      <c r="D15" t="s">
        <v>204</v>
      </c>
      <c r="E15" s="226">
        <v>545</v>
      </c>
      <c r="F15">
        <v>463</v>
      </c>
      <c r="G15" s="241">
        <v>3829</v>
      </c>
      <c r="H15" s="226">
        <v>2.9</v>
      </c>
      <c r="I15">
        <v>3.8</v>
      </c>
      <c r="J15">
        <v>3.1</v>
      </c>
      <c r="K15" s="241">
        <v>11.2</v>
      </c>
      <c r="L15" s="226" t="s">
        <v>11</v>
      </c>
      <c r="M15" s="241" t="s">
        <v>201</v>
      </c>
      <c r="N15" s="226" t="s">
        <v>210</v>
      </c>
      <c r="O15" s="241" t="s">
        <v>211</v>
      </c>
      <c r="P15" s="226">
        <v>21.6</v>
      </c>
      <c r="Q15">
        <v>4.4000000000000004</v>
      </c>
      <c r="R15" s="241">
        <v>4.9000000000000004</v>
      </c>
      <c r="S15" s="226">
        <v>71022</v>
      </c>
      <c r="T15">
        <v>68488</v>
      </c>
      <c r="U15" s="241">
        <v>66045</v>
      </c>
      <c r="V15" s="230">
        <f>S15/$C15</f>
        <v>1.2934256055363322</v>
      </c>
      <c r="W15" s="230">
        <f>T15/$C15</f>
        <v>1.2472773629575669</v>
      </c>
      <c r="X15" s="233">
        <f>U15/$C15</f>
        <v>1.2027863777089782</v>
      </c>
    </row>
    <row r="16" spans="1:24" x14ac:dyDescent="0.2">
      <c r="A16" s="234" t="s">
        <v>347</v>
      </c>
      <c r="B16" s="231">
        <v>3908</v>
      </c>
      <c r="C16" s="232">
        <v>55999</v>
      </c>
      <c r="D16" s="1" t="s">
        <v>348</v>
      </c>
      <c r="E16" s="234">
        <v>416</v>
      </c>
      <c r="F16" s="1"/>
      <c r="G16" s="241"/>
      <c r="H16" s="234">
        <v>5.3</v>
      </c>
      <c r="I16" s="1"/>
      <c r="J16" s="1"/>
      <c r="K16" s="258">
        <v>13.8</v>
      </c>
      <c r="L16" s="226" t="s">
        <v>12</v>
      </c>
      <c r="M16" s="241" t="s">
        <v>201</v>
      </c>
      <c r="N16" s="226" t="s">
        <v>211</v>
      </c>
      <c r="O16" s="241" t="s">
        <v>349</v>
      </c>
      <c r="P16" s="257"/>
      <c r="R16" s="241"/>
      <c r="S16" s="254"/>
      <c r="T16" s="203"/>
      <c r="U16" s="255"/>
      <c r="V16" s="230"/>
      <c r="W16" s="230"/>
      <c r="X16" s="233"/>
    </row>
    <row r="17" spans="1:24" x14ac:dyDescent="0.2">
      <c r="A17" s="234" t="s">
        <v>350</v>
      </c>
      <c r="B17" s="231">
        <v>16498</v>
      </c>
      <c r="C17" s="232">
        <v>64995</v>
      </c>
      <c r="D17" s="1" t="s">
        <v>335</v>
      </c>
      <c r="E17" s="234">
        <v>472</v>
      </c>
      <c r="F17" s="1"/>
      <c r="G17" s="241"/>
      <c r="H17" s="234">
        <v>4</v>
      </c>
      <c r="I17" s="1"/>
      <c r="J17" s="1"/>
      <c r="K17" s="258">
        <v>12.4</v>
      </c>
      <c r="L17" s="226" t="s">
        <v>12</v>
      </c>
      <c r="M17" s="241" t="s">
        <v>201</v>
      </c>
      <c r="N17" s="226" t="s">
        <v>353</v>
      </c>
      <c r="O17" s="241" t="s">
        <v>351</v>
      </c>
      <c r="P17" s="257"/>
      <c r="R17" s="241"/>
      <c r="S17" s="254"/>
      <c r="T17" s="203"/>
      <c r="U17" s="255"/>
      <c r="V17" s="230"/>
      <c r="W17" s="230"/>
      <c r="X17" s="233"/>
    </row>
    <row r="18" spans="1:24" x14ac:dyDescent="0.2">
      <c r="A18" s="234" t="s">
        <v>369</v>
      </c>
      <c r="B18" s="231">
        <v>42650</v>
      </c>
      <c r="C18" s="232">
        <v>68900</v>
      </c>
      <c r="D18" s="1" t="s">
        <v>370</v>
      </c>
      <c r="E18" s="234">
        <v>420</v>
      </c>
      <c r="F18" s="1"/>
      <c r="G18" s="241"/>
      <c r="H18" s="234">
        <v>3.6</v>
      </c>
      <c r="I18" s="1"/>
      <c r="J18" s="1"/>
      <c r="K18" s="258">
        <v>11.8</v>
      </c>
      <c r="L18" s="226" t="s">
        <v>12</v>
      </c>
      <c r="M18" s="241" t="s">
        <v>200</v>
      </c>
      <c r="N18" s="226" t="s">
        <v>215</v>
      </c>
      <c r="O18" s="241" t="s">
        <v>371</v>
      </c>
      <c r="P18" s="257"/>
      <c r="R18" s="241"/>
      <c r="S18" s="254"/>
      <c r="T18" s="203"/>
      <c r="U18" s="255"/>
      <c r="V18" s="230"/>
      <c r="W18" s="230"/>
      <c r="X18" s="233"/>
    </row>
    <row r="19" spans="1:24" x14ac:dyDescent="0.2">
      <c r="A19" s="226" t="s">
        <v>207</v>
      </c>
      <c r="B19" s="203">
        <v>7312</v>
      </c>
      <c r="C19" s="204">
        <v>70000</v>
      </c>
      <c r="D19" t="s">
        <v>202</v>
      </c>
      <c r="E19" s="226">
        <v>495</v>
      </c>
      <c r="F19">
        <v>465</v>
      </c>
      <c r="G19" s="241">
        <v>3366</v>
      </c>
      <c r="H19" s="226">
        <v>2.8</v>
      </c>
      <c r="I19">
        <v>1.9</v>
      </c>
      <c r="J19">
        <v>2.5</v>
      </c>
      <c r="K19" s="241">
        <v>11.2</v>
      </c>
      <c r="L19" s="226" t="s">
        <v>12</v>
      </c>
      <c r="M19" s="241" t="s">
        <v>201</v>
      </c>
      <c r="N19" s="226" t="s">
        <v>217</v>
      </c>
      <c r="O19" s="241" t="s">
        <v>213</v>
      </c>
      <c r="P19" s="226">
        <f>15*0.2+27*0.8</f>
        <v>24.6</v>
      </c>
      <c r="Q19">
        <v>4.8</v>
      </c>
      <c r="R19" s="241">
        <v>5</v>
      </c>
      <c r="S19" s="226">
        <v>61426</v>
      </c>
      <c r="T19">
        <v>58600</v>
      </c>
      <c r="U19" s="241">
        <v>55125</v>
      </c>
      <c r="V19" s="230">
        <f>S19/$C19</f>
        <v>0.87751428571428569</v>
      </c>
      <c r="W19" s="230">
        <f>T19/$C19</f>
        <v>0.83714285714285719</v>
      </c>
      <c r="X19" s="233">
        <f>U19/$C19</f>
        <v>0.78749999999999998</v>
      </c>
    </row>
    <row r="20" spans="1:24" x14ac:dyDescent="0.2">
      <c r="A20" s="226" t="s">
        <v>358</v>
      </c>
      <c r="B20" s="203">
        <v>2057</v>
      </c>
      <c r="C20" s="204">
        <v>76000</v>
      </c>
      <c r="D20" t="s">
        <v>202</v>
      </c>
      <c r="E20" s="226">
        <v>495</v>
      </c>
      <c r="F20">
        <v>465</v>
      </c>
      <c r="G20" s="241">
        <v>3366</v>
      </c>
      <c r="H20" s="226">
        <v>2.8</v>
      </c>
      <c r="I20">
        <v>1.9</v>
      </c>
      <c r="J20">
        <v>2.5</v>
      </c>
      <c r="K20" s="241">
        <v>11.2</v>
      </c>
      <c r="L20" s="226" t="s">
        <v>12</v>
      </c>
      <c r="M20" s="241" t="s">
        <v>201</v>
      </c>
      <c r="N20" s="226" t="s">
        <v>359</v>
      </c>
      <c r="O20" s="241" t="s">
        <v>213</v>
      </c>
      <c r="P20" s="226"/>
      <c r="R20" s="241"/>
      <c r="S20" s="226"/>
      <c r="U20" s="241"/>
      <c r="V20" s="230"/>
      <c r="W20" s="230"/>
      <c r="X20" s="233"/>
    </row>
    <row r="21" spans="1:24" x14ac:dyDescent="0.2">
      <c r="A21" s="226" t="s">
        <v>209</v>
      </c>
      <c r="B21" s="203">
        <v>34860</v>
      </c>
      <c r="C21" s="204">
        <v>79990</v>
      </c>
      <c r="D21" t="s">
        <v>204</v>
      </c>
      <c r="E21" s="226">
        <v>545</v>
      </c>
      <c r="F21">
        <v>463</v>
      </c>
      <c r="G21" s="241">
        <v>3829</v>
      </c>
      <c r="H21" s="226">
        <v>2.9</v>
      </c>
      <c r="I21">
        <v>3.8</v>
      </c>
      <c r="J21">
        <v>3.1</v>
      </c>
      <c r="K21" s="241">
        <v>11.1</v>
      </c>
      <c r="L21" s="226" t="s">
        <v>11</v>
      </c>
      <c r="M21" s="241" t="s">
        <v>201</v>
      </c>
      <c r="N21" s="226" t="s">
        <v>211</v>
      </c>
      <c r="O21" s="241" t="s">
        <v>214</v>
      </c>
      <c r="P21" s="226">
        <f>16*0.2+23*0.8</f>
        <v>21.6</v>
      </c>
      <c r="Q21">
        <v>4.7</v>
      </c>
      <c r="R21" s="241">
        <v>5</v>
      </c>
      <c r="S21" s="226">
        <v>75747</v>
      </c>
      <c r="T21">
        <v>73045</v>
      </c>
      <c r="U21" s="241">
        <v>70049</v>
      </c>
      <c r="V21" s="230">
        <f>S21/$C21</f>
        <v>0.94695586948368549</v>
      </c>
      <c r="W21" s="230">
        <f>T21/$C21</f>
        <v>0.91317664708088508</v>
      </c>
      <c r="X21" s="233">
        <f>U21/$C21</f>
        <v>0.87572196524565571</v>
      </c>
    </row>
    <row r="22" spans="1:24" x14ac:dyDescent="0.2">
      <c r="A22" s="226" t="s">
        <v>231</v>
      </c>
      <c r="B22" s="203">
        <f>AVERAGE(32071)</f>
        <v>32071</v>
      </c>
      <c r="C22" s="204">
        <f>AVERAGE(94995)</f>
        <v>94995</v>
      </c>
      <c r="D22" t="s">
        <v>208</v>
      </c>
      <c r="E22" s="226">
        <v>480</v>
      </c>
      <c r="G22" s="241"/>
      <c r="H22" s="226"/>
      <c r="K22" s="241"/>
      <c r="L22" s="226" t="s">
        <v>11</v>
      </c>
      <c r="M22" s="241" t="s">
        <v>201</v>
      </c>
      <c r="N22" s="226" t="s">
        <v>356</v>
      </c>
      <c r="O22" s="241" t="s">
        <v>357</v>
      </c>
      <c r="P22" s="226">
        <f>15*0.2+23*0.8</f>
        <v>21.400000000000002</v>
      </c>
      <c r="Q22">
        <v>4.8</v>
      </c>
      <c r="R22" s="241">
        <v>4.9000000000000004</v>
      </c>
      <c r="S22" s="226">
        <v>92278</v>
      </c>
      <c r="T22">
        <v>89894</v>
      </c>
      <c r="U22" s="241">
        <v>87573</v>
      </c>
      <c r="V22" s="230">
        <f>S22/$C22</f>
        <v>0.97139849465761352</v>
      </c>
      <c r="W22" s="230">
        <f>T22/$C22</f>
        <v>0.94630243697036687</v>
      </c>
      <c r="X22" s="233">
        <f>U22/$C22</f>
        <v>0.92186957208274123</v>
      </c>
    </row>
    <row r="23" spans="1:24" x14ac:dyDescent="0.2">
      <c r="A23" s="226" t="s">
        <v>355</v>
      </c>
      <c r="B23" s="203">
        <f>AVERAGE(18088,37733,28689)</f>
        <v>28170</v>
      </c>
      <c r="C23" s="204">
        <f>AVERAGE(87777,77888,119999)</f>
        <v>95221.333333333328</v>
      </c>
      <c r="D23" t="s">
        <v>208</v>
      </c>
      <c r="E23" s="226">
        <v>480</v>
      </c>
      <c r="G23" s="241"/>
      <c r="H23" s="226"/>
      <c r="K23" s="241"/>
      <c r="L23" s="226" t="s">
        <v>11</v>
      </c>
      <c r="M23" s="241" t="s">
        <v>367</v>
      </c>
      <c r="N23" s="226" t="s">
        <v>360</v>
      </c>
      <c r="O23" s="241" t="s">
        <v>368</v>
      </c>
      <c r="P23" s="226"/>
      <c r="R23" s="241"/>
      <c r="S23" s="226"/>
      <c r="U23" s="241"/>
      <c r="V23" s="230"/>
      <c r="W23" s="230"/>
      <c r="X23" s="233"/>
    </row>
    <row r="24" spans="1:24" x14ac:dyDescent="0.2">
      <c r="A24" s="226" t="s">
        <v>354</v>
      </c>
      <c r="B24" s="203">
        <f>AVERAGE(29923,9428,20416)</f>
        <v>19922.333333333332</v>
      </c>
      <c r="C24" s="204">
        <f>AVERAGE(84000,103888,114220)</f>
        <v>100702.66666666667</v>
      </c>
      <c r="D24" t="s">
        <v>208</v>
      </c>
      <c r="E24" s="226">
        <v>480</v>
      </c>
      <c r="G24" s="241"/>
      <c r="H24" s="226">
        <v>3.3</v>
      </c>
      <c r="K24" s="241">
        <v>11.5</v>
      </c>
      <c r="L24" s="226" t="s">
        <v>11</v>
      </c>
      <c r="M24" s="241" t="s">
        <v>367</v>
      </c>
      <c r="N24" s="226" t="s">
        <v>361</v>
      </c>
      <c r="O24" s="241" t="s">
        <v>362</v>
      </c>
      <c r="P24" s="226"/>
      <c r="R24" s="241"/>
      <c r="S24" s="226"/>
      <c r="U24" s="241"/>
      <c r="V24" s="230"/>
      <c r="W24" s="230"/>
      <c r="X24" s="233"/>
    </row>
    <row r="25" spans="1:24" x14ac:dyDescent="0.2">
      <c r="A25" s="226" t="s">
        <v>212</v>
      </c>
      <c r="B25" s="203">
        <v>29786</v>
      </c>
      <c r="C25" s="204">
        <v>103502</v>
      </c>
      <c r="D25" t="s">
        <v>204</v>
      </c>
      <c r="E25" s="226">
        <v>565</v>
      </c>
      <c r="F25">
        <v>467</v>
      </c>
      <c r="G25" s="241">
        <v>3933</v>
      </c>
      <c r="H25" s="226">
        <v>2.9</v>
      </c>
      <c r="K25" s="241">
        <v>11.2</v>
      </c>
      <c r="L25" s="226" t="s">
        <v>11</v>
      </c>
      <c r="M25" s="241" t="s">
        <v>201</v>
      </c>
      <c r="N25" s="226" t="s">
        <v>211</v>
      </c>
      <c r="O25" s="241" t="s">
        <v>211</v>
      </c>
      <c r="P25" s="226">
        <v>20.8</v>
      </c>
      <c r="Q25">
        <v>5</v>
      </c>
      <c r="R25" s="241">
        <v>5</v>
      </c>
      <c r="S25" s="226">
        <v>98012</v>
      </c>
      <c r="T25">
        <v>94516</v>
      </c>
      <c r="U25" s="241">
        <v>91144</v>
      </c>
      <c r="V25" s="230">
        <f>S25/$C25</f>
        <v>0.94695754671407317</v>
      </c>
      <c r="W25" s="230">
        <f>T25/$C25</f>
        <v>0.91318042163436453</v>
      </c>
      <c r="X25" s="233">
        <f>U25/$C25</f>
        <v>0.88060134103688814</v>
      </c>
    </row>
    <row r="26" spans="1:24" x14ac:dyDescent="0.2">
      <c r="A26" s="226" t="s">
        <v>363</v>
      </c>
      <c r="B26" s="203">
        <f>AVERAGE(30451,21986)</f>
        <v>26218.5</v>
      </c>
      <c r="C26" s="204">
        <f>AVERAGE(139000,107500)</f>
        <v>123250</v>
      </c>
      <c r="D26" t="s">
        <v>208</v>
      </c>
      <c r="E26" s="226">
        <v>415</v>
      </c>
      <c r="G26" s="241"/>
      <c r="H26" s="226">
        <v>3.8</v>
      </c>
      <c r="K26" s="241">
        <v>12</v>
      </c>
      <c r="L26" s="226" t="s">
        <v>12</v>
      </c>
      <c r="M26" s="241" t="s">
        <v>200</v>
      </c>
      <c r="N26" s="226" t="s">
        <v>364</v>
      </c>
      <c r="O26" s="241" t="s">
        <v>211</v>
      </c>
      <c r="P26" s="226"/>
      <c r="R26" s="241"/>
      <c r="S26" s="226"/>
      <c r="U26" s="241"/>
      <c r="V26" s="230"/>
      <c r="W26" s="230"/>
      <c r="X26" s="233"/>
    </row>
    <row r="27" spans="1:24" ht="17" thickBot="1" x14ac:dyDescent="0.25">
      <c r="A27" s="206" t="s">
        <v>365</v>
      </c>
      <c r="B27" s="199">
        <v>2166</v>
      </c>
      <c r="C27" s="200">
        <v>126888</v>
      </c>
      <c r="D27" s="198" t="s">
        <v>366</v>
      </c>
      <c r="E27" s="206">
        <v>670</v>
      </c>
      <c r="F27" s="198"/>
      <c r="G27" s="242"/>
      <c r="H27" s="206">
        <v>2.6</v>
      </c>
      <c r="I27" s="198"/>
      <c r="J27" s="198"/>
      <c r="K27" s="242">
        <v>10.5</v>
      </c>
      <c r="L27" s="206" t="s">
        <v>12</v>
      </c>
      <c r="M27" s="242" t="s">
        <v>201</v>
      </c>
      <c r="N27" s="206" t="s">
        <v>211</v>
      </c>
      <c r="O27" s="242" t="s">
        <v>211</v>
      </c>
      <c r="P27" s="206"/>
      <c r="Q27" s="198"/>
      <c r="R27" s="242"/>
      <c r="S27" s="206"/>
      <c r="T27" s="198"/>
      <c r="U27" s="242"/>
      <c r="V27" s="209"/>
      <c r="W27" s="209"/>
      <c r="X27" s="202"/>
    </row>
    <row r="28" spans="1:24" x14ac:dyDescent="0.2">
      <c r="B28" s="203"/>
      <c r="C28" s="204"/>
      <c r="X28" s="205"/>
    </row>
    <row r="29" spans="1:24" x14ac:dyDescent="0.2">
      <c r="A29" s="58" t="s">
        <v>232</v>
      </c>
      <c r="B29" s="128" t="s">
        <v>221</v>
      </c>
      <c r="C29" s="128" t="s">
        <v>223</v>
      </c>
      <c r="D29" s="128" t="s">
        <v>195</v>
      </c>
      <c r="E29" s="128" t="s">
        <v>225</v>
      </c>
      <c r="F29" s="128" t="s">
        <v>227</v>
      </c>
      <c r="G29" s="245" t="s">
        <v>194</v>
      </c>
      <c r="H29" s="128" t="s">
        <v>198</v>
      </c>
      <c r="I29" s="128" t="s">
        <v>229</v>
      </c>
      <c r="J29" s="128" t="s">
        <v>203</v>
      </c>
      <c r="K29" s="128" t="s">
        <v>207</v>
      </c>
      <c r="L29" s="128" t="s">
        <v>209</v>
      </c>
      <c r="M29" s="128" t="s">
        <v>231</v>
      </c>
      <c r="N29" s="129" t="s">
        <v>212</v>
      </c>
      <c r="O29" s="46" t="s">
        <v>257</v>
      </c>
    </row>
    <row r="30" spans="1:24" x14ac:dyDescent="0.2">
      <c r="A30" s="139" t="s">
        <v>221</v>
      </c>
      <c r="B30" s="251">
        <v>1</v>
      </c>
      <c r="C30" s="243">
        <v>1</v>
      </c>
      <c r="D30" s="243">
        <v>1</v>
      </c>
      <c r="E30" s="243">
        <v>0</v>
      </c>
      <c r="F30" s="243">
        <v>0</v>
      </c>
      <c r="G30" s="243">
        <v>0</v>
      </c>
      <c r="H30" s="243">
        <v>1</v>
      </c>
      <c r="I30" s="243">
        <v>0</v>
      </c>
      <c r="J30" s="243">
        <v>1</v>
      </c>
      <c r="K30" s="243">
        <v>0</v>
      </c>
      <c r="L30" s="243">
        <v>0</v>
      </c>
      <c r="M30" s="243">
        <v>0</v>
      </c>
      <c r="N30" s="247">
        <v>0</v>
      </c>
      <c r="O30" s="263">
        <f>SUM(B30:N30)/13</f>
        <v>0.38461538461538464</v>
      </c>
      <c r="P30" s="264">
        <f>SUM(B30:N30)</f>
        <v>5</v>
      </c>
      <c r="S30" s="210"/>
    </row>
    <row r="31" spans="1:24" x14ac:dyDescent="0.2">
      <c r="A31" s="162" t="s">
        <v>223</v>
      </c>
      <c r="B31" s="243">
        <v>1</v>
      </c>
      <c r="C31" s="252">
        <v>1</v>
      </c>
      <c r="D31" s="244">
        <v>1</v>
      </c>
      <c r="E31" s="244">
        <v>0.75</v>
      </c>
      <c r="F31" s="243">
        <v>0</v>
      </c>
      <c r="G31" s="244">
        <v>0</v>
      </c>
      <c r="H31" s="243">
        <v>1</v>
      </c>
      <c r="I31" s="244">
        <v>1</v>
      </c>
      <c r="J31" s="244">
        <v>0</v>
      </c>
      <c r="K31" s="244">
        <v>0</v>
      </c>
      <c r="L31" s="244">
        <v>0</v>
      </c>
      <c r="M31" s="243">
        <v>0</v>
      </c>
      <c r="N31" s="248">
        <v>0</v>
      </c>
      <c r="O31" s="265">
        <f t="shared" ref="O31:O42" si="0">SUM(B31:N31)/13</f>
        <v>0.44230769230769229</v>
      </c>
      <c r="P31" s="247">
        <f t="shared" ref="P31:P42" si="1">SUM(B31:N31)</f>
        <v>5.75</v>
      </c>
    </row>
    <row r="32" spans="1:24" x14ac:dyDescent="0.2">
      <c r="A32" s="246" t="s">
        <v>195</v>
      </c>
      <c r="B32" s="243">
        <v>1</v>
      </c>
      <c r="C32" s="244">
        <v>1</v>
      </c>
      <c r="D32" s="251">
        <v>1</v>
      </c>
      <c r="E32" s="243">
        <v>1</v>
      </c>
      <c r="F32" s="243">
        <v>1</v>
      </c>
      <c r="G32" s="243">
        <v>1</v>
      </c>
      <c r="H32" s="243">
        <v>0</v>
      </c>
      <c r="I32" s="243">
        <v>1</v>
      </c>
      <c r="J32" s="243">
        <v>1</v>
      </c>
      <c r="K32" s="243">
        <v>1</v>
      </c>
      <c r="L32" s="243">
        <v>1</v>
      </c>
      <c r="M32" s="243">
        <v>1</v>
      </c>
      <c r="N32" s="247">
        <v>1</v>
      </c>
      <c r="O32" s="265">
        <f t="shared" si="0"/>
        <v>0.92307692307692313</v>
      </c>
      <c r="P32" s="247">
        <f t="shared" si="1"/>
        <v>12</v>
      </c>
    </row>
    <row r="33" spans="1:16" x14ac:dyDescent="0.2">
      <c r="A33" s="162" t="s">
        <v>288</v>
      </c>
      <c r="B33" s="243">
        <v>0</v>
      </c>
      <c r="C33" s="244">
        <v>1</v>
      </c>
      <c r="D33" s="243">
        <v>1</v>
      </c>
      <c r="E33" s="251">
        <v>1</v>
      </c>
      <c r="F33" s="243">
        <v>0</v>
      </c>
      <c r="G33" s="243">
        <v>0</v>
      </c>
      <c r="H33" s="243">
        <v>1</v>
      </c>
      <c r="I33" s="243">
        <v>0</v>
      </c>
      <c r="J33" s="243">
        <v>0</v>
      </c>
      <c r="K33" s="243">
        <v>0</v>
      </c>
      <c r="L33" s="243">
        <v>0</v>
      </c>
      <c r="M33" s="243">
        <v>0</v>
      </c>
      <c r="N33" s="247">
        <v>0</v>
      </c>
      <c r="O33" s="265">
        <f t="shared" si="0"/>
        <v>0.30769230769230771</v>
      </c>
      <c r="P33" s="247">
        <f t="shared" si="1"/>
        <v>4</v>
      </c>
    </row>
    <row r="34" spans="1:16" ht="15" customHeight="1" x14ac:dyDescent="0.2">
      <c r="A34" s="162" t="s">
        <v>227</v>
      </c>
      <c r="B34" s="243">
        <v>0</v>
      </c>
      <c r="C34" s="243">
        <v>1</v>
      </c>
      <c r="D34" s="243">
        <v>1</v>
      </c>
      <c r="E34" s="243">
        <v>0</v>
      </c>
      <c r="F34" s="251">
        <v>1</v>
      </c>
      <c r="G34" s="243">
        <v>1</v>
      </c>
      <c r="H34" s="243">
        <v>1</v>
      </c>
      <c r="I34" s="243">
        <v>1</v>
      </c>
      <c r="J34" s="243">
        <v>1</v>
      </c>
      <c r="K34" s="243">
        <v>1</v>
      </c>
      <c r="L34" s="243">
        <v>1</v>
      </c>
      <c r="M34" s="243">
        <v>1</v>
      </c>
      <c r="N34" s="247">
        <v>1</v>
      </c>
      <c r="O34" s="265">
        <f t="shared" si="0"/>
        <v>0.84615384615384615</v>
      </c>
      <c r="P34" s="247">
        <f t="shared" si="1"/>
        <v>11</v>
      </c>
    </row>
    <row r="35" spans="1:16" x14ac:dyDescent="0.2">
      <c r="A35" s="162" t="s">
        <v>194</v>
      </c>
      <c r="B35" s="243">
        <v>0</v>
      </c>
      <c r="C35" s="244">
        <v>0</v>
      </c>
      <c r="D35" s="243">
        <v>1</v>
      </c>
      <c r="E35" s="243">
        <v>0</v>
      </c>
      <c r="F35" s="243">
        <v>1</v>
      </c>
      <c r="G35" s="251">
        <v>1</v>
      </c>
      <c r="H35" s="243">
        <v>1</v>
      </c>
      <c r="I35" s="243">
        <v>0</v>
      </c>
      <c r="J35" s="244">
        <v>0</v>
      </c>
      <c r="K35" s="243">
        <v>0</v>
      </c>
      <c r="L35" s="243">
        <v>0</v>
      </c>
      <c r="M35" s="243">
        <v>0</v>
      </c>
      <c r="N35" s="247">
        <v>0</v>
      </c>
      <c r="O35" s="265">
        <f t="shared" si="0"/>
        <v>0.30769230769230771</v>
      </c>
      <c r="P35" s="247">
        <f t="shared" si="1"/>
        <v>4</v>
      </c>
    </row>
    <row r="36" spans="1:16" x14ac:dyDescent="0.2">
      <c r="A36" s="162" t="s">
        <v>198</v>
      </c>
      <c r="B36" s="243">
        <v>1</v>
      </c>
      <c r="C36" s="243">
        <v>1</v>
      </c>
      <c r="D36" s="243">
        <v>0</v>
      </c>
      <c r="E36" s="243">
        <v>1</v>
      </c>
      <c r="F36" s="243">
        <v>1</v>
      </c>
      <c r="G36" s="243">
        <v>1</v>
      </c>
      <c r="H36" s="251">
        <v>1</v>
      </c>
      <c r="I36" s="243">
        <v>1</v>
      </c>
      <c r="J36" s="243">
        <v>1</v>
      </c>
      <c r="K36" s="243">
        <v>1</v>
      </c>
      <c r="L36" s="243">
        <v>1</v>
      </c>
      <c r="M36" s="243">
        <v>1</v>
      </c>
      <c r="N36" s="247">
        <v>1</v>
      </c>
      <c r="O36" s="265">
        <f t="shared" si="0"/>
        <v>0.92307692307692313</v>
      </c>
      <c r="P36" s="247">
        <f t="shared" si="1"/>
        <v>12</v>
      </c>
    </row>
    <row r="37" spans="1:16" x14ac:dyDescent="0.2">
      <c r="A37" s="162" t="s">
        <v>229</v>
      </c>
      <c r="B37" s="243">
        <v>0</v>
      </c>
      <c r="C37" s="244">
        <v>1</v>
      </c>
      <c r="D37" s="243">
        <v>1</v>
      </c>
      <c r="E37" s="243">
        <v>0</v>
      </c>
      <c r="F37" s="243">
        <v>1</v>
      </c>
      <c r="G37" s="243">
        <v>1</v>
      </c>
      <c r="H37" s="243">
        <v>1</v>
      </c>
      <c r="I37" s="251">
        <v>1</v>
      </c>
      <c r="J37" s="244">
        <v>0</v>
      </c>
      <c r="K37" s="243">
        <v>0</v>
      </c>
      <c r="L37" s="243">
        <v>0</v>
      </c>
      <c r="M37" s="243">
        <v>0</v>
      </c>
      <c r="N37" s="247">
        <v>0</v>
      </c>
      <c r="O37" s="265">
        <f t="shared" si="0"/>
        <v>0.46153846153846156</v>
      </c>
      <c r="P37" s="247">
        <f t="shared" si="1"/>
        <v>6</v>
      </c>
    </row>
    <row r="38" spans="1:16" x14ac:dyDescent="0.2">
      <c r="A38" s="162" t="s">
        <v>203</v>
      </c>
      <c r="B38" s="243">
        <v>1</v>
      </c>
      <c r="C38" s="244">
        <v>1</v>
      </c>
      <c r="D38" s="243">
        <v>1</v>
      </c>
      <c r="E38" s="243">
        <v>0</v>
      </c>
      <c r="F38" s="243">
        <v>1</v>
      </c>
      <c r="G38" s="243">
        <v>1</v>
      </c>
      <c r="H38" s="243">
        <v>1</v>
      </c>
      <c r="I38" s="243">
        <v>1</v>
      </c>
      <c r="J38" s="252">
        <v>1</v>
      </c>
      <c r="K38" s="244">
        <v>1</v>
      </c>
      <c r="L38" s="244">
        <v>0</v>
      </c>
      <c r="M38" s="244">
        <v>0</v>
      </c>
      <c r="N38" s="248">
        <v>0</v>
      </c>
      <c r="O38" s="265">
        <f t="shared" si="0"/>
        <v>0.69230769230769229</v>
      </c>
      <c r="P38" s="247">
        <f t="shared" si="1"/>
        <v>9</v>
      </c>
    </row>
    <row r="39" spans="1:16" x14ac:dyDescent="0.2">
      <c r="A39" s="162" t="s">
        <v>207</v>
      </c>
      <c r="B39" s="243">
        <v>0</v>
      </c>
      <c r="C39" s="244">
        <v>1</v>
      </c>
      <c r="D39" s="243">
        <v>1</v>
      </c>
      <c r="E39" s="243">
        <v>0</v>
      </c>
      <c r="F39" s="243">
        <v>1</v>
      </c>
      <c r="G39" s="243">
        <v>1</v>
      </c>
      <c r="H39" s="243">
        <v>1</v>
      </c>
      <c r="I39" s="243">
        <v>1</v>
      </c>
      <c r="J39" s="244">
        <v>1</v>
      </c>
      <c r="K39" s="251">
        <v>1</v>
      </c>
      <c r="L39" s="243">
        <v>0</v>
      </c>
      <c r="M39" s="243">
        <v>0</v>
      </c>
      <c r="N39" s="247">
        <v>0</v>
      </c>
      <c r="O39" s="265">
        <f t="shared" si="0"/>
        <v>0.61538461538461542</v>
      </c>
      <c r="P39" s="247">
        <f t="shared" si="1"/>
        <v>8</v>
      </c>
    </row>
    <row r="40" spans="1:16" x14ac:dyDescent="0.2">
      <c r="A40" s="162" t="s">
        <v>209</v>
      </c>
      <c r="B40" s="243">
        <v>0</v>
      </c>
      <c r="C40" s="244">
        <v>1</v>
      </c>
      <c r="D40" s="243">
        <v>1</v>
      </c>
      <c r="E40" s="243">
        <v>0</v>
      </c>
      <c r="F40" s="243">
        <v>1</v>
      </c>
      <c r="G40" s="243">
        <v>1</v>
      </c>
      <c r="H40" s="243">
        <v>1</v>
      </c>
      <c r="I40" s="243">
        <v>1</v>
      </c>
      <c r="J40" s="244">
        <v>0</v>
      </c>
      <c r="K40" s="243">
        <v>0</v>
      </c>
      <c r="L40" s="251">
        <v>1</v>
      </c>
      <c r="M40" s="243">
        <v>0</v>
      </c>
      <c r="N40" s="247">
        <v>0</v>
      </c>
      <c r="O40" s="265">
        <f t="shared" si="0"/>
        <v>0.53846153846153844</v>
      </c>
      <c r="P40" s="247">
        <f t="shared" si="1"/>
        <v>7</v>
      </c>
    </row>
    <row r="41" spans="1:16" x14ac:dyDescent="0.2">
      <c r="A41" s="162" t="s">
        <v>231</v>
      </c>
      <c r="B41" s="243">
        <v>0</v>
      </c>
      <c r="C41" s="243">
        <v>1</v>
      </c>
      <c r="D41" s="243">
        <v>1</v>
      </c>
      <c r="E41" s="243">
        <v>0</v>
      </c>
      <c r="F41" s="243">
        <v>1</v>
      </c>
      <c r="G41" s="243">
        <v>0</v>
      </c>
      <c r="H41" s="243">
        <v>1</v>
      </c>
      <c r="I41" s="243">
        <v>1</v>
      </c>
      <c r="J41" s="244">
        <v>0</v>
      </c>
      <c r="K41" s="243">
        <v>0</v>
      </c>
      <c r="L41" s="243">
        <v>0</v>
      </c>
      <c r="M41" s="251">
        <v>1</v>
      </c>
      <c r="N41" s="247">
        <v>0</v>
      </c>
      <c r="O41" s="265">
        <f t="shared" si="0"/>
        <v>0.46153846153846156</v>
      </c>
      <c r="P41" s="247">
        <f t="shared" si="1"/>
        <v>6</v>
      </c>
    </row>
    <row r="42" spans="1:16" x14ac:dyDescent="0.2">
      <c r="A42" s="145" t="s">
        <v>212</v>
      </c>
      <c r="B42" s="249">
        <v>0</v>
      </c>
      <c r="C42" s="250">
        <v>1</v>
      </c>
      <c r="D42" s="249">
        <v>1</v>
      </c>
      <c r="E42" s="249">
        <v>0</v>
      </c>
      <c r="F42" s="249">
        <v>1</v>
      </c>
      <c r="G42" s="249">
        <v>1</v>
      </c>
      <c r="H42" s="249">
        <v>1</v>
      </c>
      <c r="I42" s="249">
        <v>1</v>
      </c>
      <c r="J42" s="250">
        <v>0</v>
      </c>
      <c r="K42" s="249">
        <v>0</v>
      </c>
      <c r="L42" s="249">
        <v>0</v>
      </c>
      <c r="M42" s="249">
        <v>0</v>
      </c>
      <c r="N42" s="251">
        <v>1</v>
      </c>
      <c r="O42" s="266">
        <f t="shared" si="0"/>
        <v>0.53846153846153844</v>
      </c>
      <c r="P42" s="267">
        <f t="shared" si="1"/>
        <v>7</v>
      </c>
    </row>
    <row r="43" spans="1:16" x14ac:dyDescent="0.2">
      <c r="A43" s="96" t="s">
        <v>233</v>
      </c>
      <c r="B43" s="261">
        <f>SUM(B30:B42)/13</f>
        <v>0.38461538461538464</v>
      </c>
      <c r="C43" s="260">
        <f t="shared" ref="C43:N43" si="2">SUM(C30:C42)/13</f>
        <v>0.92307692307692313</v>
      </c>
      <c r="D43" s="260">
        <f t="shared" si="2"/>
        <v>0.92307692307692313</v>
      </c>
      <c r="E43" s="260">
        <f t="shared" si="2"/>
        <v>0.28846153846153844</v>
      </c>
      <c r="F43" s="260">
        <f t="shared" si="2"/>
        <v>0.76923076923076927</v>
      </c>
      <c r="G43" s="260">
        <f t="shared" si="2"/>
        <v>0.69230769230769229</v>
      </c>
      <c r="H43" s="260">
        <f t="shared" si="2"/>
        <v>0.92307692307692313</v>
      </c>
      <c r="I43" s="260">
        <f t="shared" si="2"/>
        <v>0.76923076923076927</v>
      </c>
      <c r="J43" s="260">
        <f t="shared" si="2"/>
        <v>0.46153846153846156</v>
      </c>
      <c r="K43" s="260">
        <f t="shared" si="2"/>
        <v>0.38461538461538464</v>
      </c>
      <c r="L43" s="260">
        <f t="shared" si="2"/>
        <v>0.30769230769230771</v>
      </c>
      <c r="M43" s="260">
        <f t="shared" si="2"/>
        <v>0.30769230769230771</v>
      </c>
      <c r="N43" s="262">
        <f t="shared" si="2"/>
        <v>0.30769230769230771</v>
      </c>
      <c r="O43" s="243"/>
    </row>
    <row r="44" spans="1:16" x14ac:dyDescent="0.2">
      <c r="A44" s="293" t="s">
        <v>258</v>
      </c>
      <c r="B44" s="158">
        <f>SUM(B30:B42)</f>
        <v>5</v>
      </c>
      <c r="C44" s="94">
        <f t="shared" ref="C44:N44" si="3">SUM(C30:C42)</f>
        <v>12</v>
      </c>
      <c r="D44" s="94">
        <f t="shared" si="3"/>
        <v>12</v>
      </c>
      <c r="E44" s="94">
        <f t="shared" si="3"/>
        <v>3.75</v>
      </c>
      <c r="F44" s="94">
        <f t="shared" si="3"/>
        <v>10</v>
      </c>
      <c r="G44" s="94">
        <f t="shared" si="3"/>
        <v>9</v>
      </c>
      <c r="H44" s="94">
        <f t="shared" si="3"/>
        <v>12</v>
      </c>
      <c r="I44" s="94">
        <f t="shared" si="3"/>
        <v>10</v>
      </c>
      <c r="J44" s="94">
        <f t="shared" si="3"/>
        <v>6</v>
      </c>
      <c r="K44" s="94">
        <f t="shared" si="3"/>
        <v>5</v>
      </c>
      <c r="L44" s="94">
        <f t="shared" si="3"/>
        <v>4</v>
      </c>
      <c r="M44" s="94">
        <f t="shared" si="3"/>
        <v>4</v>
      </c>
      <c r="N44" s="253">
        <f t="shared" si="3"/>
        <v>4</v>
      </c>
    </row>
    <row r="45" spans="1:16" x14ac:dyDescent="0.2">
      <c r="C45" s="223"/>
      <c r="F45" s="239"/>
      <c r="J45" s="237"/>
      <c r="K45" s="238"/>
    </row>
    <row r="46" spans="1:16" ht="17" thickBot="1" x14ac:dyDescent="0.25">
      <c r="A46" s="211"/>
      <c r="B46" s="211" t="s">
        <v>242</v>
      </c>
      <c r="C46" s="216" t="s">
        <v>243</v>
      </c>
      <c r="D46" s="152" t="s">
        <v>248</v>
      </c>
      <c r="E46" s="152" t="s">
        <v>244</v>
      </c>
      <c r="F46" s="152" t="s">
        <v>249</v>
      </c>
      <c r="G46" s="152" t="s">
        <v>245</v>
      </c>
      <c r="H46" s="152" t="s">
        <v>246</v>
      </c>
      <c r="I46" s="152" t="s">
        <v>255</v>
      </c>
      <c r="J46" s="152" t="s">
        <v>247</v>
      </c>
      <c r="K46" s="152" t="s">
        <v>251</v>
      </c>
      <c r="L46" s="152" t="s">
        <v>253</v>
      </c>
      <c r="M46" s="152" t="s">
        <v>250</v>
      </c>
      <c r="N46" s="152" t="s">
        <v>254</v>
      </c>
      <c r="O46" s="152" t="s">
        <v>252</v>
      </c>
      <c r="P46" s="139" t="s">
        <v>256</v>
      </c>
    </row>
    <row r="47" spans="1:16" x14ac:dyDescent="0.2">
      <c r="A47" s="287" t="s">
        <v>227</v>
      </c>
      <c r="B47" s="279">
        <v>0</v>
      </c>
      <c r="C47" s="279">
        <v>1</v>
      </c>
      <c r="D47" s="279">
        <v>2.5</v>
      </c>
      <c r="E47" s="279">
        <v>2</v>
      </c>
      <c r="F47" s="280">
        <v>1</v>
      </c>
      <c r="G47" s="280">
        <v>4</v>
      </c>
      <c r="H47" s="280">
        <v>3</v>
      </c>
      <c r="I47" s="197">
        <v>1</v>
      </c>
      <c r="J47" s="280">
        <v>2.25</v>
      </c>
      <c r="K47" s="279">
        <v>4.5</v>
      </c>
      <c r="L47" s="280">
        <v>3.25</v>
      </c>
      <c r="M47" s="280">
        <v>1</v>
      </c>
      <c r="N47" s="197">
        <v>1</v>
      </c>
      <c r="O47" s="280">
        <v>1</v>
      </c>
      <c r="P47" s="240">
        <f t="shared" ref="P47:P59" si="4">SUM(B47:O47)</f>
        <v>27.5</v>
      </c>
    </row>
    <row r="48" spans="1:16" x14ac:dyDescent="0.2">
      <c r="A48" s="288" t="s">
        <v>209</v>
      </c>
      <c r="B48" s="270">
        <v>0</v>
      </c>
      <c r="C48" s="270">
        <v>1</v>
      </c>
      <c r="D48" s="270">
        <v>2.5</v>
      </c>
      <c r="E48" s="270">
        <v>2</v>
      </c>
      <c r="F48" s="270">
        <v>2</v>
      </c>
      <c r="G48" s="18">
        <v>4</v>
      </c>
      <c r="H48" s="18">
        <v>2.5</v>
      </c>
      <c r="I48" s="270">
        <v>2</v>
      </c>
      <c r="J48" s="18">
        <v>1.25</v>
      </c>
      <c r="K48" s="270">
        <v>4.25</v>
      </c>
      <c r="L48" s="18">
        <v>3.5</v>
      </c>
      <c r="M48" s="18">
        <v>1</v>
      </c>
      <c r="N48">
        <v>1</v>
      </c>
      <c r="O48" s="18">
        <v>0.25</v>
      </c>
      <c r="P48" s="241">
        <f t="shared" si="4"/>
        <v>27.25</v>
      </c>
    </row>
    <row r="49" spans="1:22" x14ac:dyDescent="0.2">
      <c r="A49" s="288" t="s">
        <v>212</v>
      </c>
      <c r="B49" s="270">
        <v>0</v>
      </c>
      <c r="C49" s="270">
        <v>1</v>
      </c>
      <c r="D49" s="270">
        <v>3</v>
      </c>
      <c r="E49" s="270">
        <v>2</v>
      </c>
      <c r="F49" s="270">
        <v>2</v>
      </c>
      <c r="G49" s="18">
        <v>4</v>
      </c>
      <c r="H49" s="18">
        <v>2.5</v>
      </c>
      <c r="I49" s="270">
        <v>2</v>
      </c>
      <c r="J49" s="18">
        <v>1.25</v>
      </c>
      <c r="K49" s="270">
        <v>4.125</v>
      </c>
      <c r="L49" s="18">
        <v>3</v>
      </c>
      <c r="M49" s="18">
        <v>1</v>
      </c>
      <c r="N49">
        <v>1</v>
      </c>
      <c r="O49" s="18">
        <v>0.25</v>
      </c>
      <c r="P49" s="241">
        <f t="shared" si="4"/>
        <v>27.125</v>
      </c>
    </row>
    <row r="50" spans="1:22" x14ac:dyDescent="0.2">
      <c r="A50" s="288" t="s">
        <v>288</v>
      </c>
      <c r="B50" s="270">
        <v>1</v>
      </c>
      <c r="C50" s="270">
        <v>1</v>
      </c>
      <c r="D50" s="270">
        <v>3</v>
      </c>
      <c r="E50" s="270">
        <v>1</v>
      </c>
      <c r="F50" s="270">
        <v>0</v>
      </c>
      <c r="G50" s="18">
        <v>2.5</v>
      </c>
      <c r="H50" s="18">
        <v>3</v>
      </c>
      <c r="I50" s="270">
        <v>2</v>
      </c>
      <c r="J50" s="18">
        <v>4</v>
      </c>
      <c r="K50" s="18">
        <v>5</v>
      </c>
      <c r="L50" s="18">
        <v>3</v>
      </c>
      <c r="M50" s="18">
        <v>0.375</v>
      </c>
      <c r="N50">
        <v>1</v>
      </c>
      <c r="O50" s="18">
        <v>0</v>
      </c>
      <c r="P50" s="241">
        <f t="shared" si="4"/>
        <v>26.875</v>
      </c>
      <c r="R50" s="210"/>
      <c r="S50" s="1"/>
      <c r="V50" s="223"/>
    </row>
    <row r="51" spans="1:22" ht="17" thickBot="1" x14ac:dyDescent="0.25">
      <c r="A51" s="289" t="s">
        <v>203</v>
      </c>
      <c r="B51" s="283">
        <v>0</v>
      </c>
      <c r="C51" s="283">
        <v>1</v>
      </c>
      <c r="D51" s="283">
        <v>1</v>
      </c>
      <c r="E51" s="283">
        <v>2</v>
      </c>
      <c r="F51" s="283">
        <v>2</v>
      </c>
      <c r="G51" s="284">
        <v>3.5</v>
      </c>
      <c r="H51" s="284">
        <v>3</v>
      </c>
      <c r="I51" s="283">
        <v>3</v>
      </c>
      <c r="J51" s="284">
        <v>1</v>
      </c>
      <c r="K51" s="283">
        <v>4.25</v>
      </c>
      <c r="L51" s="284">
        <v>4</v>
      </c>
      <c r="M51" s="284">
        <v>1</v>
      </c>
      <c r="N51" s="198">
        <v>0.625</v>
      </c>
      <c r="O51" s="284">
        <v>0.25</v>
      </c>
      <c r="P51" s="242">
        <f t="shared" si="4"/>
        <v>26.625</v>
      </c>
      <c r="R51" s="210"/>
      <c r="V51" s="223"/>
    </row>
    <row r="52" spans="1:22" x14ac:dyDescent="0.2">
      <c r="A52" s="281" t="s">
        <v>231</v>
      </c>
      <c r="B52" s="273">
        <v>0</v>
      </c>
      <c r="C52" s="270">
        <v>1</v>
      </c>
      <c r="D52" s="270">
        <v>2.75</v>
      </c>
      <c r="E52" s="270">
        <v>2</v>
      </c>
      <c r="F52" s="270">
        <v>2</v>
      </c>
      <c r="G52" s="18">
        <v>4</v>
      </c>
      <c r="H52" s="18">
        <v>2.625</v>
      </c>
      <c r="I52" s="270">
        <v>2</v>
      </c>
      <c r="J52" s="18">
        <v>1.25</v>
      </c>
      <c r="K52" s="270">
        <v>3.5</v>
      </c>
      <c r="L52" s="18">
        <v>2.25</v>
      </c>
      <c r="M52" s="18">
        <v>1</v>
      </c>
      <c r="N52">
        <v>1</v>
      </c>
      <c r="O52" s="272">
        <v>0.375</v>
      </c>
      <c r="P52" s="241">
        <f t="shared" si="4"/>
        <v>25.75</v>
      </c>
      <c r="R52" s="210"/>
      <c r="V52" s="223"/>
    </row>
    <row r="53" spans="1:22" x14ac:dyDescent="0.2">
      <c r="A53" s="281" t="s">
        <v>207</v>
      </c>
      <c r="B53" s="273">
        <v>0</v>
      </c>
      <c r="C53" s="270">
        <v>1</v>
      </c>
      <c r="D53" s="270">
        <v>2.75</v>
      </c>
      <c r="E53" s="270">
        <v>2</v>
      </c>
      <c r="F53" s="270">
        <v>2</v>
      </c>
      <c r="G53" s="18">
        <v>4</v>
      </c>
      <c r="H53" s="18">
        <v>2</v>
      </c>
      <c r="I53" s="270">
        <v>1</v>
      </c>
      <c r="J53" s="18">
        <v>2.375</v>
      </c>
      <c r="K53" s="270">
        <v>5</v>
      </c>
      <c r="L53" s="18">
        <v>1</v>
      </c>
      <c r="M53" s="18">
        <v>1</v>
      </c>
      <c r="N53">
        <v>1</v>
      </c>
      <c r="O53" s="272">
        <v>0.25</v>
      </c>
      <c r="P53" s="241">
        <f t="shared" si="4"/>
        <v>25.375</v>
      </c>
      <c r="R53" s="210"/>
      <c r="V53" s="223"/>
    </row>
    <row r="54" spans="1:22" ht="17" thickBot="1" x14ac:dyDescent="0.25">
      <c r="A54" s="286" t="s">
        <v>198</v>
      </c>
      <c r="B54" s="282">
        <v>0.125</v>
      </c>
      <c r="C54" s="283">
        <v>0.5</v>
      </c>
      <c r="D54" s="283">
        <v>2</v>
      </c>
      <c r="E54" s="283">
        <v>2</v>
      </c>
      <c r="F54" s="284">
        <v>1</v>
      </c>
      <c r="G54" s="284">
        <v>3</v>
      </c>
      <c r="H54" s="283">
        <v>3.5</v>
      </c>
      <c r="I54" s="283">
        <v>1</v>
      </c>
      <c r="J54" s="284">
        <v>2.5</v>
      </c>
      <c r="K54" s="283">
        <v>4</v>
      </c>
      <c r="L54" s="284">
        <v>2</v>
      </c>
      <c r="M54" s="284">
        <v>1</v>
      </c>
      <c r="N54" s="198">
        <v>0.625</v>
      </c>
      <c r="O54" s="285">
        <v>1</v>
      </c>
      <c r="P54" s="242">
        <f t="shared" si="4"/>
        <v>24.25</v>
      </c>
      <c r="R54" s="210"/>
      <c r="V54" s="223"/>
    </row>
    <row r="55" spans="1:22" x14ac:dyDescent="0.2">
      <c r="A55" s="201" t="s">
        <v>194</v>
      </c>
      <c r="B55" s="273">
        <v>1</v>
      </c>
      <c r="C55" s="268">
        <v>1</v>
      </c>
      <c r="D55" s="270">
        <v>2.5</v>
      </c>
      <c r="E55" s="270">
        <v>1</v>
      </c>
      <c r="F55" s="18">
        <v>1.75</v>
      </c>
      <c r="G55" s="1">
        <v>1.75</v>
      </c>
      <c r="H55" s="1">
        <v>4</v>
      </c>
      <c r="I55" s="1">
        <v>1</v>
      </c>
      <c r="J55" s="1">
        <v>1</v>
      </c>
      <c r="K55" s="270">
        <v>3</v>
      </c>
      <c r="L55" s="18">
        <v>4</v>
      </c>
      <c r="M55" s="1">
        <v>0.125</v>
      </c>
      <c r="N55">
        <v>1</v>
      </c>
      <c r="O55" s="272">
        <v>0</v>
      </c>
      <c r="P55" s="163">
        <f t="shared" si="4"/>
        <v>23.125</v>
      </c>
      <c r="R55" s="210"/>
      <c r="V55" s="223"/>
    </row>
    <row r="56" spans="1:22" x14ac:dyDescent="0.2">
      <c r="A56" s="162" t="s">
        <v>223</v>
      </c>
      <c r="B56" s="271">
        <v>0.5</v>
      </c>
      <c r="C56" s="269">
        <v>0</v>
      </c>
      <c r="D56" s="18">
        <v>2</v>
      </c>
      <c r="E56" s="18">
        <v>1</v>
      </c>
      <c r="F56" s="18">
        <v>0.5</v>
      </c>
      <c r="G56" s="18">
        <v>2.5</v>
      </c>
      <c r="H56" s="18">
        <v>3</v>
      </c>
      <c r="I56" s="18">
        <v>1</v>
      </c>
      <c r="J56" s="18">
        <v>2</v>
      </c>
      <c r="K56" s="18">
        <v>4.5</v>
      </c>
      <c r="L56" s="18">
        <v>3.5</v>
      </c>
      <c r="M56">
        <v>0.75</v>
      </c>
      <c r="N56">
        <v>0</v>
      </c>
      <c r="O56" s="272">
        <v>1</v>
      </c>
      <c r="P56" s="163">
        <f t="shared" si="4"/>
        <v>22.25</v>
      </c>
      <c r="R56" s="210"/>
      <c r="V56" s="223"/>
    </row>
    <row r="57" spans="1:22" x14ac:dyDescent="0.2">
      <c r="A57" s="162" t="s">
        <v>221</v>
      </c>
      <c r="B57" s="271">
        <v>1</v>
      </c>
      <c r="C57" s="269">
        <v>1</v>
      </c>
      <c r="D57" s="18">
        <v>3</v>
      </c>
      <c r="E57" s="18">
        <v>0</v>
      </c>
      <c r="F57" s="18">
        <v>0</v>
      </c>
      <c r="G57" s="18">
        <v>2</v>
      </c>
      <c r="H57" s="18">
        <v>2.5</v>
      </c>
      <c r="I57" s="18">
        <v>0</v>
      </c>
      <c r="J57" s="18">
        <v>2.5</v>
      </c>
      <c r="K57" s="18">
        <v>5</v>
      </c>
      <c r="L57" s="18">
        <v>4</v>
      </c>
      <c r="M57">
        <v>0.25</v>
      </c>
      <c r="N57" s="18">
        <v>1</v>
      </c>
      <c r="O57" s="272">
        <v>0</v>
      </c>
      <c r="P57" s="163">
        <f t="shared" si="4"/>
        <v>22.25</v>
      </c>
      <c r="R57" s="210"/>
      <c r="V57" s="223"/>
    </row>
    <row r="58" spans="1:22" x14ac:dyDescent="0.2">
      <c r="A58" s="201" t="s">
        <v>229</v>
      </c>
      <c r="B58" s="273">
        <v>0.5</v>
      </c>
      <c r="C58" s="270">
        <v>1</v>
      </c>
      <c r="D58" s="270">
        <v>2.5</v>
      </c>
      <c r="E58" s="270">
        <v>1.25</v>
      </c>
      <c r="F58" s="18">
        <v>1</v>
      </c>
      <c r="G58" s="18">
        <v>3</v>
      </c>
      <c r="H58" s="18">
        <v>2.75</v>
      </c>
      <c r="I58" s="270">
        <v>0</v>
      </c>
      <c r="J58" s="18">
        <v>0.5</v>
      </c>
      <c r="K58" s="270">
        <v>4.125</v>
      </c>
      <c r="L58" s="18">
        <v>2.75</v>
      </c>
      <c r="M58" s="18">
        <v>0</v>
      </c>
      <c r="N58">
        <v>1</v>
      </c>
      <c r="O58" s="272">
        <v>1</v>
      </c>
      <c r="P58" s="163">
        <f t="shared" si="4"/>
        <v>21.375</v>
      </c>
      <c r="R58" s="210"/>
      <c r="V58" s="223"/>
    </row>
    <row r="59" spans="1:22" x14ac:dyDescent="0.2">
      <c r="A59" s="276" t="s">
        <v>195</v>
      </c>
      <c r="B59" s="277">
        <v>1</v>
      </c>
      <c r="C59" s="278">
        <v>0</v>
      </c>
      <c r="D59" s="278">
        <v>1</v>
      </c>
      <c r="E59" s="274">
        <v>2</v>
      </c>
      <c r="F59" s="274">
        <v>1</v>
      </c>
      <c r="G59" s="274">
        <v>3</v>
      </c>
      <c r="H59" s="274">
        <v>3.5</v>
      </c>
      <c r="I59" s="274">
        <v>1</v>
      </c>
      <c r="J59" s="274">
        <v>2.5</v>
      </c>
      <c r="K59" s="274">
        <v>2</v>
      </c>
      <c r="L59" s="274">
        <v>2</v>
      </c>
      <c r="M59" s="274">
        <v>1</v>
      </c>
      <c r="N59" s="94">
        <v>0</v>
      </c>
      <c r="O59" s="275">
        <v>1</v>
      </c>
      <c r="P59" s="145">
        <f t="shared" si="4"/>
        <v>21</v>
      </c>
    </row>
    <row r="60" spans="1:22" x14ac:dyDescent="0.2">
      <c r="A60" s="212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</row>
    <row r="61" spans="1:22" x14ac:dyDescent="0.2">
      <c r="A61" s="212"/>
      <c r="B61" s="235"/>
      <c r="C61" s="208"/>
      <c r="D61" s="207"/>
      <c r="E61" s="235"/>
      <c r="F61" s="235"/>
      <c r="G61" s="235"/>
      <c r="H61" s="235"/>
      <c r="I61" s="235"/>
      <c r="J61" s="235"/>
      <c r="K61" s="235"/>
      <c r="L61" s="235"/>
    </row>
    <row r="62" spans="1:22" x14ac:dyDescent="0.2">
      <c r="A62" s="212"/>
      <c r="B62" s="235"/>
      <c r="C62" s="236"/>
      <c r="D62" s="207"/>
      <c r="E62" s="235"/>
      <c r="F62" s="235"/>
      <c r="G62" s="235"/>
      <c r="H62" s="235"/>
      <c r="I62" s="235"/>
      <c r="J62" s="235"/>
      <c r="K62" s="235"/>
      <c r="L62" s="235"/>
    </row>
    <row r="64" spans="1:22" x14ac:dyDescent="0.2">
      <c r="A64" s="212"/>
    </row>
  </sheetData>
  <phoneticPr fontId="6" type="noConversion"/>
  <conditionalFormatting sqref="A47:A59">
    <cfRule type="iconSet" priority="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1 B28">
    <cfRule type="dataBar" priority="55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{8F7A6E18-8961-D145-9EBC-2FDDBA4D164A}</x14:id>
        </ext>
      </extLst>
    </cfRule>
  </conditionalFormatting>
  <conditionalFormatting sqref="B2:B27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{F4B4060D-EC9D-BB41-97FD-12145F8FC93F}</x14:id>
        </ext>
      </extLst>
    </cfRule>
  </conditionalFormatting>
  <conditionalFormatting sqref="B28">
    <cfRule type="dataBar" priority="53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{5B721957-BD61-AB48-9F0F-08CBA8F17FD9}</x14:id>
        </ext>
      </extLst>
    </cfRule>
  </conditionalFormatting>
  <conditionalFormatting sqref="B47:B59">
    <cfRule type="iconSet" priority="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60:B62">
    <cfRule type="iconSet" priority="7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30:N42">
    <cfRule type="aboveAverage" dxfId="7" priority="23"/>
    <cfRule type="iconSet" priority="5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2:C27">
    <cfRule type="dataBar" priority="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{805992E8-1754-0C45-9416-D30692524B9C}</x14:id>
        </ext>
      </extLst>
    </cfRule>
  </conditionalFormatting>
  <conditionalFormatting sqref="C28 C1">
    <cfRule type="dataBar" priority="55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{DA5ABB39-3503-4240-9A55-837CA003F7EB}</x14:id>
        </ext>
      </extLst>
    </cfRule>
  </conditionalFormatting>
  <conditionalFormatting sqref="C28">
    <cfRule type="dataBar" priority="54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{2024E65F-5E63-F54D-9581-D1B80615C9D6}</x14:id>
        </ext>
      </extLst>
    </cfRule>
  </conditionalFormatting>
  <conditionalFormatting sqref="C47:C59"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60:C62">
    <cfRule type="iconSet" priority="7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47:D59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60:D62">
    <cfRule type="iconSet" priority="7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2:E27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{F7394A5F-699F-7649-8A67-70340C720D25}</x14:id>
        </ext>
      </extLst>
    </cfRule>
  </conditionalFormatting>
  <conditionalFormatting sqref="E1 E28">
    <cfRule type="dataBar" priority="55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{46F47FC1-AD5B-9443-8ADB-F2269ED29D52}</x14:id>
        </ext>
      </extLst>
    </cfRule>
  </conditionalFormatting>
  <conditionalFormatting sqref="E28">
    <cfRule type="dataBar" priority="55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{A1DB8A5D-B448-6946-879E-F4E0944F33B0}</x14:id>
        </ext>
      </extLst>
    </cfRule>
  </conditionalFormatting>
  <conditionalFormatting sqref="E60:E62">
    <cfRule type="iconSet" priority="7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 F28">
    <cfRule type="dataBar" priority="55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{A6C9E20C-D52E-7849-9DDA-7CD785F300EE}</x14:id>
        </ext>
      </extLst>
    </cfRule>
    <cfRule type="dataBar" priority="55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{7FF29856-A890-DD48-9C48-D65D0C074AE1}</x14:id>
        </ext>
      </extLst>
    </cfRule>
  </conditionalFormatting>
  <conditionalFormatting sqref="F2:F27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{71A73B70-8392-264F-9ECD-8E5C2C6B025E}</x14:id>
        </ext>
      </extLst>
    </cfRule>
  </conditionalFormatting>
  <conditionalFormatting sqref="F28">
    <cfRule type="dataBar" priority="55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{D0384FB4-DEC5-F14F-B090-F46202014FA9}</x14:id>
        </ext>
      </extLst>
    </cfRule>
  </conditionalFormatting>
  <conditionalFormatting sqref="F45">
    <cfRule type="dataBar" priority="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{B0681E1F-9ABD-F148-A7DA-0EA9208E7D48}</x14:id>
        </ext>
      </extLst>
    </cfRule>
  </conditionalFormatting>
  <conditionalFormatting sqref="F60:F62">
    <cfRule type="iconSet" priority="7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G1 G28">
    <cfRule type="dataBar" priority="55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{A438D15E-2A4E-B041-AAD0-D6C52F4F2475}</x14:id>
        </ext>
      </extLst>
    </cfRule>
    <cfRule type="dataBar" priority="55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{E25DA159-8F36-824E-9EA0-2E215B35A48C}</x14:id>
        </ext>
      </extLst>
    </cfRule>
  </conditionalFormatting>
  <conditionalFormatting sqref="G2:G27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{D46ECA99-1EDD-C147-83DE-6C6FB76D9273}</x14:id>
        </ext>
      </extLst>
    </cfRule>
  </conditionalFormatting>
  <conditionalFormatting sqref="G28">
    <cfRule type="dataBar" priority="55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{739A2316-BE36-8D4D-B160-E39DFEFC4A7D}</x14:id>
        </ext>
      </extLst>
    </cfRule>
  </conditionalFormatting>
  <conditionalFormatting sqref="G47:G59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G60:G62">
    <cfRule type="iconSet" priority="7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1 H28">
    <cfRule type="dataBar" priority="55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{DC4C7849-8A2B-E947-8146-38E14BCA9735}</x14:id>
        </ext>
      </extLst>
    </cfRule>
    <cfRule type="dataBar" priority="55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{5823432F-6CB6-6B40-A537-51D6C12914EF}</x14:id>
        </ext>
      </extLst>
    </cfRule>
  </conditionalFormatting>
  <conditionalFormatting sqref="H2:H27">
    <cfRule type="iconSet" priority="43">
      <iconSet iconSet="5Arrows" reverse="1">
        <cfvo type="percent" val="0"/>
        <cfvo type="percent" val="20"/>
        <cfvo type="percent" val="40"/>
        <cfvo type="percent" val="60"/>
        <cfvo type="percent" val="80"/>
      </iconSet>
    </cfRule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{93F7AFC2-F41B-D143-AAAA-B6069A514E08}</x14:id>
        </ext>
      </extLst>
    </cfRule>
  </conditionalFormatting>
  <conditionalFormatting sqref="H28">
    <cfRule type="dataBar" priority="5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{E428E382-012D-A44D-813A-21DE30843453}</x14:id>
        </ext>
      </extLst>
    </cfRule>
  </conditionalFormatting>
  <conditionalFormatting sqref="H60:H62">
    <cfRule type="iconSet" priority="69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1 I28">
    <cfRule type="dataBar" priority="55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{237F6E0E-B3AD-EF45-8A11-B0CDB888412D}</x14:id>
        </ext>
      </extLst>
    </cfRule>
    <cfRule type="dataBar" priority="55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{AA6C502D-CC88-404C-83F5-EE195B9E07C4}</x14:id>
        </ext>
      </extLst>
    </cfRule>
    <cfRule type="dataBar" priority="55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{592D1A69-DDD2-DB41-837C-1B71D8EAF907}</x14:id>
        </ext>
      </extLst>
    </cfRule>
  </conditionalFormatting>
  <conditionalFormatting sqref="I2:I27">
    <cfRule type="iconSet" priority="42">
      <iconSet iconSet="5Arrows" reverse="1">
        <cfvo type="percent" val="0"/>
        <cfvo type="percent" val="20"/>
        <cfvo type="percent" val="40"/>
        <cfvo type="percent" val="60"/>
        <cfvo type="percent" val="80"/>
      </iconSet>
    </cfRule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{01DDEBC4-8D7C-8C4D-8420-FD12D358DAF3}</x14:id>
        </ext>
      </extLst>
    </cfRule>
  </conditionalFormatting>
  <conditionalFormatting sqref="I28">
    <cfRule type="dataBar" priority="55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{D0E348DD-D146-7540-9FC4-908A6828DBB4}</x14:id>
        </ext>
      </extLst>
    </cfRule>
  </conditionalFormatting>
  <conditionalFormatting sqref="I60:I62">
    <cfRule type="iconSet" priority="6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J1 J28">
    <cfRule type="dataBar" priority="55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{DB6ABB6D-232C-2A47-8482-91D49E1FAC2F}</x14:id>
        </ext>
      </extLst>
    </cfRule>
    <cfRule type="dataBar" priority="55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{D0CDB68A-B5D3-3946-94F3-D60DCB128D1E}</x14:id>
        </ext>
      </extLst>
    </cfRule>
  </conditionalFormatting>
  <conditionalFormatting sqref="J2:J27">
    <cfRule type="iconSet" priority="41">
      <iconSet iconSet="5Arrows" reverse="1">
        <cfvo type="percent" val="0"/>
        <cfvo type="percent" val="20"/>
        <cfvo type="percent" val="40"/>
        <cfvo type="percent" val="60"/>
        <cfvo type="percent" val="80"/>
      </iconSet>
    </cfRule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{A6EC6B0B-A1AD-0448-A56A-B2F7C4A17D9D}</x14:id>
        </ext>
      </extLst>
    </cfRule>
  </conditionalFormatting>
  <conditionalFormatting sqref="J28">
    <cfRule type="dataBar" priority="55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{78208423-7509-6D4F-9640-DB7200A7AA72}</x14:id>
        </ext>
      </extLst>
    </cfRule>
    <cfRule type="dataBar" priority="55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{98C56D70-99FD-9A4D-B32D-0CAA7358276A}</x14:id>
        </ext>
      </extLst>
    </cfRule>
  </conditionalFormatting>
  <conditionalFormatting sqref="J60:J62">
    <cfRule type="iconSet" priority="6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J63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{5FBAE133-267A-D24F-A37C-FB51210C2653}</x14:id>
        </ext>
      </extLst>
    </cfRule>
    <cfRule type="dataBar" priority="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{96D49338-ADF1-7F41-9C94-9D560266CE5F}</x14:id>
        </ext>
      </extLst>
    </cfRule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{CF4AF881-BE15-4648-AE75-5B21173E7C81}</x14:id>
        </ext>
      </extLst>
    </cfRule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{D42A1B8F-9769-6C45-A6E2-F9375AB0A892}</x14:id>
        </ext>
      </extLst>
    </cfRule>
  </conditionalFormatting>
  <conditionalFormatting sqref="J64:J82">
    <cfRule type="dataBar" priority="1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{38304775-AF65-724B-8DE0-5D687D8D7AC2}</x14:id>
        </ext>
      </extLst>
    </cfRule>
    <cfRule type="dataBar" priority="1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{52AED488-B091-B44E-B670-912C636ECBE3}</x14:id>
        </ext>
      </extLst>
    </cfRule>
    <cfRule type="dataBar" priority="1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{E4FB63B1-6FF2-7341-923D-81D430263661}</x14:id>
        </ext>
      </extLst>
    </cfRule>
    <cfRule type="dataBar" priority="1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{9AD3B40A-3358-4242-A246-E7454B594BCB}</x14:id>
        </ext>
      </extLst>
    </cfRule>
    <cfRule type="dataBar" priority="1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{35EB8938-4C82-9344-9805-04481CAFEDC8}</x14:id>
        </ext>
      </extLst>
    </cfRule>
    <cfRule type="dataBar" priority="1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{14460870-21D6-544F-BB34-E1FC4A5731D1}</x14:id>
        </ext>
      </extLst>
    </cfRule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{C8AAF0A0-C517-F242-BD8E-3C09ED3D5BAC}</x14:id>
        </ext>
      </extLst>
    </cfRule>
    <cfRule type="dataBar" priority="1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{B26F89E6-68F5-D946-9CD0-E7FC82F5B9C3}</x14:id>
        </ext>
      </extLst>
    </cfRule>
  </conditionalFormatting>
  <conditionalFormatting sqref="K1 K28">
    <cfRule type="dataBar" priority="55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{E03CEE0E-453A-FC40-A906-458F4AAD1CFB}</x14:id>
        </ext>
      </extLst>
    </cfRule>
    <cfRule type="dataBar" priority="55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{A4EBCBF4-C7DB-8648-A521-4BEBF5E4E320}</x14:id>
        </ext>
      </extLst>
    </cfRule>
  </conditionalFormatting>
  <conditionalFormatting sqref="K2:K27">
    <cfRule type="iconSet" priority="40">
      <iconSet iconSet="5Arrows" reverse="1">
        <cfvo type="percent" val="0"/>
        <cfvo type="percent" val="20"/>
        <cfvo type="percent" val="40"/>
        <cfvo type="percent" val="60"/>
        <cfvo type="percent" val="80"/>
      </iconSet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{EFC4E2A5-CAC7-7E43-B9B1-7532ACFAD61B}</x14:id>
        </ext>
      </extLst>
    </cfRule>
  </conditionalFormatting>
  <conditionalFormatting sqref="K28">
    <cfRule type="dataBar" priority="55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{85AC9916-2C8E-F24F-878E-D36AD5DCDCCF}</x14:id>
        </ext>
      </extLst>
    </cfRule>
    <cfRule type="dataBar" priority="55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{250ED59B-5171-F04F-B00A-E71F4855F1C7}</x14:id>
        </ext>
      </extLst>
    </cfRule>
  </conditionalFormatting>
  <conditionalFormatting sqref="K45">
    <cfRule type="dataBar" priority="43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{36FFD33C-B66B-574A-BA18-C9ADA70330D5}</x14:id>
        </ext>
      </extLst>
    </cfRule>
  </conditionalFormatting>
  <conditionalFormatting sqref="K60:K62">
    <cfRule type="iconSet" priority="6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47:L59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60:L62">
    <cfRule type="iconSet" priority="6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28:M28 E1 E28">
    <cfRule type="dataBar" priority="55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{511BC45B-8AB1-4644-A76B-302F95E7F088}</x14:id>
        </ext>
      </extLst>
    </cfRule>
  </conditionalFormatting>
  <conditionalFormatting sqref="M60:M82">
    <cfRule type="dataBar" priority="56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{60F4D727-8A15-684A-AFA3-710614871F46}</x14:id>
        </ext>
      </extLst>
    </cfRule>
    <cfRule type="dataBar" priority="56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{A1C32E27-8177-CE45-9B77-7E8A8B5C20C2}</x14:id>
        </ext>
      </extLst>
    </cfRule>
    <cfRule type="dataBar" priority="56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{BBC552CF-D037-4147-80A8-A5B4CAC0B52C}</x14:id>
        </ext>
      </extLst>
    </cfRule>
    <cfRule type="dataBar" priority="56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{576417AD-FD08-7E44-A633-4431FAB580BC}</x14:id>
        </ext>
      </extLst>
    </cfRule>
  </conditionalFormatting>
  <conditionalFormatting sqref="N47:N59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2:P27">
    <cfRule type="iconSet" priority="3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{77CD9128-1EF2-C04A-8E27-04D1801FC37E}</x14:id>
        </ext>
      </extLst>
    </cfRule>
  </conditionalFormatting>
  <conditionalFormatting sqref="P28">
    <cfRule type="dataBar" priority="54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{DBF6E9A2-FBBD-7644-8A8B-2EB8472B0AE3}</x14:id>
        </ext>
      </extLst>
    </cfRule>
  </conditionalFormatting>
  <conditionalFormatting sqref="P47:P59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Q28 Q1">
    <cfRule type="dataBar" priority="55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{1049CF55-F1F0-0E4F-A0FD-D21F82937A08}</x14:id>
        </ext>
      </extLst>
    </cfRule>
    <cfRule type="dataBar" priority="55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{7F7F3BB9-58AD-E84D-93DB-5C6BC6473A0E}</x14:id>
        </ext>
      </extLst>
    </cfRule>
    <cfRule type="dataBar" priority="55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{55DDFF7B-4290-C44F-ADB6-A2C20D364576}</x14:id>
        </ext>
      </extLst>
    </cfRule>
  </conditionalFormatting>
  <conditionalFormatting sqref="Q2:Q27">
    <cfRule type="iconSet" priority="3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{8DE6BCB7-05B4-5B4D-AE76-64BB628537B3}</x14:id>
        </ext>
      </extLst>
    </cfRule>
  </conditionalFormatting>
  <conditionalFormatting sqref="Q28">
    <cfRule type="dataBar" priority="55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{1998324D-042C-5145-A0DA-CDCF6CFEDAF5}</x14:id>
        </ext>
      </extLst>
    </cfRule>
  </conditionalFormatting>
  <conditionalFormatting sqref="R1 R28">
    <cfRule type="dataBar" priority="55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{5C999000-3CB7-A547-AFF6-7CD870CBFC04}</x14:id>
        </ext>
      </extLst>
    </cfRule>
    <cfRule type="dataBar" priority="55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{F972DD6F-FC0F-BD4A-B562-F26A47F5EDBB}</x14:id>
        </ext>
      </extLst>
    </cfRule>
  </conditionalFormatting>
  <conditionalFormatting sqref="R2:R27">
    <cfRule type="iconSet" priority="3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{AF1CA431-0AD3-384A-8921-00CBA9F78823}</x14:id>
        </ext>
      </extLst>
    </cfRule>
  </conditionalFormatting>
  <conditionalFormatting sqref="R28">
    <cfRule type="dataBar" priority="55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{8CFA8E9D-56F5-9D46-BC0B-E58A2EA2B12E}</x14:id>
        </ext>
      </extLst>
    </cfRule>
    <cfRule type="dataBar" priority="55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{CF55C974-5F94-8E42-8320-2D8103C416EF}</x14:id>
        </ext>
      </extLst>
    </cfRule>
  </conditionalFormatting>
  <conditionalFormatting sqref="S1 S28">
    <cfRule type="dataBar" priority="558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{DDEA1D81-C080-ED49-BFB7-4D5B9DDA23DF}</x14:id>
        </ext>
      </extLst>
    </cfRule>
    <cfRule type="dataBar" priority="55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{FF4D1592-20D4-9040-B181-40123308D1B3}</x14:id>
        </ext>
      </extLst>
    </cfRule>
    <cfRule type="dataBar" priority="55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{1E380960-ECAB-514F-B74D-74097BE78602}</x14:id>
        </ext>
      </extLst>
    </cfRule>
  </conditionalFormatting>
  <conditionalFormatting sqref="S1">
    <cfRule type="dataBar" priority="3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{CBC6EAB6-47A0-8F40-A28C-A3B609D6D143}</x14:id>
        </ext>
      </extLst>
    </cfRule>
  </conditionalFormatting>
  <conditionalFormatting sqref="S2:S27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{E613C355-72B6-5B44-A58F-00DCD6401232}</x14:id>
        </ext>
      </extLst>
    </cfRule>
  </conditionalFormatting>
  <conditionalFormatting sqref="S28">
    <cfRule type="dataBar" priority="54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{1CD8FC9D-763B-CE4C-BCDF-D7CFD4627797}</x14:id>
        </ext>
      </extLst>
    </cfRule>
  </conditionalFormatting>
  <conditionalFormatting sqref="T1 T28">
    <cfRule type="dataBar" priority="55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{30A90CE9-C3F7-8D4F-A60D-EB7F1304B5F1}</x14:id>
        </ext>
      </extLst>
    </cfRule>
  </conditionalFormatting>
  <conditionalFormatting sqref="T2:T27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{0934EB65-9B12-EC40-BAE3-60D90079CC5C}</x14:id>
        </ext>
      </extLst>
    </cfRule>
  </conditionalFormatting>
  <conditionalFormatting sqref="T28">
    <cfRule type="dataBar" priority="54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{7434F2C3-66D1-664C-B4D4-94006F351123}</x14:id>
        </ext>
      </extLst>
    </cfRule>
    <cfRule type="dataBar" priority="55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{72D0DDF5-D388-254D-87EB-019B9F862B3C}</x14:id>
        </ext>
      </extLst>
    </cfRule>
    <cfRule type="dataBar" priority="55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{84FAF643-BC57-8746-B0AC-0BBF67D5EB85}</x14:id>
        </ext>
      </extLst>
    </cfRule>
  </conditionalFormatting>
  <conditionalFormatting sqref="U1 U28">
    <cfRule type="dataBar" priority="56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{90B49769-AD89-9A4B-8B21-7D762C7B84C0}</x14:id>
        </ext>
      </extLst>
    </cfRule>
  </conditionalFormatting>
  <conditionalFormatting sqref="U2:U27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{FEDACFB9-66B4-2943-9B31-34619F8A5381}</x14:id>
        </ext>
      </extLst>
    </cfRule>
  </conditionalFormatting>
  <conditionalFormatting sqref="U28">
    <cfRule type="dataBar" priority="54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{7826212F-FD0A-7941-8F16-A49F57A6E06D}</x14:id>
        </ext>
      </extLst>
    </cfRule>
    <cfRule type="dataBar" priority="55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{E27824AD-1989-F245-94E0-33FEAE32F2AA}</x14:id>
        </ext>
      </extLst>
    </cfRule>
    <cfRule type="dataBar" priority="55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{5A9E1644-5FDF-7A4B-A08A-608F099868B8}</x14:id>
        </ext>
      </extLst>
    </cfRule>
  </conditionalFormatting>
  <conditionalFormatting sqref="V1 X28 V28">
    <cfRule type="dataBar" priority="56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{25447F02-E8DC-F243-A9C7-E8A5F875080B}</x14:id>
        </ext>
      </extLst>
    </cfRule>
  </conditionalFormatting>
  <conditionalFormatting sqref="V2:V27">
    <cfRule type="iconSet" priority="26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{E4AFD378-86E0-974F-A1FB-424D7A7F33C4}</x14:id>
        </ext>
      </extLst>
    </cfRule>
  </conditionalFormatting>
  <conditionalFormatting sqref="V28">
    <cfRule type="dataBar" priority="56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{5A787130-2061-4A45-8617-7BFF82AAE5F8}</x14:id>
        </ext>
      </extLst>
    </cfRule>
  </conditionalFormatting>
  <conditionalFormatting sqref="V28:X28">
    <cfRule type="dataBar" priority="56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{C350DA38-9834-094E-810A-BAF4E2DA8AF5}</x14:id>
        </ext>
      </extLst>
    </cfRule>
  </conditionalFormatting>
  <conditionalFormatting sqref="W1 W28">
    <cfRule type="dataBar" priority="56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{B7FC9BDF-EA96-9E47-9875-35CF24BB4018}</x14:id>
        </ext>
      </extLst>
    </cfRule>
    <cfRule type="dataBar" priority="56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{A020CC20-9F16-5B49-BD87-C67856652B95}</x14:id>
        </ext>
      </extLst>
    </cfRule>
  </conditionalFormatting>
  <conditionalFormatting sqref="W2:W27">
    <cfRule type="iconSet" priority="25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{106D43B0-AEE1-D047-B91F-1D5987B6651E}</x14:id>
        </ext>
      </extLst>
    </cfRule>
  </conditionalFormatting>
  <conditionalFormatting sqref="X1 X28">
    <cfRule type="dataBar" priority="56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{34698D27-C77D-A842-B1B2-B3B3B850ED97}</x14:id>
        </ext>
      </extLst>
    </cfRule>
    <cfRule type="dataBar" priority="56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{A4B7DEBB-1174-DB4C-A0B6-82DEA40198B5}</x14:id>
        </ext>
      </extLst>
    </cfRule>
  </conditionalFormatting>
  <conditionalFormatting sqref="X2:X27">
    <cfRule type="iconSet" priority="2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{1C9E1E2F-9278-C644-A826-F47EEDD30971}</x14:id>
        </ext>
      </extLst>
    </cfRule>
  </conditionalFormatting>
  <conditionalFormatting sqref="X28">
    <cfRule type="dataBar" priority="56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{352257F8-CD30-D746-9078-64BD7D796BEF}</x14:id>
        </ext>
      </extLst>
    </cfRule>
    <cfRule type="dataBar" priority="56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{E468D138-8FEC-A943-9011-D47D3BB8D2D1}</x14:id>
        </ext>
      </extLst>
    </cfRule>
    <cfRule type="dataBar" priority="56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{D33D8B3B-CD68-CA47-866D-5901B1A031F4}</x14:id>
        </ext>
      </extLst>
    </cfRule>
  </conditionalFormatting>
  <pageMargins left="0.25" right="0.25" top="0.75" bottom="0.75" header="0.3" footer="0.3"/>
  <pageSetup scale="56" fitToWidth="2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7A6E18-8961-D145-9EBC-2FDDBA4D16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 B28</xm:sqref>
        </x14:conditionalFormatting>
        <x14:conditionalFormatting xmlns:xm="http://schemas.microsoft.com/office/excel/2006/main">
          <x14:cfRule type="dataBar" id="{F4B4060D-EC9D-BB41-97FD-12145F8FC9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B2:B27</xm:sqref>
        </x14:conditionalFormatting>
        <x14:conditionalFormatting xmlns:xm="http://schemas.microsoft.com/office/excel/2006/main">
          <x14:cfRule type="dataBar" id="{5B721957-BD61-AB48-9F0F-08CBA8F17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>
          <x14:cfRule type="dataBar" id="{805992E8-1754-0C45-9416-D30692524B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C2:C27</xm:sqref>
        </x14:conditionalFormatting>
        <x14:conditionalFormatting xmlns:xm="http://schemas.microsoft.com/office/excel/2006/main">
          <x14:cfRule type="dataBar" id="{DA5ABB39-3503-4240-9A55-837CA003F7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C28 C1</xm:sqref>
        </x14:conditionalFormatting>
        <x14:conditionalFormatting xmlns:xm="http://schemas.microsoft.com/office/excel/2006/main">
          <x14:cfRule type="dataBar" id="{2024E65F-5E63-F54D-9581-D1B80615C9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C28</xm:sqref>
        </x14:conditionalFormatting>
        <x14:conditionalFormatting xmlns:xm="http://schemas.microsoft.com/office/excel/2006/main">
          <x14:cfRule type="dataBar" id="{F7394A5F-699F-7649-8A67-70340C720D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E2:E27</xm:sqref>
        </x14:conditionalFormatting>
        <x14:conditionalFormatting xmlns:xm="http://schemas.microsoft.com/office/excel/2006/main">
          <x14:cfRule type="dataBar" id="{46F47FC1-AD5B-9443-8ADB-F2269ED29D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 E28</xm:sqref>
        </x14:conditionalFormatting>
        <x14:conditionalFormatting xmlns:xm="http://schemas.microsoft.com/office/excel/2006/main">
          <x14:cfRule type="dataBar" id="{A1DB8A5D-B448-6946-879E-F4E0944F33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A6C9E20C-D52E-7849-9DDA-7CD785F300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FF29856-A890-DD48-9C48-D65D0C074A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 F28</xm:sqref>
        </x14:conditionalFormatting>
        <x14:conditionalFormatting xmlns:xm="http://schemas.microsoft.com/office/excel/2006/main">
          <x14:cfRule type="dataBar" id="{71A73B70-8392-264F-9ECD-8E5C2C6B02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F2:F27</xm:sqref>
        </x14:conditionalFormatting>
        <x14:conditionalFormatting xmlns:xm="http://schemas.microsoft.com/office/excel/2006/main">
          <x14:cfRule type="dataBar" id="{D0384FB4-DEC5-F14F-B090-F46202014F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B0681E1F-9ABD-F148-A7DA-0EA9208E7D4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F45</xm:sqref>
        </x14:conditionalFormatting>
        <x14:conditionalFormatting xmlns:xm="http://schemas.microsoft.com/office/excel/2006/main">
          <x14:cfRule type="dataBar" id="{A438D15E-2A4E-B041-AAD0-D6C52F4F24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25DA159-8F36-824E-9EA0-2E215B35A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 G28</xm:sqref>
        </x14:conditionalFormatting>
        <x14:conditionalFormatting xmlns:xm="http://schemas.microsoft.com/office/excel/2006/main">
          <x14:cfRule type="dataBar" id="{D46ECA99-1EDD-C147-83DE-6C6FB76D92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G2:G27</xm:sqref>
        </x14:conditionalFormatting>
        <x14:conditionalFormatting xmlns:xm="http://schemas.microsoft.com/office/excel/2006/main">
          <x14:cfRule type="dataBar" id="{739A2316-BE36-8D4D-B160-E39DFEFC4A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DC4C7849-8A2B-E947-8146-38E14BCA97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823432F-6CB6-6B40-A537-51D6C12914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 H28</xm:sqref>
        </x14:conditionalFormatting>
        <x14:conditionalFormatting xmlns:xm="http://schemas.microsoft.com/office/excel/2006/main">
          <x14:cfRule type="dataBar" id="{93F7AFC2-F41B-D143-AAAA-B6069A514E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H2:H27</xm:sqref>
        </x14:conditionalFormatting>
        <x14:conditionalFormatting xmlns:xm="http://schemas.microsoft.com/office/excel/2006/main">
          <x14:cfRule type="dataBar" id="{E428E382-012D-A44D-813A-21DE308434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237F6E0E-B3AD-EF45-8A11-B0CDB88841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A6C502D-CC88-404C-83F5-EE195B9E07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92D1A69-DDD2-DB41-837C-1B71D8EAF9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 I28</xm:sqref>
        </x14:conditionalFormatting>
        <x14:conditionalFormatting xmlns:xm="http://schemas.microsoft.com/office/excel/2006/main">
          <x14:cfRule type="dataBar" id="{01DDEBC4-8D7C-8C4D-8420-FD12D358DA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I2:I27</xm:sqref>
        </x14:conditionalFormatting>
        <x14:conditionalFormatting xmlns:xm="http://schemas.microsoft.com/office/excel/2006/main">
          <x14:cfRule type="dataBar" id="{D0E348DD-D146-7540-9FC4-908A6828DB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I28</xm:sqref>
        </x14:conditionalFormatting>
        <x14:conditionalFormatting xmlns:xm="http://schemas.microsoft.com/office/excel/2006/main">
          <x14:cfRule type="dataBar" id="{DB6ABB6D-232C-2A47-8482-91D49E1FAC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0CDB68A-B5D3-3946-94F3-D60DCB128D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 J28</xm:sqref>
        </x14:conditionalFormatting>
        <x14:conditionalFormatting xmlns:xm="http://schemas.microsoft.com/office/excel/2006/main">
          <x14:cfRule type="dataBar" id="{A6EC6B0B-A1AD-0448-A56A-B2F7C4A17D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J2:J27</xm:sqref>
        </x14:conditionalFormatting>
        <x14:conditionalFormatting xmlns:xm="http://schemas.microsoft.com/office/excel/2006/main">
          <x14:cfRule type="dataBar" id="{78208423-7509-6D4F-9640-DB7200A7AA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C56D70-99FD-9A4D-B32D-0CAA735827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</xm:sqref>
        </x14:conditionalFormatting>
        <x14:conditionalFormatting xmlns:xm="http://schemas.microsoft.com/office/excel/2006/main">
          <x14:cfRule type="dataBar" id="{5FBAE133-267A-D24F-A37C-FB51210C26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6D49338-ADF1-7F41-9C94-9D560266CE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F4AF881-BE15-4648-AE75-5B21173E7C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42A1B8F-9769-6C45-A6E2-F9375AB0A8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J63</xm:sqref>
        </x14:conditionalFormatting>
        <x14:conditionalFormatting xmlns:xm="http://schemas.microsoft.com/office/excel/2006/main">
          <x14:cfRule type="dataBar" id="{38304775-AF65-724B-8DE0-5D687D8D7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2AED488-B091-B44E-B670-912C636ECB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4FB63B1-6FF2-7341-923D-81D4302636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AD3B40A-3358-4242-A246-E7454B594B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5EB8938-4C82-9344-9805-04481CAFED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4460870-21D6-544F-BB34-E1FC4A5731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8AAF0A0-C517-F242-BD8E-3C09ED3D5B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26F89E6-68F5-D946-9CD0-E7FC82F5B9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J64:J82</xm:sqref>
        </x14:conditionalFormatting>
        <x14:conditionalFormatting xmlns:xm="http://schemas.microsoft.com/office/excel/2006/main">
          <x14:cfRule type="dataBar" id="{E03CEE0E-453A-FC40-A906-458F4AAD1C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4EBCBF4-C7DB-8648-A521-4BEBF5E4E3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 K28</xm:sqref>
        </x14:conditionalFormatting>
        <x14:conditionalFormatting xmlns:xm="http://schemas.microsoft.com/office/excel/2006/main">
          <x14:cfRule type="dataBar" id="{EFC4E2A5-CAC7-7E43-B9B1-7532ACFAD6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K2:K27</xm:sqref>
        </x14:conditionalFormatting>
        <x14:conditionalFormatting xmlns:xm="http://schemas.microsoft.com/office/excel/2006/main">
          <x14:cfRule type="dataBar" id="{85AC9916-2C8E-F24F-878E-D36AD5DCDC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50ED59B-5171-F04F-B00A-E71F4855F1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</xm:sqref>
        </x14:conditionalFormatting>
        <x14:conditionalFormatting xmlns:xm="http://schemas.microsoft.com/office/excel/2006/main">
          <x14:cfRule type="dataBar" id="{36FFD33C-B66B-574A-BA18-C9ADA70330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K45</xm:sqref>
        </x14:conditionalFormatting>
        <x14:conditionalFormatting xmlns:xm="http://schemas.microsoft.com/office/excel/2006/main">
          <x14:cfRule type="dataBar" id="{511BC45B-8AB1-4644-A76B-302F95E7F0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L28:M28 E1 E28</xm:sqref>
        </x14:conditionalFormatting>
        <x14:conditionalFormatting xmlns:xm="http://schemas.microsoft.com/office/excel/2006/main">
          <x14:cfRule type="dataBar" id="{60F4D727-8A15-684A-AFA3-710614871F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1C32E27-8177-CE45-9B77-7E8A8B5C20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BC552CF-D037-4147-80A8-A5B4CAC0B5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76417AD-FD08-7E44-A633-4431FAB580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M60:M82</xm:sqref>
        </x14:conditionalFormatting>
        <x14:conditionalFormatting xmlns:xm="http://schemas.microsoft.com/office/excel/2006/main">
          <x14:cfRule type="dataBar" id="{77CD9128-1EF2-C04A-8E27-04D1801FC37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P2:P27</xm:sqref>
        </x14:conditionalFormatting>
        <x14:conditionalFormatting xmlns:xm="http://schemas.microsoft.com/office/excel/2006/main">
          <x14:cfRule type="dataBar" id="{DBF6E9A2-FBBD-7644-8A8B-2EB8472B0AE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P28</xm:sqref>
        </x14:conditionalFormatting>
        <x14:conditionalFormatting xmlns:xm="http://schemas.microsoft.com/office/excel/2006/main">
          <x14:cfRule type="dataBar" id="{1049CF55-F1F0-0E4F-A0FD-D21F82937A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F7F3BB9-58AD-E84D-93DB-5C6BC6473A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5DDFF7B-4290-C44F-ADB6-A2C20D3645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Q28 Q1</xm:sqref>
        </x14:conditionalFormatting>
        <x14:conditionalFormatting xmlns:xm="http://schemas.microsoft.com/office/excel/2006/main">
          <x14:cfRule type="dataBar" id="{8DE6BCB7-05B4-5B4D-AE76-64BB628537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Q2:Q27</xm:sqref>
        </x14:conditionalFormatting>
        <x14:conditionalFormatting xmlns:xm="http://schemas.microsoft.com/office/excel/2006/main">
          <x14:cfRule type="dataBar" id="{1998324D-042C-5145-A0DA-CDCF6CFEDA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Q28</xm:sqref>
        </x14:conditionalFormatting>
        <x14:conditionalFormatting xmlns:xm="http://schemas.microsoft.com/office/excel/2006/main">
          <x14:cfRule type="dataBar" id="{5C999000-3CB7-A547-AFF6-7CD870CBFC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972DD6F-FC0F-BD4A-B562-F26A47F5ED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 R28</xm:sqref>
        </x14:conditionalFormatting>
        <x14:conditionalFormatting xmlns:xm="http://schemas.microsoft.com/office/excel/2006/main">
          <x14:cfRule type="dataBar" id="{AF1CA431-0AD3-384A-8921-00CBA9F788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R2:R27</xm:sqref>
        </x14:conditionalFormatting>
        <x14:conditionalFormatting xmlns:xm="http://schemas.microsoft.com/office/excel/2006/main">
          <x14:cfRule type="dataBar" id="{8CFA8E9D-56F5-9D46-BC0B-E58A2EA2B1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F55C974-5F94-8E42-8320-2D8103C416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R28</xm:sqref>
        </x14:conditionalFormatting>
        <x14:conditionalFormatting xmlns:xm="http://schemas.microsoft.com/office/excel/2006/main">
          <x14:cfRule type="dataBar" id="{DDEA1D81-C080-ED49-BFB7-4D5B9DDA23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F4D1592-20D4-9040-B181-40123308D1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E380960-ECAB-514F-B74D-74097BE786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 S28</xm:sqref>
        </x14:conditionalFormatting>
        <x14:conditionalFormatting xmlns:xm="http://schemas.microsoft.com/office/excel/2006/main">
          <x14:cfRule type="dataBar" id="{CBC6EAB6-47A0-8F40-A28C-A3B609D6D1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</xm:sqref>
        </x14:conditionalFormatting>
        <x14:conditionalFormatting xmlns:xm="http://schemas.microsoft.com/office/excel/2006/main">
          <x14:cfRule type="dataBar" id="{E613C355-72B6-5B44-A58F-00DCD64012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S2:S27</xm:sqref>
        </x14:conditionalFormatting>
        <x14:conditionalFormatting xmlns:xm="http://schemas.microsoft.com/office/excel/2006/main">
          <x14:cfRule type="dataBar" id="{1CD8FC9D-763B-CE4C-BCDF-D7CFD46277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S28</xm:sqref>
        </x14:conditionalFormatting>
        <x14:conditionalFormatting xmlns:xm="http://schemas.microsoft.com/office/excel/2006/main">
          <x14:cfRule type="dataBar" id="{30A90CE9-C3F7-8D4F-A60D-EB7F1304B5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 T28</xm:sqref>
        </x14:conditionalFormatting>
        <x14:conditionalFormatting xmlns:xm="http://schemas.microsoft.com/office/excel/2006/main">
          <x14:cfRule type="dataBar" id="{0934EB65-9B12-EC40-BAE3-60D90079CC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T2:T27</xm:sqref>
        </x14:conditionalFormatting>
        <x14:conditionalFormatting xmlns:xm="http://schemas.microsoft.com/office/excel/2006/main">
          <x14:cfRule type="dataBar" id="{7434F2C3-66D1-664C-B4D4-94006F3511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2D0DDF5-D388-254D-87EB-019B9F862B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4FAF643-BC57-8746-B0AC-0BBF67D5EB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T28</xm:sqref>
        </x14:conditionalFormatting>
        <x14:conditionalFormatting xmlns:xm="http://schemas.microsoft.com/office/excel/2006/main">
          <x14:cfRule type="dataBar" id="{90B49769-AD89-9A4B-8B21-7D762C7B84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U1 U28</xm:sqref>
        </x14:conditionalFormatting>
        <x14:conditionalFormatting xmlns:xm="http://schemas.microsoft.com/office/excel/2006/main">
          <x14:cfRule type="dataBar" id="{FEDACFB9-66B4-2943-9B31-34619F8A53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U2:U27</xm:sqref>
        </x14:conditionalFormatting>
        <x14:conditionalFormatting xmlns:xm="http://schemas.microsoft.com/office/excel/2006/main">
          <x14:cfRule type="dataBar" id="{7826212F-FD0A-7941-8F16-A49F57A6E0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27824AD-1989-F245-94E0-33FEAE32F2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A9E1644-5FDF-7A4B-A08A-608F099868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U28</xm:sqref>
        </x14:conditionalFormatting>
        <x14:conditionalFormatting xmlns:xm="http://schemas.microsoft.com/office/excel/2006/main">
          <x14:cfRule type="dataBar" id="{25447F02-E8DC-F243-A9C7-E8A5F87508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 X28 V28</xm:sqref>
        </x14:conditionalFormatting>
        <x14:conditionalFormatting xmlns:xm="http://schemas.microsoft.com/office/excel/2006/main">
          <x14:cfRule type="dataBar" id="{E4AFD378-86E0-974F-A1FB-424D7A7F33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V2:V27</xm:sqref>
        </x14:conditionalFormatting>
        <x14:conditionalFormatting xmlns:xm="http://schemas.microsoft.com/office/excel/2006/main">
          <x14:cfRule type="dataBar" id="{5A787130-2061-4A45-8617-7BFF82AAE5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V28</xm:sqref>
        </x14:conditionalFormatting>
        <x14:conditionalFormatting xmlns:xm="http://schemas.microsoft.com/office/excel/2006/main">
          <x14:cfRule type="dataBar" id="{C350DA38-9834-094E-810A-BAF4E2DA8A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V28:X28</xm:sqref>
        </x14:conditionalFormatting>
        <x14:conditionalFormatting xmlns:xm="http://schemas.microsoft.com/office/excel/2006/main">
          <x14:cfRule type="dataBar" id="{B7FC9BDF-EA96-9E47-9875-35CF24BB40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020CC20-9F16-5B49-BD87-C67856652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 W28</xm:sqref>
        </x14:conditionalFormatting>
        <x14:conditionalFormatting xmlns:xm="http://schemas.microsoft.com/office/excel/2006/main">
          <x14:cfRule type="dataBar" id="{106D43B0-AEE1-D047-B91F-1D5987B665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W2:W27</xm:sqref>
        </x14:conditionalFormatting>
        <x14:conditionalFormatting xmlns:xm="http://schemas.microsoft.com/office/excel/2006/main">
          <x14:cfRule type="dataBar" id="{34698D27-C77D-A842-B1B2-B3B3B850ED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4B7DEBB-1174-DB4C-A0B6-82DEA40198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X1 X28</xm:sqref>
        </x14:conditionalFormatting>
        <x14:conditionalFormatting xmlns:xm="http://schemas.microsoft.com/office/excel/2006/main">
          <x14:cfRule type="dataBar" id="{1C9E1E2F-9278-C644-A826-F47EEDD309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X2:X27</xm:sqref>
        </x14:conditionalFormatting>
        <x14:conditionalFormatting xmlns:xm="http://schemas.microsoft.com/office/excel/2006/main">
          <x14:cfRule type="dataBar" id="{352257F8-CD30-D746-9078-64BD7D796B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468D138-8FEC-A943-9011-D47D3BB8D2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33D8B3B-CD68-CA47-866D-5901B1A031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E16A-6EF3-1047-A25B-FEBF159EEFC1}">
  <dimension ref="A1:E14"/>
  <sheetViews>
    <sheetView workbookViewId="0">
      <selection activeCell="A6" sqref="A6"/>
    </sheetView>
  </sheetViews>
  <sheetFormatPr baseColWidth="10" defaultRowHeight="16" x14ac:dyDescent="0.2"/>
  <cols>
    <col min="1" max="1" width="26.6640625" bestFit="1" customWidth="1"/>
    <col min="2" max="2" width="18.1640625" bestFit="1" customWidth="1"/>
    <col min="3" max="3" width="11.5" bestFit="1" customWidth="1"/>
    <col min="4" max="4" width="27.33203125" bestFit="1" customWidth="1"/>
    <col min="5" max="5" width="10.83203125" customWidth="1"/>
  </cols>
  <sheetData>
    <row r="1" spans="1:5" x14ac:dyDescent="0.2">
      <c r="A1" s="42" t="s">
        <v>0</v>
      </c>
      <c r="B1" s="294" t="s">
        <v>270</v>
      </c>
      <c r="C1" s="295" t="s">
        <v>271</v>
      </c>
      <c r="D1" s="42" t="s">
        <v>284</v>
      </c>
      <c r="E1" s="58" t="s">
        <v>41</v>
      </c>
    </row>
    <row r="2" spans="1:5" x14ac:dyDescent="0.2">
      <c r="A2" s="139" t="s">
        <v>272</v>
      </c>
      <c r="B2" s="211">
        <v>450</v>
      </c>
      <c r="C2" s="296">
        <f>B2/12</f>
        <v>37.5</v>
      </c>
      <c r="D2" s="140">
        <v>156.41666666666666</v>
      </c>
      <c r="E2" s="298">
        <f>C2+D2</f>
        <v>193.91666666666666</v>
      </c>
    </row>
    <row r="3" spans="1:5" x14ac:dyDescent="0.2">
      <c r="A3" s="246" t="s">
        <v>223</v>
      </c>
      <c r="B3" s="155">
        <v>1350</v>
      </c>
      <c r="C3" s="297">
        <f t="shared" ref="C3:C14" si="0">B3/12</f>
        <v>112.5</v>
      </c>
      <c r="D3" s="298">
        <v>128.33333333333334</v>
      </c>
      <c r="E3" s="298">
        <f t="shared" ref="E3:E14" si="1">C3+D3</f>
        <v>240.83333333333334</v>
      </c>
    </row>
    <row r="4" spans="1:5" x14ac:dyDescent="0.2">
      <c r="A4" s="162" t="s">
        <v>195</v>
      </c>
      <c r="B4" s="155">
        <v>1350</v>
      </c>
      <c r="C4" s="297">
        <f t="shared" si="0"/>
        <v>112.5</v>
      </c>
      <c r="D4" s="298">
        <v>237.25</v>
      </c>
      <c r="E4" s="298">
        <f t="shared" si="1"/>
        <v>349.75</v>
      </c>
    </row>
    <row r="5" spans="1:5" x14ac:dyDescent="0.2">
      <c r="A5" s="162" t="s">
        <v>288</v>
      </c>
      <c r="B5" s="155">
        <v>1150</v>
      </c>
      <c r="C5" s="297">
        <f t="shared" si="0"/>
        <v>95.833333333333329</v>
      </c>
      <c r="D5" s="298">
        <f>D2*1.25</f>
        <v>195.52083333333331</v>
      </c>
      <c r="E5" s="298">
        <f t="shared" si="1"/>
        <v>291.35416666666663</v>
      </c>
    </row>
    <row r="6" spans="1:5" x14ac:dyDescent="0.2">
      <c r="A6" s="162" t="s">
        <v>227</v>
      </c>
      <c r="B6" s="155">
        <v>1350</v>
      </c>
      <c r="C6" s="297">
        <f t="shared" si="0"/>
        <v>112.5</v>
      </c>
      <c r="D6" s="298">
        <v>116.66666666666667</v>
      </c>
      <c r="E6" s="298">
        <f t="shared" si="1"/>
        <v>229.16666666666669</v>
      </c>
    </row>
    <row r="7" spans="1:5" x14ac:dyDescent="0.2">
      <c r="A7" s="162" t="s">
        <v>194</v>
      </c>
      <c r="B7" s="155">
        <v>2250</v>
      </c>
      <c r="C7" s="297">
        <f t="shared" si="0"/>
        <v>187.5</v>
      </c>
      <c r="D7" s="298">
        <v>279.41666666666669</v>
      </c>
      <c r="E7" s="298">
        <f t="shared" si="1"/>
        <v>466.91666666666669</v>
      </c>
    </row>
    <row r="8" spans="1:5" x14ac:dyDescent="0.2">
      <c r="A8" s="162" t="s">
        <v>198</v>
      </c>
      <c r="B8" s="155">
        <v>1350</v>
      </c>
      <c r="C8" s="297">
        <f t="shared" si="0"/>
        <v>112.5</v>
      </c>
      <c r="D8" s="298">
        <v>237.25</v>
      </c>
      <c r="E8" s="298">
        <f t="shared" si="1"/>
        <v>349.75</v>
      </c>
    </row>
    <row r="9" spans="1:5" x14ac:dyDescent="0.2">
      <c r="A9" s="162" t="s">
        <v>229</v>
      </c>
      <c r="B9" s="155">
        <v>1350</v>
      </c>
      <c r="C9" s="298">
        <f t="shared" si="0"/>
        <v>112.5</v>
      </c>
      <c r="D9" s="298">
        <v>124.5</v>
      </c>
      <c r="E9" s="298">
        <f t="shared" si="1"/>
        <v>237</v>
      </c>
    </row>
    <row r="10" spans="1:5" x14ac:dyDescent="0.2">
      <c r="A10" s="162" t="s">
        <v>203</v>
      </c>
      <c r="B10" s="155">
        <v>2000</v>
      </c>
      <c r="C10" s="298">
        <f t="shared" si="0"/>
        <v>166.66666666666666</v>
      </c>
      <c r="D10" s="298">
        <v>123.33333333333333</v>
      </c>
      <c r="E10" s="298">
        <f t="shared" si="1"/>
        <v>290</v>
      </c>
    </row>
    <row r="11" spans="1:5" x14ac:dyDescent="0.2">
      <c r="A11" s="162" t="s">
        <v>207</v>
      </c>
      <c r="B11" s="155">
        <v>1350</v>
      </c>
      <c r="C11" s="298">
        <f t="shared" si="0"/>
        <v>112.5</v>
      </c>
      <c r="D11" s="298">
        <v>54.166666666666664</v>
      </c>
      <c r="E11" s="298">
        <f t="shared" si="1"/>
        <v>166.66666666666666</v>
      </c>
    </row>
    <row r="12" spans="1:5" x14ac:dyDescent="0.2">
      <c r="A12" s="162" t="s">
        <v>209</v>
      </c>
      <c r="B12" s="155">
        <v>2000</v>
      </c>
      <c r="C12" s="298">
        <f t="shared" si="0"/>
        <v>166.66666666666666</v>
      </c>
      <c r="D12" s="298">
        <v>123.33333333333333</v>
      </c>
      <c r="E12" s="298">
        <f t="shared" si="1"/>
        <v>290</v>
      </c>
    </row>
    <row r="13" spans="1:5" x14ac:dyDescent="0.2">
      <c r="A13" s="162" t="s">
        <v>231</v>
      </c>
      <c r="B13" s="155">
        <v>1950</v>
      </c>
      <c r="C13" s="298">
        <f t="shared" si="0"/>
        <v>162.5</v>
      </c>
      <c r="D13" s="298">
        <v>301.58333333333331</v>
      </c>
      <c r="E13" s="298">
        <f t="shared" si="1"/>
        <v>464.08333333333331</v>
      </c>
    </row>
    <row r="14" spans="1:5" x14ac:dyDescent="0.2">
      <c r="A14" s="145" t="s">
        <v>212</v>
      </c>
      <c r="B14" s="158">
        <v>2000</v>
      </c>
      <c r="C14" s="146">
        <f t="shared" si="0"/>
        <v>166.66666666666666</v>
      </c>
      <c r="D14" s="146">
        <v>90</v>
      </c>
      <c r="E14" s="146">
        <f t="shared" si="1"/>
        <v>256.66666666666663</v>
      </c>
    </row>
  </sheetData>
  <phoneticPr fontId="6" type="noConversion"/>
  <conditionalFormatting sqref="C2:C1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{C27A6219-25C2-644A-9FE9-EC04029018E1}</x14:id>
        </ext>
      </extLst>
    </cfRule>
  </conditionalFormatting>
  <conditionalFormatting sqref="D2:D1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{8D056751-EC49-E14A-B986-85F2AB844269}</x14:id>
        </ext>
      </extLst>
    </cfRule>
  </conditionalFormatting>
  <conditionalFormatting sqref="E2:E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{850EC1CA-14D1-404C-8AF2-1E11D404CE28}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7A6219-25C2-644A-9FE9-EC04029018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C2:C14</xm:sqref>
        </x14:conditionalFormatting>
        <x14:conditionalFormatting xmlns:xm="http://schemas.microsoft.com/office/excel/2006/main">
          <x14:cfRule type="dataBar" id="{8D056751-EC49-E14A-B986-85F2AB8442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D2:D14</xm:sqref>
        </x14:conditionalFormatting>
        <x14:conditionalFormatting xmlns:xm="http://schemas.microsoft.com/office/excel/2006/main">
          <x14:cfRule type="dataBar" id="{850EC1CA-14D1-404C-8AF2-1E11D404CE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41A4-7434-4C4C-A92D-C4A60151DD47}">
  <dimension ref="A1:O39"/>
  <sheetViews>
    <sheetView zoomScale="89" zoomScaleNormal="110" workbookViewId="0">
      <selection activeCell="D1" sqref="D1"/>
    </sheetView>
  </sheetViews>
  <sheetFormatPr baseColWidth="10" defaultRowHeight="16" x14ac:dyDescent="0.2"/>
  <cols>
    <col min="1" max="1" width="30.5" bestFit="1" customWidth="1"/>
    <col min="2" max="2" width="10.6640625" customWidth="1"/>
    <col min="3" max="3" width="10.83203125" customWidth="1"/>
    <col min="4" max="4" width="10.6640625" style="2" bestFit="1" customWidth="1"/>
    <col min="5" max="5" width="8.83203125" customWidth="1"/>
    <col min="6" max="6" width="7.6640625" customWidth="1"/>
    <col min="7" max="7" width="17.6640625" bestFit="1" customWidth="1"/>
    <col min="8" max="8" width="24.33203125" bestFit="1" customWidth="1"/>
    <col min="9" max="9" width="27" style="221" bestFit="1" customWidth="1"/>
    <col min="10" max="10" width="19.5" style="221" bestFit="1" customWidth="1"/>
    <col min="11" max="11" width="29.33203125" style="3" bestFit="1" customWidth="1"/>
    <col min="12" max="12" width="19.33203125" bestFit="1" customWidth="1"/>
    <col min="13" max="13" width="20.83203125" bestFit="1" customWidth="1"/>
    <col min="14" max="14" width="13.33203125" bestFit="1" customWidth="1"/>
    <col min="15" max="15" width="14.1640625" bestFit="1" customWidth="1"/>
  </cols>
  <sheetData>
    <row r="1" spans="1:15" ht="17" thickBot="1" x14ac:dyDescent="0.25">
      <c r="A1" s="130" t="s">
        <v>0</v>
      </c>
      <c r="B1" s="130" t="s">
        <v>3</v>
      </c>
      <c r="C1" s="213" t="s">
        <v>22</v>
      </c>
      <c r="D1" s="42">
        <v>30000</v>
      </c>
      <c r="E1" s="130">
        <v>0</v>
      </c>
      <c r="F1" s="130">
        <v>60</v>
      </c>
      <c r="G1" s="130" t="s">
        <v>23</v>
      </c>
      <c r="H1" s="214" t="s">
        <v>25</v>
      </c>
      <c r="I1" s="214" t="s">
        <v>24</v>
      </c>
      <c r="J1" s="215" t="s">
        <v>26</v>
      </c>
      <c r="K1" s="299" t="s">
        <v>273</v>
      </c>
      <c r="L1" s="99" t="s">
        <v>274</v>
      </c>
      <c r="M1" s="303" t="s">
        <v>223</v>
      </c>
      <c r="N1" s="294" t="s">
        <v>275</v>
      </c>
      <c r="O1" s="295" t="s">
        <v>276</v>
      </c>
    </row>
    <row r="2" spans="1:15" x14ac:dyDescent="0.2">
      <c r="A2" s="211" t="s">
        <v>221</v>
      </c>
      <c r="B2" s="292">
        <v>3700</v>
      </c>
      <c r="C2" s="217">
        <v>0</v>
      </c>
      <c r="D2" s="227">
        <f>B2*1.08875+750</f>
        <v>4778.375</v>
      </c>
      <c r="E2" s="152"/>
      <c r="F2" s="152"/>
      <c r="G2" s="217">
        <f>C2-(IF($F$1 = 36, Cars!S2, IF($F$1 = 48, (Cars!S2+Cars!T2)/2, IF($F$1 = 60, Cars!T2, IF($F$1 = 72, (Cars!T2+Cars!U2)/2, Cars!U2)))))/$F$1</f>
        <v>-43.966666666666669</v>
      </c>
      <c r="H2" s="218">
        <f t="shared" ref="H2:H11" si="0">G2*$F$1</f>
        <v>-2638</v>
      </c>
      <c r="I2" s="218">
        <f>H2+B2</f>
        <v>1062</v>
      </c>
      <c r="J2" s="219">
        <f t="shared" ref="J2:J11" si="1">((B2*(1+$E$1/1200)^$F$1)-B2)/B2</f>
        <v>0</v>
      </c>
      <c r="K2" s="300">
        <f>C2+'Car Insurance &amp; Maintenance'!C2+(120/Cars!P2)*3.5*4+'Car Insurance &amp; Maintenance'!D2</f>
        <v>259.54166666666663</v>
      </c>
      <c r="L2" s="301">
        <f>IF(M$1=A$2, K$2-K2, IF(M$1=A$3, K$3-K2, IF(M$1=A$4, K$4-K2, IF(M$1=A$5, K$5-K2,IF(M$1=A$6, K$6-K2, IF(M$1=A$7, K$7-K2, IF(M$1=A$8, K$8-K2, IF(M$1=A$9, K$9-K2, IF(M$1=A$10, K$10-K2, IF(M$1=A$11, K$11-K2, IF(M$1=A$12, K$12-K2, IF(M$1=A$13, K$13-K2, IF(M$1=A$14, K$14-K2)))))))))))))</f>
        <v>-151.29850431034475</v>
      </c>
      <c r="N2" s="304">
        <f>L2*12</f>
        <v>-1815.582051724137</v>
      </c>
      <c r="O2" s="167">
        <f>N2*5</f>
        <v>-9077.9102586206845</v>
      </c>
    </row>
    <row r="3" spans="1:15" x14ac:dyDescent="0.2">
      <c r="A3" s="220" t="s">
        <v>223</v>
      </c>
      <c r="B3" s="229">
        <v>14998</v>
      </c>
      <c r="C3" s="2">
        <f t="shared" ref="C3:C11" si="2">PMT($E$1/1200,$F$1,-(B3*1.08875+750-$D$1))</f>
        <v>-215.34879166666664</v>
      </c>
      <c r="D3" s="227">
        <f t="shared" ref="D3:D14" si="3">B3*1.08875*0.3+750</f>
        <v>5648.7217500000006</v>
      </c>
      <c r="G3" s="217">
        <f>C3-(IF($F$1 = 36, Cars!S3, IF($F$1 = 48, (Cars!S3+Cars!T3)/2, IF($F$1 = 60, Cars!T3, IF($F$1 = 72, (Cars!T3+Cars!U3)/2, Cars!U3)))))/$F$1</f>
        <v>-408.7654583333333</v>
      </c>
      <c r="H3" s="221">
        <f t="shared" si="0"/>
        <v>-24525.927499999998</v>
      </c>
      <c r="I3" s="221">
        <f t="shared" ref="I3:I11" si="4">H3+$D$1</f>
        <v>5474.072500000002</v>
      </c>
      <c r="J3" s="222">
        <f t="shared" si="1"/>
        <v>0</v>
      </c>
      <c r="K3" s="300">
        <f>C3+'Car Insurance &amp; Maintenance'!C3+(120/Cars!P3)*4*4+'Car Insurance &amp; Maintenance'!D3</f>
        <v>108.24316235632187</v>
      </c>
      <c r="L3" s="301">
        <f t="shared" ref="L3:L14" si="5">IF(M$1=A$2, K$2-K3, IF(M$1=A$3, K$3-K3, IF(M$1=A$4, K$4-K3, IF(M$1=A$5, K$5-K3,IF(M$1=A$6, K$6-K3, IF(M$1=A$7, K$7-K3, IF(M$1=A$8, K$8-K3, IF(M$1=A$9, K$9-K3, IF(M$1=A$10, K$10-K3, IF(M$1=A$11, K$11-K3, IF(M$1=A$12, K$12-K3, IF(M$1=A$13, K$13-K3, IF(M$1=A$14, K$14-K3)))))))))))))</f>
        <v>0</v>
      </c>
      <c r="N3" s="305">
        <f t="shared" ref="N3:N14" si="6">L3*12</f>
        <v>0</v>
      </c>
      <c r="O3" s="301">
        <f t="shared" ref="O3:O14" si="7">N3*5</f>
        <v>0</v>
      </c>
    </row>
    <row r="4" spans="1:15" x14ac:dyDescent="0.2">
      <c r="A4" s="155" t="s">
        <v>195</v>
      </c>
      <c r="B4" s="229">
        <f>AVERAGE(18995,16500)</f>
        <v>17747.5</v>
      </c>
      <c r="C4" s="2">
        <f t="shared" si="2"/>
        <v>-165.45682291666665</v>
      </c>
      <c r="D4" s="227">
        <f t="shared" si="3"/>
        <v>6546.7771874999999</v>
      </c>
      <c r="G4" s="217">
        <f>C4-(IF($F$1 = 36, Cars!S4, IF($F$1 = 48, (Cars!S4+Cars!T4)/2, IF($F$1 = 60, Cars!T4, IF($F$1 = 72, (Cars!T4+Cars!U4)/2, Cars!U4)))))/$F$1</f>
        <v>-398.79015625</v>
      </c>
      <c r="H4" s="221">
        <f t="shared" si="0"/>
        <v>-23927.409374999999</v>
      </c>
      <c r="I4" s="221">
        <f t="shared" si="4"/>
        <v>6072.5906250000007</v>
      </c>
      <c r="J4" s="222">
        <f t="shared" si="1"/>
        <v>0</v>
      </c>
      <c r="K4" s="300">
        <f>C4+'Car Insurance &amp; Maintenance'!C4+(120/Cars!P4)*4*4+'Car Insurance &amp; Maintenance'!D4</f>
        <v>261.09317708333333</v>
      </c>
      <c r="L4" s="301">
        <f t="shared" si="5"/>
        <v>-152.85001472701146</v>
      </c>
      <c r="N4" s="305">
        <f t="shared" si="6"/>
        <v>-1834.2001767241375</v>
      </c>
      <c r="O4" s="301">
        <f t="shared" si="7"/>
        <v>-9171.0008836206871</v>
      </c>
    </row>
    <row r="5" spans="1:15" x14ac:dyDescent="0.2">
      <c r="A5" s="155" t="s">
        <v>288</v>
      </c>
      <c r="B5" s="229">
        <v>18247</v>
      </c>
      <c r="C5" s="2">
        <f t="shared" si="2"/>
        <v>-156.39297916666661</v>
      </c>
      <c r="D5" s="227">
        <f t="shared" si="3"/>
        <v>6709.9263750000009</v>
      </c>
      <c r="G5" s="217">
        <f>C5-(IF($F$1 = 36, Cars!S5, IF($F$1 = 48, (Cars!S5+Cars!T5)/2, IF($F$1 = 60, Cars!T5, IF($F$1 = 72, (Cars!T5+Cars!U5)/2, Cars!U5)))))/$F$1</f>
        <v>-435.9596458333333</v>
      </c>
      <c r="H5" s="221">
        <f t="shared" si="0"/>
        <v>-26157.578749999997</v>
      </c>
      <c r="I5" s="221">
        <f t="shared" si="4"/>
        <v>3842.4212500000031</v>
      </c>
      <c r="J5" s="222">
        <f t="shared" si="1"/>
        <v>0</v>
      </c>
      <c r="K5" s="300">
        <f>C5+'Car Insurance &amp; Maintenance'!C5+(120/Cars!P5)*4.25*4+'Car Insurance &amp; Maintenance'!D5</f>
        <v>188.64539802631583</v>
      </c>
      <c r="L5" s="301">
        <f t="shared" si="5"/>
        <v>-80.402235669993956</v>
      </c>
      <c r="N5" s="305">
        <f t="shared" si="6"/>
        <v>-964.82682803992748</v>
      </c>
      <c r="O5" s="301">
        <f t="shared" si="7"/>
        <v>-4824.1341401996378</v>
      </c>
    </row>
    <row r="6" spans="1:15" x14ac:dyDescent="0.2">
      <c r="A6" s="155" t="s">
        <v>227</v>
      </c>
      <c r="B6" s="229">
        <v>23995</v>
      </c>
      <c r="C6" s="2">
        <f t="shared" si="2"/>
        <v>-52.090729166666641</v>
      </c>
      <c r="D6" s="227">
        <f t="shared" si="3"/>
        <v>8587.3668749999997</v>
      </c>
      <c r="G6" s="217">
        <f>C6-(IF($F$1 = 36, Cars!S6, IF($F$1 = 48, (Cars!S6+Cars!T6)/2, IF($F$1 = 60, Cars!T6, IF($F$1 = 72, (Cars!T6+Cars!U6)/2, Cars!U6)))))/$F$1</f>
        <v>-361.52406249999996</v>
      </c>
      <c r="H6" s="221">
        <f t="shared" si="0"/>
        <v>-21691.443749999999</v>
      </c>
      <c r="I6" s="221">
        <f t="shared" si="4"/>
        <v>8308.5562500000015</v>
      </c>
      <c r="J6" s="222">
        <f t="shared" si="1"/>
        <v>0</v>
      </c>
      <c r="K6" s="300">
        <f>C6+'Car Insurance &amp; Maintenance'!C6+(120/Cars!P6)*4*4+'Car Insurance &amp; Maintenance'!D6</f>
        <v>257.07593750000001</v>
      </c>
      <c r="L6" s="301">
        <f t="shared" si="5"/>
        <v>-148.83277514367813</v>
      </c>
      <c r="N6" s="305">
        <f t="shared" si="6"/>
        <v>-1785.9933017241376</v>
      </c>
      <c r="O6" s="301">
        <f t="shared" si="7"/>
        <v>-8929.9665086206878</v>
      </c>
    </row>
    <row r="7" spans="1:15" x14ac:dyDescent="0.2">
      <c r="A7" s="155" t="s">
        <v>194</v>
      </c>
      <c r="B7" s="232">
        <v>23999</v>
      </c>
      <c r="C7" s="2">
        <f t="shared" si="2"/>
        <v>-52.018145833333314</v>
      </c>
      <c r="D7" s="227">
        <f t="shared" si="3"/>
        <v>8588.6733750000003</v>
      </c>
      <c r="G7" s="217">
        <f>C7-(IF($F$1 = 36, Cars!S7, IF($F$1 = 48, (Cars!S7+Cars!T7)/2, IF($F$1 = 60, Cars!T7, IF($F$1 = 72, (Cars!T7+Cars!U7)/2, Cars!U7)))))/$F$1</f>
        <v>-378.15147916666666</v>
      </c>
      <c r="H7" s="221">
        <f t="shared" si="0"/>
        <v>-22689.088749999999</v>
      </c>
      <c r="I7" s="221">
        <f t="shared" si="4"/>
        <v>7310.911250000001</v>
      </c>
      <c r="J7" s="222">
        <f t="shared" si="1"/>
        <v>0</v>
      </c>
      <c r="K7" s="300">
        <f>C7+'Car Insurance &amp; Maintenance'!C7+(120/Cars!P7)*4*4+'Car Insurance &amp; Maintenance'!D7</f>
        <v>504.61814700155765</v>
      </c>
      <c r="L7" s="301">
        <f t="shared" si="5"/>
        <v>-396.37498464523577</v>
      </c>
      <c r="N7" s="305">
        <f t="shared" si="6"/>
        <v>-4756.499815742829</v>
      </c>
      <c r="O7" s="301">
        <f t="shared" si="7"/>
        <v>-23782.499078714143</v>
      </c>
    </row>
    <row r="8" spans="1:15" x14ac:dyDescent="0.2">
      <c r="A8" s="155" t="s">
        <v>198</v>
      </c>
      <c r="B8" s="229">
        <v>26500</v>
      </c>
      <c r="C8" s="2">
        <f t="shared" si="2"/>
        <v>-6.6354166666666057</v>
      </c>
      <c r="D8" s="227">
        <f t="shared" si="3"/>
        <v>9405.5625</v>
      </c>
      <c r="G8" s="217">
        <f>C8-(IF($F$1 = 36, Cars!S15, IF($F$1 = 48, (Cars!S15+Cars!T15)/2, IF($F$1 = 60, Cars!T15, IF($F$1 = 72, (Cars!T15+Cars!U15)/2, Cars!U15)))))/$F$1</f>
        <v>-1148.1020833333332</v>
      </c>
      <c r="H8" s="221">
        <f t="shared" si="0"/>
        <v>-68886.125</v>
      </c>
      <c r="I8" s="221">
        <f t="shared" si="4"/>
        <v>-38886.125</v>
      </c>
      <c r="J8" s="222">
        <f t="shared" si="1"/>
        <v>0</v>
      </c>
      <c r="K8" s="300">
        <f>C8+'Car Insurance &amp; Maintenance'!C8+(120/Cars!P15)*4*4+'Car Insurance &amp; Maintenance'!D8</f>
        <v>432.00347222222229</v>
      </c>
      <c r="L8" s="301">
        <f t="shared" si="5"/>
        <v>-323.76030986590041</v>
      </c>
      <c r="N8" s="305">
        <f t="shared" si="6"/>
        <v>-3885.1237183908052</v>
      </c>
      <c r="O8" s="301">
        <f t="shared" si="7"/>
        <v>-19425.618591954026</v>
      </c>
    </row>
    <row r="9" spans="1:15" x14ac:dyDescent="0.2">
      <c r="A9" s="155" t="s">
        <v>229</v>
      </c>
      <c r="B9" s="229">
        <f>32950</f>
        <v>32950</v>
      </c>
      <c r="C9" s="2">
        <f t="shared" si="2"/>
        <v>110.40520833333333</v>
      </c>
      <c r="D9" s="227">
        <f t="shared" si="3"/>
        <v>11512.293749999999</v>
      </c>
      <c r="G9" s="217">
        <f>C9-(IF($F$1 = 36, Cars!S16, IF($F$1 = 48, (Cars!S16+Cars!T16)/2, IF($F$1 = 60, Cars!T16, IF($F$1 = 72, (Cars!T16+Cars!U16)/2, Cars!U16)))))/$F$1</f>
        <v>110.40520833333333</v>
      </c>
      <c r="H9" s="221">
        <f t="shared" si="0"/>
        <v>6624.3125</v>
      </c>
      <c r="I9" s="221">
        <f t="shared" si="4"/>
        <v>36624.3125</v>
      </c>
      <c r="J9" s="222">
        <f t="shared" si="1"/>
        <v>0</v>
      </c>
      <c r="K9" s="300" t="e">
        <f>C9+'Car Insurance &amp; Maintenance'!C9+(120/Cars!P16)*4*4+'Car Insurance &amp; Maintenance'!D9</f>
        <v>#DIV/0!</v>
      </c>
      <c r="L9" s="301" t="e">
        <f t="shared" si="5"/>
        <v>#DIV/0!</v>
      </c>
      <c r="N9" s="305" t="e">
        <f t="shared" si="6"/>
        <v>#DIV/0!</v>
      </c>
      <c r="O9" s="301" t="e">
        <f t="shared" si="7"/>
        <v>#DIV/0!</v>
      </c>
    </row>
    <row r="10" spans="1:15" x14ac:dyDescent="0.2">
      <c r="A10" s="155" t="s">
        <v>203</v>
      </c>
      <c r="B10" s="204">
        <v>54910</v>
      </c>
      <c r="C10" s="2">
        <f t="shared" si="2"/>
        <v>508.88770833333342</v>
      </c>
      <c r="D10" s="227">
        <f t="shared" si="3"/>
        <v>18684.978750000002</v>
      </c>
      <c r="G10" s="217">
        <f>C10-(IF($F$1 = 36, Cars!S17, IF($F$1 = 48, (Cars!S17+Cars!T17)/2, IF($F$1 = 60, Cars!T17, IF($F$1 = 72, (Cars!T17+Cars!U17)/2, Cars!U17)))))/$F$1</f>
        <v>508.88770833333342</v>
      </c>
      <c r="H10" s="221">
        <f t="shared" si="0"/>
        <v>30533.262500000004</v>
      </c>
      <c r="I10" s="221">
        <f t="shared" si="4"/>
        <v>60533.262500000004</v>
      </c>
      <c r="J10" s="222">
        <f t="shared" si="1"/>
        <v>0</v>
      </c>
      <c r="K10" s="300" t="e">
        <f>C10+'Car Insurance &amp; Maintenance'!C10+(120/Cars!P17)*4*4+'Car Insurance &amp; Maintenance'!D10</f>
        <v>#DIV/0!</v>
      </c>
      <c r="L10" s="301" t="e">
        <f t="shared" si="5"/>
        <v>#DIV/0!</v>
      </c>
      <c r="N10" s="305" t="e">
        <f t="shared" si="6"/>
        <v>#DIV/0!</v>
      </c>
      <c r="O10" s="301" t="e">
        <f t="shared" si="7"/>
        <v>#DIV/0!</v>
      </c>
    </row>
    <row r="11" spans="1:15" x14ac:dyDescent="0.2">
      <c r="A11" s="155" t="s">
        <v>207</v>
      </c>
      <c r="B11" s="204">
        <v>70000</v>
      </c>
      <c r="C11" s="2">
        <f t="shared" si="2"/>
        <v>782.7083333333336</v>
      </c>
      <c r="D11" s="227">
        <f t="shared" si="3"/>
        <v>23613.750000000004</v>
      </c>
      <c r="G11" s="217">
        <f>C11-(IF($F$1 = 36, Cars!S20, IF($F$1 = 48, (Cars!S20+Cars!T20)/2, IF($F$1 = 60, Cars!T20, IF($F$1 = 72, (Cars!T20+Cars!U20)/2, Cars!U20)))))/$F$1</f>
        <v>782.7083333333336</v>
      </c>
      <c r="H11" s="221">
        <f t="shared" si="0"/>
        <v>46962.500000000015</v>
      </c>
      <c r="I11" s="221">
        <f t="shared" si="4"/>
        <v>76962.500000000015</v>
      </c>
      <c r="J11" s="222">
        <f t="shared" si="1"/>
        <v>0</v>
      </c>
      <c r="K11" s="300" t="e">
        <f>C11+'Car Insurance &amp; Maintenance'!C11+(120/Cars!P20)*4*4+'Car Insurance &amp; Maintenance'!D11</f>
        <v>#DIV/0!</v>
      </c>
      <c r="L11" s="301" t="e">
        <f t="shared" si="5"/>
        <v>#DIV/0!</v>
      </c>
      <c r="N11" s="305" t="e">
        <f t="shared" si="6"/>
        <v>#DIV/0!</v>
      </c>
      <c r="O11" s="301" t="e">
        <f t="shared" si="7"/>
        <v>#DIV/0!</v>
      </c>
    </row>
    <row r="12" spans="1:15" x14ac:dyDescent="0.2">
      <c r="A12" s="155" t="s">
        <v>209</v>
      </c>
      <c r="B12" s="204">
        <v>79990</v>
      </c>
      <c r="C12" s="2">
        <f t="shared" ref="C12:C14" si="8">PMT($E$1/1200,$F$1,-(B12*1.08875+750-$D$1))</f>
        <v>963.98520833333339</v>
      </c>
      <c r="D12" s="227">
        <f t="shared" si="3"/>
        <v>26876.733749999999</v>
      </c>
      <c r="G12" s="217">
        <f>C12-(IF($F$1 = 36, Cars!S25, IF($F$1 = 48, (Cars!S25+Cars!T25)/2, IF($F$1 = 60, Cars!T25, IF($F$1 = 72, (Cars!T25+Cars!U25)/2, Cars!U25)))))/$F$1</f>
        <v>-611.28145833333326</v>
      </c>
      <c r="H12" s="221">
        <f t="shared" ref="H12:H14" si="9">G12*$F$1</f>
        <v>-36676.887499999997</v>
      </c>
      <c r="I12" s="221">
        <f t="shared" ref="I12:I14" si="10">H12+$D$1</f>
        <v>-6676.8874999999971</v>
      </c>
      <c r="J12" s="222">
        <f t="shared" ref="J12:J14" si="11">((B12*(1+$E$1/1200)^$F$1)-B12)/B12</f>
        <v>0</v>
      </c>
      <c r="K12" s="300">
        <f>C12+'Car Insurance &amp; Maintenance'!C12+(120/Cars!P25)*4*4+'Car Insurance &amp; Maintenance'!D12</f>
        <v>1346.2929006410257</v>
      </c>
      <c r="L12" s="301">
        <f t="shared" si="5"/>
        <v>-1238.0497382847038</v>
      </c>
      <c r="N12" s="305">
        <f t="shared" si="6"/>
        <v>-14856.596859416446</v>
      </c>
      <c r="O12" s="301">
        <f t="shared" si="7"/>
        <v>-74282.984297082236</v>
      </c>
    </row>
    <row r="13" spans="1:15" s="1" customFormat="1" x14ac:dyDescent="0.2">
      <c r="A13" s="155" t="s">
        <v>231</v>
      </c>
      <c r="B13" s="204">
        <f>AVERAGE(94995,96950)</f>
        <v>95972.5</v>
      </c>
      <c r="C13" s="2">
        <f t="shared" si="8"/>
        <v>1254.0009895833334</v>
      </c>
      <c r="D13" s="227">
        <f t="shared" si="3"/>
        <v>32097.017812500002</v>
      </c>
      <c r="G13" s="217">
        <f>C13-(IF($F$1 = 36, Cars!S26, IF($F$1 = 48, (Cars!S26+Cars!T26)/2, IF($F$1 = 60, Cars!T26, IF($F$1 = 72, (Cars!T26+Cars!U26)/2, Cars!U26)))))/$F$1</f>
        <v>1254.0009895833334</v>
      </c>
      <c r="H13" s="221">
        <f t="shared" si="9"/>
        <v>75240.059375000012</v>
      </c>
      <c r="I13" s="221">
        <f t="shared" si="10"/>
        <v>105240.05937500001</v>
      </c>
      <c r="J13" s="222">
        <f t="shared" si="11"/>
        <v>0</v>
      </c>
      <c r="K13" s="300" t="e">
        <f>C13+'Car Insurance &amp; Maintenance'!C13+(120/Cars!P26)*4*4+'Car Insurance &amp; Maintenance'!D13</f>
        <v>#DIV/0!</v>
      </c>
      <c r="L13" s="301" t="e">
        <f t="shared" si="5"/>
        <v>#DIV/0!</v>
      </c>
      <c r="N13" s="305" t="e">
        <f t="shared" si="6"/>
        <v>#DIV/0!</v>
      </c>
      <c r="O13" s="301" t="e">
        <f t="shared" si="7"/>
        <v>#DIV/0!</v>
      </c>
    </row>
    <row r="14" spans="1:15" x14ac:dyDescent="0.2">
      <c r="A14" s="158" t="s">
        <v>212</v>
      </c>
      <c r="B14" s="291">
        <v>103502</v>
      </c>
      <c r="C14" s="95">
        <f t="shared" si="8"/>
        <v>1390.6300416666668</v>
      </c>
      <c r="D14" s="228">
        <f t="shared" si="3"/>
        <v>34556.340750000003</v>
      </c>
      <c r="E14" s="94"/>
      <c r="F14" s="94"/>
      <c r="G14" s="151">
        <f>C14-(IF($F$1 = 36, Cars!S27, IF($F$1 = 48, (Cars!S27+Cars!T27)/2, IF($F$1 = 60, Cars!T27, IF($F$1 = 72, (Cars!T27+Cars!U27)/2, Cars!U27)))))/$F$1</f>
        <v>1390.6300416666668</v>
      </c>
      <c r="H14" s="224">
        <f t="shared" si="9"/>
        <v>83437.802500000005</v>
      </c>
      <c r="I14" s="224">
        <f t="shared" si="10"/>
        <v>113437.80250000001</v>
      </c>
      <c r="J14" s="225">
        <f t="shared" si="11"/>
        <v>0</v>
      </c>
      <c r="K14" s="302" t="e">
        <f>C14+'Car Insurance &amp; Maintenance'!C14+(120/Cars!P27)*4*4+'Car Insurance &amp; Maintenance'!D14</f>
        <v>#DIV/0!</v>
      </c>
      <c r="L14" s="165" t="e">
        <f t="shared" si="5"/>
        <v>#DIV/0!</v>
      </c>
      <c r="N14" s="306" t="e">
        <f t="shared" si="6"/>
        <v>#DIV/0!</v>
      </c>
      <c r="O14" s="165" t="e">
        <f t="shared" si="7"/>
        <v>#DIV/0!</v>
      </c>
    </row>
    <row r="15" spans="1:15" x14ac:dyDescent="0.2">
      <c r="D15"/>
      <c r="I15"/>
      <c r="J15"/>
      <c r="K15">
        <v>0</v>
      </c>
    </row>
    <row r="16" spans="1:15" x14ac:dyDescent="0.2">
      <c r="D16"/>
      <c r="I16"/>
      <c r="J16"/>
      <c r="K16"/>
    </row>
    <row r="18" spans="1:5" x14ac:dyDescent="0.2">
      <c r="A18" t="s">
        <v>19</v>
      </c>
      <c r="B18" t="s">
        <v>20</v>
      </c>
      <c r="C18" t="s">
        <v>21</v>
      </c>
    </row>
    <row r="19" spans="1:5" x14ac:dyDescent="0.2">
      <c r="A19">
        <v>5000</v>
      </c>
      <c r="B19">
        <v>0</v>
      </c>
      <c r="C19">
        <v>36</v>
      </c>
      <c r="E19" s="290"/>
    </row>
    <row r="20" spans="1:5" x14ac:dyDescent="0.2">
      <c r="A20">
        <v>7500</v>
      </c>
      <c r="B20">
        <v>3</v>
      </c>
      <c r="C20">
        <v>48</v>
      </c>
    </row>
    <row r="21" spans="1:5" x14ac:dyDescent="0.2">
      <c r="A21">
        <v>10000</v>
      </c>
      <c r="B21">
        <v>4</v>
      </c>
      <c r="C21">
        <v>60</v>
      </c>
    </row>
    <row r="22" spans="1:5" x14ac:dyDescent="0.2">
      <c r="A22">
        <v>12500</v>
      </c>
      <c r="B22">
        <v>5</v>
      </c>
      <c r="C22">
        <v>72</v>
      </c>
    </row>
    <row r="23" spans="1:5" x14ac:dyDescent="0.2">
      <c r="A23">
        <v>15000</v>
      </c>
      <c r="B23">
        <v>7</v>
      </c>
      <c r="C23">
        <v>84</v>
      </c>
    </row>
    <row r="24" spans="1:5" x14ac:dyDescent="0.2">
      <c r="A24">
        <v>17500</v>
      </c>
      <c r="B24">
        <v>9</v>
      </c>
    </row>
    <row r="25" spans="1:5" x14ac:dyDescent="0.2">
      <c r="A25">
        <v>20000</v>
      </c>
      <c r="B25">
        <v>11</v>
      </c>
    </row>
    <row r="26" spans="1:5" x14ac:dyDescent="0.2">
      <c r="A26">
        <v>25000</v>
      </c>
    </row>
    <row r="27" spans="1:5" x14ac:dyDescent="0.2">
      <c r="A27">
        <v>30000</v>
      </c>
    </row>
    <row r="28" spans="1:5" x14ac:dyDescent="0.2">
      <c r="A28">
        <v>35000</v>
      </c>
    </row>
    <row r="29" spans="1:5" x14ac:dyDescent="0.2">
      <c r="A29">
        <v>40000</v>
      </c>
    </row>
    <row r="30" spans="1:5" x14ac:dyDescent="0.2">
      <c r="A30">
        <v>45000</v>
      </c>
    </row>
    <row r="31" spans="1:5" x14ac:dyDescent="0.2">
      <c r="A31">
        <v>50000</v>
      </c>
    </row>
    <row r="32" spans="1:5" x14ac:dyDescent="0.2">
      <c r="A32">
        <v>55000</v>
      </c>
    </row>
    <row r="33" spans="1:1" x14ac:dyDescent="0.2">
      <c r="A33">
        <v>60000</v>
      </c>
    </row>
    <row r="34" spans="1:1" x14ac:dyDescent="0.2">
      <c r="A34">
        <v>65000</v>
      </c>
    </row>
    <row r="35" spans="1:1" x14ac:dyDescent="0.2">
      <c r="A35">
        <v>75000</v>
      </c>
    </row>
    <row r="36" spans="1:1" x14ac:dyDescent="0.2">
      <c r="A36">
        <v>80000</v>
      </c>
    </row>
    <row r="37" spans="1:1" x14ac:dyDescent="0.2">
      <c r="A37">
        <v>85000</v>
      </c>
    </row>
    <row r="38" spans="1:1" x14ac:dyDescent="0.2">
      <c r="A38">
        <v>90000</v>
      </c>
    </row>
    <row r="39" spans="1:1" x14ac:dyDescent="0.2">
      <c r="A39">
        <v>95000</v>
      </c>
    </row>
  </sheetData>
  <scenarios current="0" show="0">
    <scenario name="Optimal Duration" locked="1" count="1" user="Tashrif Apon" comment="Created by Tashrif Apon on 1/6/2024">
      <inputCells r="F1" val="0"/>
    </scenario>
  </scenarios>
  <phoneticPr fontId="6" type="noConversion"/>
  <conditionalFormatting sqref="B2:B1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{6B09120F-2844-154A-A1E5-80EBC66F5A3B}</x14:id>
        </ext>
      </extLst>
    </cfRule>
  </conditionalFormatting>
  <conditionalFormatting sqref="C2:C14 D17">
    <cfRule type="dataBar" priority="13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{7A7CE128-10F4-E64E-A17B-E60484879BB9}</x14:id>
        </ext>
      </extLst>
    </cfRule>
  </conditionalFormatting>
  <conditionalFormatting sqref="C17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{A4BE249A-EDF1-4342-BD98-AA952113EBC0}</x14:id>
        </ext>
      </extLst>
    </cfRule>
  </conditionalFormatting>
  <conditionalFormatting sqref="C24:C1048576 B1 C17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{B54ECBA6-FA4C-CF4C-BA31-970A9D790E38}</x14:id>
        </ext>
      </extLst>
    </cfRule>
  </conditionalFormatting>
  <conditionalFormatting sqref="D17:D1048576 C1:C14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{7A88D5BB-002B-B442-A5FD-FB61D3597B7A}</x14:id>
        </ext>
      </extLst>
    </cfRule>
  </conditionalFormatting>
  <conditionalFormatting sqref="H17:H1048576 J1 G1:G14">
    <cfRule type="dataBar" priority="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{73AF88D5-6CBD-3340-AA16-33066683747B}</x14:id>
        </ext>
      </extLst>
    </cfRule>
  </conditionalFormatting>
  <conditionalFormatting sqref="I2:I14">
    <cfRule type="cellIs" dxfId="6" priority="25" operator="lessThanOrEqual">
      <formula>$D$1</formula>
    </cfRule>
  </conditionalFormatting>
  <conditionalFormatting sqref="I17:I1048576 H1:H14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{B7861879-10A2-9D4F-9FC4-4FEC986B33C6}</x14:id>
        </ext>
      </extLst>
    </cfRule>
  </conditionalFormatting>
  <conditionalFormatting sqref="J17:J1048576 I1:I1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{1DAEB8D2-B650-714B-BB98-64A2FD8E6774}</x14:id>
        </ext>
      </extLst>
    </cfRule>
  </conditionalFormatting>
  <conditionalFormatting sqref="K2:K1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{5FBD9357-7A3B-C343-835A-D33A65B1F84F}</x14:id>
        </ext>
      </extLst>
    </cfRule>
  </conditionalFormatting>
  <conditionalFormatting sqref="K17:K1048576 J1:J14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{80795A3C-1C3F-9741-BDB8-3537BD692627}</x14:id>
        </ext>
      </extLst>
    </cfRule>
  </conditionalFormatting>
  <conditionalFormatting sqref="L2:L1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{ECD53179-379D-554A-8951-98FD58B5170D}</x14:id>
        </ext>
      </extLst>
    </cfRule>
  </conditionalFormatting>
  <conditionalFormatting sqref="N2:N1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{E00E58F5-ACB6-8848-BDBD-EAC2670215C0}</x14:id>
        </ext>
      </extLst>
    </cfRule>
  </conditionalFormatting>
  <conditionalFormatting sqref="O2:O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{09838E53-C10C-6D44-81DC-2C6BDBE96167}</x14:id>
        </ext>
      </extLst>
    </cfRule>
  </conditionalFormatting>
  <dataValidations count="4">
    <dataValidation type="list" allowBlank="1" showInputMessage="1" showErrorMessage="1" sqref="E1" xr:uid="{C0821064-D239-4D48-BAC9-7596C7CE13C4}">
      <formula1>$B$19:$B$25</formula1>
    </dataValidation>
    <dataValidation type="list" allowBlank="1" showInputMessage="1" showErrorMessage="1" sqref="F1" xr:uid="{E7F2233F-8D37-6641-A2B0-6954508A0E7B}">
      <formula1>$C$19:$C$23</formula1>
    </dataValidation>
    <dataValidation type="list" allowBlank="1" showInputMessage="1" showErrorMessage="1" sqref="M1" xr:uid="{0B9CEB68-41D0-194C-9799-DF791F2943B7}">
      <formula1>$A$2:$A$14</formula1>
    </dataValidation>
    <dataValidation type="list" allowBlank="1" showInputMessage="1" showErrorMessage="1" sqref="D1" xr:uid="{53D73A5B-9CAA-7545-9FB2-670B5114CEC8}">
      <formula1>$A$19:$A$39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09120F-2844-154A-A1E5-80EBC66F5A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B2:B14</xm:sqref>
        </x14:conditionalFormatting>
        <x14:conditionalFormatting xmlns:xm="http://schemas.microsoft.com/office/excel/2006/main">
          <x14:cfRule type="dataBar" id="{7A7CE128-10F4-E64E-A17B-E60484879B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C2:C14 D17</xm:sqref>
        </x14:conditionalFormatting>
        <x14:conditionalFormatting xmlns:xm="http://schemas.microsoft.com/office/excel/2006/main">
          <x14:cfRule type="dataBar" id="{A4BE249A-EDF1-4342-BD98-AA952113EB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B54ECBA6-FA4C-CF4C-BA31-970A9D790E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C24:C1048576 B1 C17</xm:sqref>
        </x14:conditionalFormatting>
        <x14:conditionalFormatting xmlns:xm="http://schemas.microsoft.com/office/excel/2006/main">
          <x14:cfRule type="dataBar" id="{7A88D5BB-002B-B442-A5FD-FB61D3597B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D17:D1048576 C1:C14</xm:sqref>
        </x14:conditionalFormatting>
        <x14:conditionalFormatting xmlns:xm="http://schemas.microsoft.com/office/excel/2006/main">
          <x14:cfRule type="dataBar" id="{73AF88D5-6CBD-3340-AA16-3306668374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H17:H1048576 J1 G1:G14</xm:sqref>
        </x14:conditionalFormatting>
        <x14:conditionalFormatting xmlns:xm="http://schemas.microsoft.com/office/excel/2006/main">
          <x14:cfRule type="dataBar" id="{B7861879-10A2-9D4F-9FC4-4FEC986B33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I17:I1048576 H1:H14</xm:sqref>
        </x14:conditionalFormatting>
        <x14:conditionalFormatting xmlns:xm="http://schemas.microsoft.com/office/excel/2006/main">
          <x14:cfRule type="dataBar" id="{1DAEB8D2-B650-714B-BB98-64A2FD8E67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J17:J1048576 I1:I14</xm:sqref>
        </x14:conditionalFormatting>
        <x14:conditionalFormatting xmlns:xm="http://schemas.microsoft.com/office/excel/2006/main">
          <x14:cfRule type="dataBar" id="{5FBD9357-7A3B-C343-835A-D33A65B1F84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K2:K14</xm:sqref>
        </x14:conditionalFormatting>
        <x14:conditionalFormatting xmlns:xm="http://schemas.microsoft.com/office/excel/2006/main">
          <x14:cfRule type="dataBar" id="{80795A3C-1C3F-9741-BDB8-3537BD6926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K17:K1048576 J1:J14</xm:sqref>
        </x14:conditionalFormatting>
        <x14:conditionalFormatting xmlns:xm="http://schemas.microsoft.com/office/excel/2006/main">
          <x14:cfRule type="dataBar" id="{ECD53179-379D-554A-8951-98FD58B517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L2:L14</xm:sqref>
        </x14:conditionalFormatting>
        <x14:conditionalFormatting xmlns:xm="http://schemas.microsoft.com/office/excel/2006/main">
          <x14:cfRule type="dataBar" id="{E00E58F5-ACB6-8848-BDBD-EAC2670215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N2:N14</xm:sqref>
        </x14:conditionalFormatting>
        <x14:conditionalFormatting xmlns:xm="http://schemas.microsoft.com/office/excel/2006/main">
          <x14:cfRule type="dataBar" id="{09838E53-C10C-6D44-81DC-2C6BDBE961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5DD4-4A50-1D42-9A03-E7FD6DA50B9A}">
  <sheetPr>
    <pageSetUpPr fitToPage="1"/>
  </sheetPr>
  <dimension ref="A1:T64"/>
  <sheetViews>
    <sheetView topLeftCell="A22" zoomScale="94" workbookViewId="0">
      <selection activeCell="J39" sqref="J39"/>
    </sheetView>
  </sheetViews>
  <sheetFormatPr baseColWidth="10" defaultRowHeight="16" x14ac:dyDescent="0.2"/>
  <cols>
    <col min="2" max="2" width="19.83203125" bestFit="1" customWidth="1"/>
    <col min="3" max="4" width="13.5" bestFit="1" customWidth="1"/>
    <col min="5" max="7" width="13.5" customWidth="1"/>
    <col min="8" max="8" width="13.1640625" bestFit="1" customWidth="1"/>
    <col min="9" max="9" width="21.83203125" style="21" bestFit="1" customWidth="1"/>
    <col min="10" max="10" width="21.83203125" style="21" customWidth="1"/>
    <col min="11" max="11" width="12.83203125" bestFit="1" customWidth="1"/>
    <col min="12" max="12" width="21.83203125" style="21" bestFit="1" customWidth="1"/>
    <col min="13" max="13" width="21.83203125" style="21" customWidth="1"/>
    <col min="14" max="14" width="12.83203125" bestFit="1" customWidth="1"/>
    <col min="15" max="15" width="21.83203125" style="21" bestFit="1" customWidth="1"/>
    <col min="16" max="16" width="21.83203125" style="21" customWidth="1"/>
    <col min="17" max="17" width="12.83203125" bestFit="1" customWidth="1"/>
    <col min="18" max="18" width="21.83203125" style="21" bestFit="1" customWidth="1"/>
    <col min="19" max="19" width="21.83203125" style="21" customWidth="1"/>
    <col min="20" max="20" width="12.83203125" bestFit="1" customWidth="1"/>
  </cols>
  <sheetData>
    <row r="1" spans="1:20" ht="17" thickBot="1" x14ac:dyDescent="0.25">
      <c r="A1" s="307" t="s">
        <v>259</v>
      </c>
      <c r="B1" s="308" t="s">
        <v>260</v>
      </c>
      <c r="C1" s="308" t="s">
        <v>261</v>
      </c>
      <c r="D1" s="308" t="s">
        <v>262</v>
      </c>
      <c r="E1" s="307" t="s">
        <v>3</v>
      </c>
      <c r="F1" s="309" t="s">
        <v>297</v>
      </c>
      <c r="G1" s="308" t="s">
        <v>302</v>
      </c>
      <c r="H1" s="308" t="s">
        <v>267</v>
      </c>
      <c r="I1" s="404" t="s">
        <v>268</v>
      </c>
      <c r="J1" s="406" t="s">
        <v>281</v>
      </c>
      <c r="K1" s="309" t="s">
        <v>264</v>
      </c>
      <c r="L1" s="404" t="s">
        <v>263</v>
      </c>
      <c r="M1" s="406" t="s">
        <v>280</v>
      </c>
      <c r="N1" s="309" t="s">
        <v>264</v>
      </c>
      <c r="O1" s="406" t="s">
        <v>265</v>
      </c>
      <c r="P1" s="406" t="s">
        <v>279</v>
      </c>
      <c r="Q1" s="308" t="s">
        <v>264</v>
      </c>
      <c r="R1" s="406" t="s">
        <v>266</v>
      </c>
      <c r="S1" s="406" t="s">
        <v>278</v>
      </c>
      <c r="T1" s="309" t="s">
        <v>264</v>
      </c>
    </row>
    <row r="2" spans="1:20" x14ac:dyDescent="0.2">
      <c r="A2" s="383" t="s">
        <v>269</v>
      </c>
      <c r="B2" s="316" t="s">
        <v>221</v>
      </c>
      <c r="C2" s="316"/>
      <c r="D2" s="316"/>
      <c r="E2" s="321">
        <v>3700</v>
      </c>
      <c r="F2" s="390">
        <v>2638</v>
      </c>
      <c r="G2" s="407">
        <f>F2/E2</f>
        <v>0.71297297297297302</v>
      </c>
      <c r="H2" s="318" t="s">
        <v>277</v>
      </c>
      <c r="I2" s="319">
        <v>450000</v>
      </c>
      <c r="J2" s="319">
        <v>500000</v>
      </c>
      <c r="K2" s="320">
        <v>0.14000000000000001</v>
      </c>
      <c r="L2" s="321">
        <v>550000</v>
      </c>
      <c r="M2" s="319">
        <v>600000</v>
      </c>
      <c r="N2" s="320">
        <v>0.35</v>
      </c>
      <c r="O2" s="321">
        <v>600000</v>
      </c>
      <c r="P2" s="319">
        <v>650000</v>
      </c>
      <c r="Q2" s="320">
        <v>0.7</v>
      </c>
      <c r="R2" s="319">
        <v>600000</v>
      </c>
      <c r="S2" s="319">
        <v>700000</v>
      </c>
      <c r="T2" s="322">
        <v>2.31</v>
      </c>
    </row>
    <row r="3" spans="1:20" x14ac:dyDescent="0.2">
      <c r="A3" s="314"/>
      <c r="B3" s="420" t="s">
        <v>307</v>
      </c>
      <c r="C3" s="420" t="s">
        <v>314</v>
      </c>
      <c r="D3" s="323"/>
      <c r="E3" s="328"/>
      <c r="F3" s="391"/>
      <c r="G3" s="408"/>
      <c r="H3" s="325" t="s">
        <v>282</v>
      </c>
      <c r="I3" s="326">
        <v>550000</v>
      </c>
      <c r="J3" s="326">
        <v>650000</v>
      </c>
      <c r="K3" s="327">
        <v>0.14000000000000001</v>
      </c>
      <c r="L3" s="328">
        <v>650000</v>
      </c>
      <c r="M3" s="326">
        <v>750000</v>
      </c>
      <c r="N3" s="327">
        <v>0.35</v>
      </c>
      <c r="O3" s="328">
        <v>700000</v>
      </c>
      <c r="P3" s="326">
        <v>800000</v>
      </c>
      <c r="Q3" s="327">
        <v>0.7</v>
      </c>
      <c r="R3" s="326">
        <v>750000</v>
      </c>
      <c r="S3" s="326">
        <v>850000</v>
      </c>
      <c r="T3" s="329">
        <v>2.31</v>
      </c>
    </row>
    <row r="4" spans="1:20" ht="17" thickBot="1" x14ac:dyDescent="0.25">
      <c r="A4" s="314"/>
      <c r="B4" s="323"/>
      <c r="C4" s="323"/>
      <c r="D4" s="323"/>
      <c r="E4" s="328"/>
      <c r="F4" s="391"/>
      <c r="G4" s="408"/>
      <c r="H4" s="325" t="s">
        <v>283</v>
      </c>
      <c r="I4" s="326">
        <v>700000</v>
      </c>
      <c r="J4" s="326">
        <v>800000</v>
      </c>
      <c r="K4" s="327">
        <v>0.14000000000000001</v>
      </c>
      <c r="L4" s="328">
        <v>800000</v>
      </c>
      <c r="M4" s="326">
        <v>900000</v>
      </c>
      <c r="N4" s="327">
        <v>0.35</v>
      </c>
      <c r="O4" s="328">
        <v>850000</v>
      </c>
      <c r="P4" s="326">
        <v>950000</v>
      </c>
      <c r="Q4" s="327">
        <v>0.7</v>
      </c>
      <c r="R4" s="326">
        <v>900000</v>
      </c>
      <c r="S4" s="326">
        <v>1000000</v>
      </c>
      <c r="T4" s="329">
        <v>2.31</v>
      </c>
    </row>
    <row r="5" spans="1:20" x14ac:dyDescent="0.2">
      <c r="A5" s="385" t="s">
        <v>287</v>
      </c>
      <c r="B5" s="330" t="s">
        <v>288</v>
      </c>
      <c r="C5" s="330"/>
      <c r="D5" s="330"/>
      <c r="E5" s="335">
        <v>18247</v>
      </c>
      <c r="F5" s="392">
        <v>16774</v>
      </c>
      <c r="G5" s="409">
        <f t="shared" ref="G5" si="0">F5/E5</f>
        <v>0.91927440127144189</v>
      </c>
      <c r="H5" s="332" t="s">
        <v>277</v>
      </c>
      <c r="I5" s="333">
        <v>450000</v>
      </c>
      <c r="J5" s="333">
        <v>500000</v>
      </c>
      <c r="K5" s="334">
        <v>0.14000000000000001</v>
      </c>
      <c r="L5" s="335">
        <v>500000</v>
      </c>
      <c r="M5" s="333">
        <v>600000</v>
      </c>
      <c r="N5" s="334">
        <v>0.35</v>
      </c>
      <c r="O5" s="335">
        <v>550000</v>
      </c>
      <c r="P5" s="333">
        <v>650000</v>
      </c>
      <c r="Q5" s="334">
        <v>0.7</v>
      </c>
      <c r="R5" s="333">
        <v>600000</v>
      </c>
      <c r="S5" s="333">
        <v>700000</v>
      </c>
      <c r="T5" s="336">
        <v>2.31</v>
      </c>
    </row>
    <row r="6" spans="1:20" x14ac:dyDescent="0.2">
      <c r="A6" s="384"/>
      <c r="B6" s="421" t="s">
        <v>308</v>
      </c>
      <c r="C6" s="421" t="s">
        <v>315</v>
      </c>
      <c r="D6" s="337"/>
      <c r="E6" s="342"/>
      <c r="F6" s="393"/>
      <c r="G6" s="410"/>
      <c r="H6" s="339" t="s">
        <v>282</v>
      </c>
      <c r="I6" s="340">
        <v>550000</v>
      </c>
      <c r="J6" s="340">
        <v>600000</v>
      </c>
      <c r="K6" s="341">
        <v>0.14000000000000001</v>
      </c>
      <c r="L6" s="342">
        <v>650000</v>
      </c>
      <c r="M6" s="340">
        <v>700000</v>
      </c>
      <c r="N6" s="341">
        <v>0.35</v>
      </c>
      <c r="O6" s="342">
        <v>650000</v>
      </c>
      <c r="P6" s="340">
        <v>750000</v>
      </c>
      <c r="Q6" s="341">
        <v>0.7</v>
      </c>
      <c r="R6" s="340">
        <v>750000</v>
      </c>
      <c r="S6" s="340">
        <v>850000</v>
      </c>
      <c r="T6" s="343">
        <v>2.31</v>
      </c>
    </row>
    <row r="7" spans="1:20" x14ac:dyDescent="0.2">
      <c r="A7" s="314"/>
      <c r="B7" s="344"/>
      <c r="C7" s="344"/>
      <c r="D7" s="344"/>
      <c r="E7" s="349"/>
      <c r="F7" s="394"/>
      <c r="G7" s="411"/>
      <c r="H7" s="346" t="s">
        <v>283</v>
      </c>
      <c r="I7" s="347">
        <v>700000</v>
      </c>
      <c r="J7" s="347">
        <v>750000</v>
      </c>
      <c r="K7" s="348">
        <v>0.14000000000000001</v>
      </c>
      <c r="L7" s="349">
        <v>800000</v>
      </c>
      <c r="M7" s="347">
        <v>900000</v>
      </c>
      <c r="N7" s="348">
        <v>0.35</v>
      </c>
      <c r="O7" s="349">
        <v>850000</v>
      </c>
      <c r="P7" s="347">
        <v>950000</v>
      </c>
      <c r="Q7" s="348">
        <v>0.7</v>
      </c>
      <c r="R7" s="347">
        <v>900000</v>
      </c>
      <c r="S7" s="347">
        <v>1000000</v>
      </c>
      <c r="T7" s="350">
        <v>2.31</v>
      </c>
    </row>
    <row r="8" spans="1:20" x14ac:dyDescent="0.2">
      <c r="A8" s="314"/>
      <c r="B8" s="366" t="s">
        <v>289</v>
      </c>
      <c r="C8" s="366" t="s">
        <v>221</v>
      </c>
      <c r="D8" s="366"/>
      <c r="E8" s="371">
        <f>3700+14998</f>
        <v>18698</v>
      </c>
      <c r="F8" s="395">
        <f>2638+11605</f>
        <v>14243</v>
      </c>
      <c r="G8" s="412">
        <f t="shared" ref="G8" si="1">F8/E8</f>
        <v>0.76173922344635792</v>
      </c>
      <c r="H8" s="368" t="s">
        <v>277</v>
      </c>
      <c r="I8" s="369">
        <v>400000</v>
      </c>
      <c r="J8" s="369">
        <v>450000</v>
      </c>
      <c r="K8" s="370">
        <v>0.14000000000000001</v>
      </c>
      <c r="L8" s="369">
        <v>500000</v>
      </c>
      <c r="M8" s="369">
        <v>550000</v>
      </c>
      <c r="N8" s="370">
        <v>0.35</v>
      </c>
      <c r="O8" s="369">
        <v>550000</v>
      </c>
      <c r="P8" s="369">
        <v>650000</v>
      </c>
      <c r="Q8" s="370">
        <v>0.7</v>
      </c>
      <c r="R8" s="369">
        <v>600000</v>
      </c>
      <c r="S8" s="369">
        <v>650000</v>
      </c>
      <c r="T8" s="372">
        <v>2.31</v>
      </c>
    </row>
    <row r="9" spans="1:20" x14ac:dyDescent="0.2">
      <c r="A9" s="314"/>
      <c r="B9" s="420" t="s">
        <v>309</v>
      </c>
      <c r="C9" s="420" t="s">
        <v>316</v>
      </c>
      <c r="D9" s="323"/>
      <c r="E9" s="328"/>
      <c r="F9" s="391"/>
      <c r="G9" s="408"/>
      <c r="H9" s="373" t="s">
        <v>282</v>
      </c>
      <c r="I9" s="326">
        <v>550000</v>
      </c>
      <c r="J9" s="326">
        <v>600000</v>
      </c>
      <c r="K9" s="327">
        <v>0.14000000000000001</v>
      </c>
      <c r="L9" s="326">
        <v>600000</v>
      </c>
      <c r="M9" s="326">
        <v>700000</v>
      </c>
      <c r="N9" s="327">
        <v>0.35</v>
      </c>
      <c r="O9" s="326">
        <v>700000</v>
      </c>
      <c r="P9" s="326">
        <v>800000</v>
      </c>
      <c r="Q9" s="327">
        <v>0.7</v>
      </c>
      <c r="R9" s="326">
        <v>700000</v>
      </c>
      <c r="S9" s="326">
        <v>850000</v>
      </c>
      <c r="T9" s="329">
        <v>2.31</v>
      </c>
    </row>
    <row r="10" spans="1:20" x14ac:dyDescent="0.2">
      <c r="A10" s="314"/>
      <c r="B10" s="374"/>
      <c r="C10" s="374"/>
      <c r="D10" s="374"/>
      <c r="E10" s="380"/>
      <c r="F10" s="396"/>
      <c r="G10" s="413"/>
      <c r="H10" s="377" t="s">
        <v>283</v>
      </c>
      <c r="I10" s="378">
        <v>650000</v>
      </c>
      <c r="J10" s="378">
        <v>750000</v>
      </c>
      <c r="K10" s="379">
        <v>0.14000000000000001</v>
      </c>
      <c r="L10" s="380">
        <v>750000</v>
      </c>
      <c r="M10" s="378">
        <v>850000</v>
      </c>
      <c r="N10" s="379">
        <v>0.35</v>
      </c>
      <c r="O10" s="380">
        <v>850000</v>
      </c>
      <c r="P10" s="378">
        <v>950000</v>
      </c>
      <c r="Q10" s="379">
        <v>0.7</v>
      </c>
      <c r="R10" s="378">
        <v>850000</v>
      </c>
      <c r="S10" s="378">
        <v>1000000</v>
      </c>
      <c r="T10" s="381">
        <v>2.31</v>
      </c>
    </row>
    <row r="11" spans="1:20" x14ac:dyDescent="0.2">
      <c r="A11" s="314"/>
      <c r="B11" s="337" t="s">
        <v>195</v>
      </c>
      <c r="C11" s="337" t="s">
        <v>221</v>
      </c>
      <c r="D11" s="337"/>
      <c r="E11" s="342">
        <f>3700+17748</f>
        <v>21448</v>
      </c>
      <c r="F11" s="393">
        <f>2638+14000</f>
        <v>16638</v>
      </c>
      <c r="G11" s="410">
        <f t="shared" ref="G11" si="2">F11/E11</f>
        <v>0.77573666542334951</v>
      </c>
      <c r="H11" s="351" t="s">
        <v>277</v>
      </c>
      <c r="I11" s="340">
        <v>400000</v>
      </c>
      <c r="J11" s="340">
        <v>450000</v>
      </c>
      <c r="K11" s="341">
        <v>0.14000000000000001</v>
      </c>
      <c r="L11" s="342">
        <v>500000</v>
      </c>
      <c r="M11" s="340">
        <v>550000</v>
      </c>
      <c r="N11" s="341">
        <v>0.35</v>
      </c>
      <c r="O11" s="342">
        <v>550000</v>
      </c>
      <c r="P11" s="340">
        <v>600000</v>
      </c>
      <c r="Q11" s="341">
        <v>0.7</v>
      </c>
      <c r="R11" s="340">
        <v>550000</v>
      </c>
      <c r="S11" s="340">
        <v>650000</v>
      </c>
      <c r="T11" s="343">
        <v>2.31</v>
      </c>
    </row>
    <row r="12" spans="1:20" x14ac:dyDescent="0.2">
      <c r="A12" s="314"/>
      <c r="B12" s="421" t="s">
        <v>310</v>
      </c>
      <c r="C12" s="421" t="s">
        <v>317</v>
      </c>
      <c r="D12" s="337"/>
      <c r="E12" s="342"/>
      <c r="F12" s="393"/>
      <c r="G12" s="410"/>
      <c r="H12" s="351" t="s">
        <v>282</v>
      </c>
      <c r="I12" s="340">
        <v>500000</v>
      </c>
      <c r="J12" s="340">
        <v>600000</v>
      </c>
      <c r="K12" s="341">
        <v>0.14000000000000001</v>
      </c>
      <c r="L12" s="342">
        <v>600000</v>
      </c>
      <c r="M12" s="340">
        <v>700000</v>
      </c>
      <c r="N12" s="341">
        <v>0.35</v>
      </c>
      <c r="O12" s="342">
        <v>650000</v>
      </c>
      <c r="P12" s="340">
        <v>750000</v>
      </c>
      <c r="Q12" s="341">
        <v>0.7</v>
      </c>
      <c r="R12" s="340">
        <v>700000</v>
      </c>
      <c r="S12" s="340">
        <v>800000</v>
      </c>
      <c r="T12" s="343">
        <v>2.31</v>
      </c>
    </row>
    <row r="13" spans="1:20" ht="17" thickBot="1" x14ac:dyDescent="0.25">
      <c r="A13" s="314"/>
      <c r="B13" s="337"/>
      <c r="C13" s="337"/>
      <c r="D13" s="337"/>
      <c r="E13" s="342"/>
      <c r="F13" s="393"/>
      <c r="G13" s="410"/>
      <c r="H13" s="351" t="s">
        <v>283</v>
      </c>
      <c r="I13" s="340">
        <v>650000</v>
      </c>
      <c r="J13" s="340">
        <v>750000</v>
      </c>
      <c r="K13" s="341">
        <v>0.14000000000000001</v>
      </c>
      <c r="L13" s="342">
        <v>750000</v>
      </c>
      <c r="M13" s="340">
        <v>850000</v>
      </c>
      <c r="N13" s="341">
        <v>0.35</v>
      </c>
      <c r="O13" s="342">
        <v>800000</v>
      </c>
      <c r="P13" s="340">
        <v>950000</v>
      </c>
      <c r="Q13" s="341">
        <v>0.7</v>
      </c>
      <c r="R13" s="340">
        <v>850000</v>
      </c>
      <c r="S13" s="340">
        <v>1000000</v>
      </c>
      <c r="T13" s="343">
        <v>2.31</v>
      </c>
    </row>
    <row r="14" spans="1:20" x14ac:dyDescent="0.2">
      <c r="A14" s="383" t="s">
        <v>290</v>
      </c>
      <c r="B14" s="316" t="s">
        <v>227</v>
      </c>
      <c r="C14" s="316"/>
      <c r="D14" s="316"/>
      <c r="E14" s="321">
        <f>23995</f>
        <v>23995</v>
      </c>
      <c r="F14" s="390">
        <f>18566</f>
        <v>18566</v>
      </c>
      <c r="G14" s="407">
        <f t="shared" ref="G14" si="3">F14/E14</f>
        <v>0.77374453011043964</v>
      </c>
      <c r="H14" s="382" t="s">
        <v>277</v>
      </c>
      <c r="I14" s="319">
        <v>450000</v>
      </c>
      <c r="J14" s="319">
        <v>500000</v>
      </c>
      <c r="K14" s="320">
        <v>0.14000000000000001</v>
      </c>
      <c r="L14" s="319">
        <v>500000</v>
      </c>
      <c r="M14" s="319">
        <v>600000</v>
      </c>
      <c r="N14" s="320">
        <v>0.35</v>
      </c>
      <c r="O14" s="319">
        <v>550000</v>
      </c>
      <c r="P14" s="319">
        <v>650000</v>
      </c>
      <c r="Q14" s="320">
        <v>0.7</v>
      </c>
      <c r="R14" s="319">
        <v>600000</v>
      </c>
      <c r="S14" s="319">
        <v>700000</v>
      </c>
      <c r="T14" s="322">
        <v>2.31</v>
      </c>
    </row>
    <row r="15" spans="1:20" x14ac:dyDescent="0.2">
      <c r="A15" s="386"/>
      <c r="B15" s="420" t="s">
        <v>306</v>
      </c>
      <c r="C15" s="420" t="s">
        <v>316</v>
      </c>
      <c r="D15" s="323"/>
      <c r="E15" s="328"/>
      <c r="F15" s="391"/>
      <c r="G15" s="408"/>
      <c r="H15" s="373" t="s">
        <v>282</v>
      </c>
      <c r="I15" s="326">
        <v>550000</v>
      </c>
      <c r="J15" s="326">
        <v>600000</v>
      </c>
      <c r="K15" s="327">
        <v>0.14000000000000001</v>
      </c>
      <c r="L15" s="326">
        <v>650000</v>
      </c>
      <c r="M15" s="326">
        <v>700000</v>
      </c>
      <c r="N15" s="327">
        <v>0.35</v>
      </c>
      <c r="O15" s="326">
        <v>650000</v>
      </c>
      <c r="P15" s="326">
        <v>750000</v>
      </c>
      <c r="Q15" s="327">
        <v>0.7</v>
      </c>
      <c r="R15" s="326">
        <v>750000</v>
      </c>
      <c r="S15" s="326">
        <v>850000</v>
      </c>
      <c r="T15" s="329">
        <v>2.31</v>
      </c>
    </row>
    <row r="16" spans="1:20" x14ac:dyDescent="0.2">
      <c r="A16" s="384"/>
      <c r="B16" s="374"/>
      <c r="C16" s="374"/>
      <c r="D16" s="374"/>
      <c r="E16" s="380"/>
      <c r="F16" s="396"/>
      <c r="G16" s="413"/>
      <c r="H16" s="377" t="s">
        <v>283</v>
      </c>
      <c r="I16" s="378">
        <v>700000</v>
      </c>
      <c r="J16" s="378">
        <v>750000</v>
      </c>
      <c r="K16" s="379">
        <v>0.14000000000000001</v>
      </c>
      <c r="L16" s="378">
        <v>800000</v>
      </c>
      <c r="M16" s="378">
        <v>900000</v>
      </c>
      <c r="N16" s="379">
        <v>0.35</v>
      </c>
      <c r="O16" s="378">
        <v>850000</v>
      </c>
      <c r="P16" s="378">
        <v>950000</v>
      </c>
      <c r="Q16" s="379">
        <v>0.7</v>
      </c>
      <c r="R16" s="378">
        <v>900000</v>
      </c>
      <c r="S16" s="378">
        <v>1000000</v>
      </c>
      <c r="T16" s="381">
        <v>2.31</v>
      </c>
    </row>
    <row r="17" spans="1:20" x14ac:dyDescent="0.2">
      <c r="A17" s="314"/>
      <c r="B17" s="337" t="s">
        <v>198</v>
      </c>
      <c r="C17" s="337" t="s">
        <v>221</v>
      </c>
      <c r="D17" s="337"/>
      <c r="E17" s="342">
        <f>3700+26500</f>
        <v>30200</v>
      </c>
      <c r="F17" s="393">
        <f>2638+23000</f>
        <v>25638</v>
      </c>
      <c r="G17" s="410">
        <f t="shared" ref="G17" si="4">F17/E17</f>
        <v>0.84894039735099336</v>
      </c>
      <c r="H17" s="351" t="s">
        <v>277</v>
      </c>
      <c r="I17" s="340">
        <v>400000</v>
      </c>
      <c r="J17" s="340">
        <v>450000</v>
      </c>
      <c r="K17" s="341">
        <v>0.14000000000000001</v>
      </c>
      <c r="L17" s="340">
        <v>450000</v>
      </c>
      <c r="M17" s="340">
        <v>550000</v>
      </c>
      <c r="N17" s="341">
        <v>0.35</v>
      </c>
      <c r="O17" s="340">
        <v>800000</v>
      </c>
      <c r="P17" s="340">
        <v>900000</v>
      </c>
      <c r="Q17" s="341">
        <v>0.7</v>
      </c>
      <c r="R17" s="340">
        <v>550000</v>
      </c>
      <c r="S17" s="340">
        <v>650000</v>
      </c>
      <c r="T17" s="343">
        <v>2.31</v>
      </c>
    </row>
    <row r="18" spans="1:20" x14ac:dyDescent="0.2">
      <c r="A18" s="314"/>
      <c r="B18" s="421" t="s">
        <v>311</v>
      </c>
      <c r="C18" s="421" t="s">
        <v>318</v>
      </c>
      <c r="D18" s="337"/>
      <c r="E18" s="342"/>
      <c r="F18" s="393"/>
      <c r="G18" s="410"/>
      <c r="H18" s="351" t="s">
        <v>282</v>
      </c>
      <c r="I18" s="340">
        <v>500000</v>
      </c>
      <c r="J18" s="340">
        <v>550000</v>
      </c>
      <c r="K18" s="341">
        <v>0.14000000000000001</v>
      </c>
      <c r="L18" s="340">
        <v>600000</v>
      </c>
      <c r="M18" s="340">
        <v>700000</v>
      </c>
      <c r="N18" s="341">
        <v>0.35</v>
      </c>
      <c r="O18" s="340">
        <v>650000</v>
      </c>
      <c r="P18" s="340">
        <v>750000</v>
      </c>
      <c r="Q18" s="341">
        <v>0.7</v>
      </c>
      <c r="R18" s="340">
        <v>700000</v>
      </c>
      <c r="S18" s="340">
        <v>800000</v>
      </c>
      <c r="T18" s="343">
        <v>2.31</v>
      </c>
    </row>
    <row r="19" spans="1:20" ht="17" thickBot="1" x14ac:dyDescent="0.25">
      <c r="A19" s="315"/>
      <c r="B19" s="352"/>
      <c r="C19" s="352"/>
      <c r="D19" s="352"/>
      <c r="E19" s="360"/>
      <c r="F19" s="397"/>
      <c r="G19" s="414"/>
      <c r="H19" s="354" t="s">
        <v>283</v>
      </c>
      <c r="I19" s="355">
        <v>650000</v>
      </c>
      <c r="J19" s="355">
        <v>750000</v>
      </c>
      <c r="K19" s="356">
        <v>0.14000000000000001</v>
      </c>
      <c r="L19" s="355">
        <v>750000</v>
      </c>
      <c r="M19" s="355">
        <v>850000</v>
      </c>
      <c r="N19" s="356">
        <v>0.35</v>
      </c>
      <c r="O19" s="355">
        <v>800000</v>
      </c>
      <c r="P19" s="355">
        <v>900000</v>
      </c>
      <c r="Q19" s="356">
        <v>0.7</v>
      </c>
      <c r="R19" s="355">
        <v>850000</v>
      </c>
      <c r="S19" s="355">
        <v>1000000</v>
      </c>
      <c r="T19" s="357">
        <v>2.31</v>
      </c>
    </row>
    <row r="20" spans="1:20" x14ac:dyDescent="0.2">
      <c r="A20" s="383" t="s">
        <v>291</v>
      </c>
      <c r="B20" s="317" t="s">
        <v>294</v>
      </c>
      <c r="C20" s="316" t="s">
        <v>195</v>
      </c>
      <c r="D20" s="316" t="s">
        <v>221</v>
      </c>
      <c r="E20" s="321">
        <f>E8+E11-E2</f>
        <v>36446</v>
      </c>
      <c r="F20" s="390">
        <f>F8+F11-F2</f>
        <v>28243</v>
      </c>
      <c r="G20" s="407">
        <f>F20/E20</f>
        <v>0.77492728968885471</v>
      </c>
      <c r="H20" s="382" t="s">
        <v>277</v>
      </c>
      <c r="I20" s="319"/>
      <c r="J20" s="319">
        <v>400000</v>
      </c>
      <c r="K20" s="320">
        <v>0.14000000000000001</v>
      </c>
      <c r="L20" s="321">
        <v>450000</v>
      </c>
      <c r="M20" s="319">
        <v>500000</v>
      </c>
      <c r="N20" s="320">
        <v>0.35</v>
      </c>
      <c r="O20" s="321">
        <v>500000</v>
      </c>
      <c r="P20" s="319">
        <v>600000</v>
      </c>
      <c r="Q20" s="320">
        <v>0.7</v>
      </c>
      <c r="R20" s="319">
        <v>550000</v>
      </c>
      <c r="S20" s="319">
        <v>600000</v>
      </c>
      <c r="T20" s="322">
        <v>2.31</v>
      </c>
    </row>
    <row r="21" spans="1:20" x14ac:dyDescent="0.2">
      <c r="A21" s="163"/>
      <c r="B21" s="420" t="s">
        <v>312</v>
      </c>
      <c r="C21" s="420" t="s">
        <v>319</v>
      </c>
      <c r="D21" s="323"/>
      <c r="E21" s="328"/>
      <c r="F21" s="391"/>
      <c r="G21" s="408"/>
      <c r="H21" s="373" t="s">
        <v>282</v>
      </c>
      <c r="I21" s="326">
        <v>500000</v>
      </c>
      <c r="J21" s="326">
        <v>550000</v>
      </c>
      <c r="K21" s="327">
        <v>0.14000000000000001</v>
      </c>
      <c r="L21" s="328">
        <v>550000</v>
      </c>
      <c r="M21" s="326">
        <v>650000</v>
      </c>
      <c r="N21" s="327">
        <v>0.35</v>
      </c>
      <c r="O21" s="328">
        <v>650000</v>
      </c>
      <c r="P21" s="326">
        <v>750000</v>
      </c>
      <c r="Q21" s="327">
        <v>0.7</v>
      </c>
      <c r="R21" s="326">
        <v>650000</v>
      </c>
      <c r="S21" s="326">
        <v>850000</v>
      </c>
      <c r="T21" s="329">
        <v>2.31</v>
      </c>
    </row>
    <row r="22" spans="1:20" x14ac:dyDescent="0.2">
      <c r="A22" s="314"/>
      <c r="B22" s="324"/>
      <c r="C22" s="323"/>
      <c r="D22" s="323"/>
      <c r="E22" s="328"/>
      <c r="F22" s="391"/>
      <c r="G22" s="408"/>
      <c r="H22" s="373" t="s">
        <v>283</v>
      </c>
      <c r="I22" s="326">
        <v>650000</v>
      </c>
      <c r="J22" s="326">
        <v>750000</v>
      </c>
      <c r="K22" s="327">
        <v>0.14000000000000001</v>
      </c>
      <c r="L22" s="328">
        <v>700000</v>
      </c>
      <c r="M22" s="326">
        <v>800000</v>
      </c>
      <c r="N22" s="327">
        <v>0.35</v>
      </c>
      <c r="O22" s="328">
        <v>800000</v>
      </c>
      <c r="P22" s="326">
        <v>900000</v>
      </c>
      <c r="Q22" s="327">
        <v>0.7</v>
      </c>
      <c r="R22" s="326">
        <v>850000</v>
      </c>
      <c r="S22" s="326">
        <v>950000</v>
      </c>
      <c r="T22" s="329">
        <v>2.31</v>
      </c>
    </row>
    <row r="23" spans="1:20" x14ac:dyDescent="0.2">
      <c r="B23" s="211" t="s">
        <v>295</v>
      </c>
      <c r="C23" s="152" t="s">
        <v>294</v>
      </c>
      <c r="D23" s="152"/>
      <c r="E23" s="428">
        <f>E14+E8-E2</f>
        <v>38993</v>
      </c>
      <c r="F23" s="152">
        <f>F14+F8-F2</f>
        <v>30171</v>
      </c>
      <c r="G23" s="429">
        <f>F23/E23</f>
        <v>0.77375426358577182</v>
      </c>
      <c r="H23" s="211" t="s">
        <v>277</v>
      </c>
      <c r="I23" s="425">
        <v>400000</v>
      </c>
      <c r="J23" s="216">
        <v>450000</v>
      </c>
      <c r="K23" s="430">
        <v>0.14000000000000001</v>
      </c>
      <c r="L23" s="425">
        <v>450000</v>
      </c>
      <c r="M23" s="216">
        <v>550000</v>
      </c>
      <c r="N23" s="430">
        <v>0.35</v>
      </c>
      <c r="O23" s="425">
        <v>800000</v>
      </c>
      <c r="P23" s="216">
        <v>900000</v>
      </c>
      <c r="Q23" s="430">
        <v>0.7</v>
      </c>
      <c r="R23" s="425">
        <v>550000</v>
      </c>
      <c r="S23" s="216">
        <v>650000</v>
      </c>
      <c r="T23" s="432">
        <v>2.31</v>
      </c>
    </row>
    <row r="24" spans="1:20" x14ac:dyDescent="0.2">
      <c r="B24" s="435" t="s">
        <v>313</v>
      </c>
      <c r="C24" s="436" t="s">
        <v>317</v>
      </c>
      <c r="E24" s="155"/>
      <c r="G24" s="155"/>
      <c r="H24" s="155" t="s">
        <v>282</v>
      </c>
      <c r="I24" s="426">
        <v>500000</v>
      </c>
      <c r="J24" s="223">
        <v>550000</v>
      </c>
      <c r="K24" s="20">
        <v>0.14000000000000001</v>
      </c>
      <c r="L24" s="426">
        <v>600000</v>
      </c>
      <c r="M24" s="223">
        <v>700000</v>
      </c>
      <c r="N24" s="20">
        <v>0.35</v>
      </c>
      <c r="O24" s="426">
        <v>650000</v>
      </c>
      <c r="P24" s="223">
        <v>750000</v>
      </c>
      <c r="Q24" s="20">
        <v>0.7</v>
      </c>
      <c r="R24" s="426">
        <v>700000</v>
      </c>
      <c r="S24" s="223">
        <v>800000</v>
      </c>
      <c r="T24" s="433">
        <v>2.31</v>
      </c>
    </row>
    <row r="25" spans="1:20" ht="17" thickBot="1" x14ac:dyDescent="0.25">
      <c r="B25" s="424"/>
      <c r="C25" s="198"/>
      <c r="D25" s="198"/>
      <c r="E25" s="424"/>
      <c r="F25" s="198"/>
      <c r="G25" s="424"/>
      <c r="H25" s="424" t="s">
        <v>283</v>
      </c>
      <c r="I25" s="427">
        <v>650000</v>
      </c>
      <c r="J25" s="423">
        <v>750000</v>
      </c>
      <c r="K25" s="431">
        <v>0.14000000000000001</v>
      </c>
      <c r="L25" s="427">
        <v>750000</v>
      </c>
      <c r="M25" s="423">
        <v>850000</v>
      </c>
      <c r="N25" s="431">
        <v>0.35</v>
      </c>
      <c r="O25" s="427">
        <v>800000</v>
      </c>
      <c r="P25" s="423">
        <v>900000</v>
      </c>
      <c r="Q25" s="431">
        <v>0.7</v>
      </c>
      <c r="R25" s="427">
        <v>850000</v>
      </c>
      <c r="S25" s="423">
        <v>1000000</v>
      </c>
      <c r="T25" s="434">
        <v>2.31</v>
      </c>
    </row>
    <row r="26" spans="1:20" x14ac:dyDescent="0.2">
      <c r="A26" s="385" t="s">
        <v>292</v>
      </c>
      <c r="B26" s="331" t="s">
        <v>227</v>
      </c>
      <c r="C26" s="358" t="s">
        <v>195</v>
      </c>
      <c r="D26" s="330"/>
      <c r="E26" s="335">
        <f>E14+E11-E2</f>
        <v>41743</v>
      </c>
      <c r="F26" s="392">
        <f>F14+F11-F2</f>
        <v>32566</v>
      </c>
      <c r="G26" s="409">
        <f t="shared" ref="G26" si="5">F26/E26</f>
        <v>0.78015475648611743</v>
      </c>
      <c r="H26" s="359" t="s">
        <v>277</v>
      </c>
      <c r="I26" s="333">
        <v>400000</v>
      </c>
      <c r="J26" s="333">
        <v>450000</v>
      </c>
      <c r="K26" s="334">
        <v>0.14000000000000001</v>
      </c>
      <c r="L26" s="335">
        <v>450000</v>
      </c>
      <c r="M26" s="333">
        <v>550000</v>
      </c>
      <c r="N26" s="334">
        <v>0.35</v>
      </c>
      <c r="O26" s="335">
        <v>800000</v>
      </c>
      <c r="P26" s="333">
        <v>900000</v>
      </c>
      <c r="Q26" s="334">
        <v>0.7</v>
      </c>
      <c r="R26" s="333">
        <v>550000</v>
      </c>
      <c r="S26" s="333">
        <v>650000</v>
      </c>
      <c r="T26" s="336">
        <v>2.31</v>
      </c>
    </row>
    <row r="27" spans="1:20" x14ac:dyDescent="0.2">
      <c r="A27" s="314"/>
      <c r="B27" s="422" t="s">
        <v>329</v>
      </c>
      <c r="C27" s="421" t="s">
        <v>318</v>
      </c>
      <c r="D27" s="337"/>
      <c r="E27" s="342"/>
      <c r="F27" s="393"/>
      <c r="G27" s="410"/>
      <c r="H27" s="351" t="s">
        <v>282</v>
      </c>
      <c r="I27" s="340">
        <v>500000</v>
      </c>
      <c r="J27" s="340">
        <v>550000</v>
      </c>
      <c r="K27" s="341">
        <v>0.14000000000000001</v>
      </c>
      <c r="L27" s="342">
        <v>600000</v>
      </c>
      <c r="M27" s="340">
        <v>700000</v>
      </c>
      <c r="N27" s="341">
        <v>0.35</v>
      </c>
      <c r="O27" s="342">
        <v>650000</v>
      </c>
      <c r="P27" s="340">
        <v>750000</v>
      </c>
      <c r="Q27" s="341">
        <v>0.7</v>
      </c>
      <c r="R27" s="340">
        <v>700000</v>
      </c>
      <c r="S27" s="340">
        <v>800000</v>
      </c>
      <c r="T27" s="343">
        <v>2.31</v>
      </c>
    </row>
    <row r="28" spans="1:20" ht="17" thickBot="1" x14ac:dyDescent="0.25">
      <c r="A28" s="315"/>
      <c r="B28" s="353"/>
      <c r="C28" s="352"/>
      <c r="D28" s="352"/>
      <c r="E28" s="360"/>
      <c r="F28" s="397"/>
      <c r="G28" s="414"/>
      <c r="H28" s="354" t="s">
        <v>283</v>
      </c>
      <c r="I28" s="355">
        <v>650000</v>
      </c>
      <c r="J28" s="355">
        <v>750000</v>
      </c>
      <c r="K28" s="356">
        <v>0.14000000000000001</v>
      </c>
      <c r="L28" s="360">
        <v>750000</v>
      </c>
      <c r="M28" s="355">
        <v>850000</v>
      </c>
      <c r="N28" s="356">
        <v>0.35</v>
      </c>
      <c r="O28" s="360">
        <v>800000</v>
      </c>
      <c r="P28" s="355">
        <v>900000</v>
      </c>
      <c r="Q28" s="356">
        <v>0.7</v>
      </c>
      <c r="R28" s="355">
        <v>850000</v>
      </c>
      <c r="S28" s="355">
        <v>1000000</v>
      </c>
      <c r="T28" s="357">
        <v>2.31</v>
      </c>
    </row>
    <row r="29" spans="1:20" x14ac:dyDescent="0.2">
      <c r="A29" s="383" t="s">
        <v>293</v>
      </c>
      <c r="B29" s="317" t="s">
        <v>203</v>
      </c>
      <c r="C29" s="316" t="s">
        <v>221</v>
      </c>
      <c r="D29" s="316"/>
      <c r="E29" s="321">
        <f>3700+54910</f>
        <v>58610</v>
      </c>
      <c r="F29" s="390">
        <f>2638+68488</f>
        <v>71126</v>
      </c>
      <c r="G29" s="407">
        <f t="shared" ref="G29" si="6">F29/E29</f>
        <v>1.2135471762497867</v>
      </c>
      <c r="H29" s="382" t="s">
        <v>277</v>
      </c>
      <c r="I29" s="319"/>
      <c r="J29" s="319">
        <v>400000</v>
      </c>
      <c r="K29" s="320">
        <v>0.14000000000000001</v>
      </c>
      <c r="L29" s="321">
        <v>450000</v>
      </c>
      <c r="M29" s="319">
        <v>500000</v>
      </c>
      <c r="N29" s="320">
        <v>0.35</v>
      </c>
      <c r="O29" s="321">
        <v>500000</v>
      </c>
      <c r="P29" s="319">
        <v>600000</v>
      </c>
      <c r="Q29" s="320">
        <v>0.7</v>
      </c>
      <c r="R29" s="319">
        <v>550000</v>
      </c>
      <c r="S29" s="319">
        <v>600000</v>
      </c>
      <c r="T29" s="322">
        <v>2.31</v>
      </c>
    </row>
    <row r="30" spans="1:20" x14ac:dyDescent="0.2">
      <c r="A30" s="386"/>
      <c r="B30" s="419" t="s">
        <v>304</v>
      </c>
      <c r="C30" s="420" t="s">
        <v>320</v>
      </c>
      <c r="D30" s="323"/>
      <c r="E30" s="328"/>
      <c r="F30" s="391"/>
      <c r="G30" s="408"/>
      <c r="H30" s="373" t="s">
        <v>282</v>
      </c>
      <c r="I30" s="326">
        <v>450000</v>
      </c>
      <c r="J30" s="326">
        <v>550000</v>
      </c>
      <c r="K30" s="327">
        <v>0.14000000000000001</v>
      </c>
      <c r="L30" s="328">
        <v>550000</v>
      </c>
      <c r="M30" s="326">
        <v>650000</v>
      </c>
      <c r="N30" s="327">
        <v>0.35</v>
      </c>
      <c r="O30" s="328">
        <v>650000</v>
      </c>
      <c r="P30" s="326">
        <v>750000</v>
      </c>
      <c r="Q30" s="327">
        <v>0.7</v>
      </c>
      <c r="R30" s="326">
        <v>650000</v>
      </c>
      <c r="S30" s="326">
        <v>800000</v>
      </c>
      <c r="T30" s="329">
        <v>2.31</v>
      </c>
    </row>
    <row r="31" spans="1:20" x14ac:dyDescent="0.2">
      <c r="A31" s="314"/>
      <c r="B31" s="375"/>
      <c r="C31" s="374"/>
      <c r="D31" s="374"/>
      <c r="E31" s="380"/>
      <c r="F31" s="396"/>
      <c r="G31" s="413"/>
      <c r="H31" s="377" t="s">
        <v>283</v>
      </c>
      <c r="I31" s="378">
        <v>600000</v>
      </c>
      <c r="J31" s="378">
        <v>700000</v>
      </c>
      <c r="K31" s="379">
        <v>0.14000000000000001</v>
      </c>
      <c r="L31" s="380">
        <v>700000</v>
      </c>
      <c r="M31" s="378">
        <v>800000</v>
      </c>
      <c r="N31" s="379">
        <v>0.35</v>
      </c>
      <c r="O31" s="380">
        <v>800000</v>
      </c>
      <c r="P31" s="378">
        <v>900000</v>
      </c>
      <c r="Q31" s="379">
        <v>0.7</v>
      </c>
      <c r="R31" s="378">
        <v>850000</v>
      </c>
      <c r="S31" s="378">
        <v>950000</v>
      </c>
      <c r="T31" s="381">
        <v>2.31</v>
      </c>
    </row>
    <row r="32" spans="1:20" x14ac:dyDescent="0.2">
      <c r="A32" s="314"/>
      <c r="B32" s="337" t="s">
        <v>295</v>
      </c>
      <c r="C32" s="337" t="s">
        <v>198</v>
      </c>
      <c r="D32" s="337"/>
      <c r="E32" s="342">
        <f>E17+E14-E2</f>
        <v>50495</v>
      </c>
      <c r="F32" s="393">
        <f>F17+F14-F2</f>
        <v>41566</v>
      </c>
      <c r="G32" s="410">
        <f t="shared" ref="G32" si="7">F32/E32</f>
        <v>0.8231706109515794</v>
      </c>
      <c r="H32" s="351" t="s">
        <v>277</v>
      </c>
      <c r="I32" s="340"/>
      <c r="J32" s="340">
        <v>400000</v>
      </c>
      <c r="K32" s="341">
        <v>0.14000000000000001</v>
      </c>
      <c r="L32" s="342">
        <v>450000</v>
      </c>
      <c r="M32" s="340">
        <v>500000</v>
      </c>
      <c r="N32" s="341">
        <v>0.35</v>
      </c>
      <c r="O32" s="342">
        <v>500000</v>
      </c>
      <c r="P32" s="340">
        <v>600000</v>
      </c>
      <c r="Q32" s="341">
        <v>0.7</v>
      </c>
      <c r="R32" s="340">
        <v>550000</v>
      </c>
      <c r="S32" s="340">
        <v>600000</v>
      </c>
      <c r="T32" s="343">
        <v>2.31</v>
      </c>
    </row>
    <row r="33" spans="1:20" x14ac:dyDescent="0.2">
      <c r="A33" s="314"/>
      <c r="B33" s="421" t="s">
        <v>330</v>
      </c>
      <c r="C33" s="421" t="s">
        <v>319</v>
      </c>
      <c r="D33" s="337"/>
      <c r="E33" s="342"/>
      <c r="F33" s="393"/>
      <c r="G33" s="410"/>
      <c r="H33" s="351" t="s">
        <v>282</v>
      </c>
      <c r="I33" s="340">
        <v>500000</v>
      </c>
      <c r="J33" s="340">
        <v>550000</v>
      </c>
      <c r="K33" s="341">
        <v>0.14000000000000001</v>
      </c>
      <c r="L33" s="342">
        <v>550000</v>
      </c>
      <c r="M33" s="340">
        <v>650000</v>
      </c>
      <c r="N33" s="341">
        <v>0.35</v>
      </c>
      <c r="O33" s="342">
        <v>650000</v>
      </c>
      <c r="P33" s="340">
        <v>750000</v>
      </c>
      <c r="Q33" s="341">
        <v>0.7</v>
      </c>
      <c r="R33" s="340">
        <v>650000</v>
      </c>
      <c r="S33" s="340">
        <v>850000</v>
      </c>
      <c r="T33" s="343">
        <v>2.31</v>
      </c>
    </row>
    <row r="34" spans="1:20" ht="17" thickBot="1" x14ac:dyDescent="0.25">
      <c r="A34" s="315"/>
      <c r="B34" s="352"/>
      <c r="C34" s="352"/>
      <c r="D34" s="352"/>
      <c r="E34" s="360"/>
      <c r="F34" s="397"/>
      <c r="G34" s="414"/>
      <c r="H34" s="354" t="s">
        <v>283</v>
      </c>
      <c r="I34" s="355">
        <v>650000</v>
      </c>
      <c r="J34" s="355">
        <v>750000</v>
      </c>
      <c r="K34" s="356">
        <v>0.14000000000000001</v>
      </c>
      <c r="L34" s="360">
        <v>700000</v>
      </c>
      <c r="M34" s="355">
        <v>800000</v>
      </c>
      <c r="N34" s="356">
        <v>0.35</v>
      </c>
      <c r="O34" s="360">
        <v>800000</v>
      </c>
      <c r="P34" s="355">
        <v>900000</v>
      </c>
      <c r="Q34" s="356">
        <v>0.7</v>
      </c>
      <c r="R34" s="355">
        <v>850000</v>
      </c>
      <c r="S34" s="355">
        <v>950000</v>
      </c>
      <c r="T34" s="357">
        <v>2.31</v>
      </c>
    </row>
    <row r="35" spans="1:20" x14ac:dyDescent="0.2">
      <c r="A35" s="383" t="s">
        <v>296</v>
      </c>
      <c r="B35" s="317" t="s">
        <v>147</v>
      </c>
      <c r="C35" s="316"/>
      <c r="D35" s="318"/>
      <c r="E35" s="319">
        <v>70000</v>
      </c>
      <c r="F35" s="319">
        <v>58600</v>
      </c>
      <c r="G35" s="416">
        <f t="shared" ref="G35" si="8">F35/E35</f>
        <v>0.83714285714285719</v>
      </c>
      <c r="H35" s="401" t="s">
        <v>277</v>
      </c>
      <c r="I35" s="319"/>
      <c r="J35" s="319">
        <v>400000</v>
      </c>
      <c r="K35" s="320">
        <v>0.14000000000000001</v>
      </c>
      <c r="L35" s="321">
        <v>450000</v>
      </c>
      <c r="M35" s="319">
        <v>500000</v>
      </c>
      <c r="N35" s="320">
        <v>0.35</v>
      </c>
      <c r="O35" s="321">
        <v>500000</v>
      </c>
      <c r="P35" s="319">
        <v>600000</v>
      </c>
      <c r="Q35" s="320">
        <v>0.7</v>
      </c>
      <c r="R35" s="319">
        <v>550000</v>
      </c>
      <c r="S35" s="319">
        <v>600000</v>
      </c>
      <c r="T35" s="322">
        <v>2.31</v>
      </c>
    </row>
    <row r="36" spans="1:20" x14ac:dyDescent="0.2">
      <c r="A36" s="386"/>
      <c r="B36" s="419" t="s">
        <v>305</v>
      </c>
      <c r="C36" s="420" t="s">
        <v>321</v>
      </c>
      <c r="D36" s="325"/>
      <c r="E36" s="326"/>
      <c r="F36" s="326"/>
      <c r="G36" s="417"/>
      <c r="H36" s="402" t="s">
        <v>282</v>
      </c>
      <c r="I36" s="326">
        <v>450000</v>
      </c>
      <c r="J36" s="326">
        <v>550000</v>
      </c>
      <c r="K36" s="327">
        <v>0.14000000000000001</v>
      </c>
      <c r="L36" s="328">
        <v>550000</v>
      </c>
      <c r="M36" s="326">
        <v>650000</v>
      </c>
      <c r="N36" s="327">
        <v>0.35</v>
      </c>
      <c r="O36" s="328">
        <v>650000</v>
      </c>
      <c r="P36" s="326">
        <v>750000</v>
      </c>
      <c r="Q36" s="327">
        <v>0.7</v>
      </c>
      <c r="R36" s="326">
        <v>650000</v>
      </c>
      <c r="S36" s="326">
        <v>800000</v>
      </c>
      <c r="T36" s="329">
        <v>2.31</v>
      </c>
    </row>
    <row r="37" spans="1:20" x14ac:dyDescent="0.2">
      <c r="A37" s="384"/>
      <c r="B37" s="375"/>
      <c r="C37" s="374"/>
      <c r="D37" s="376"/>
      <c r="E37" s="378"/>
      <c r="F37" s="378"/>
      <c r="G37" s="418"/>
      <c r="H37" s="403" t="s">
        <v>283</v>
      </c>
      <c r="I37" s="378">
        <v>600000</v>
      </c>
      <c r="J37" s="378">
        <v>700000</v>
      </c>
      <c r="K37" s="379">
        <v>0.14000000000000001</v>
      </c>
      <c r="L37" s="380">
        <v>700000</v>
      </c>
      <c r="M37" s="378">
        <v>800000</v>
      </c>
      <c r="N37" s="379">
        <v>0.35</v>
      </c>
      <c r="O37" s="380">
        <v>800000</v>
      </c>
      <c r="P37" s="378">
        <v>900000</v>
      </c>
      <c r="Q37" s="379">
        <v>0.7</v>
      </c>
      <c r="R37" s="378">
        <v>850000</v>
      </c>
      <c r="S37" s="378">
        <v>950000</v>
      </c>
      <c r="T37" s="381">
        <v>2.31</v>
      </c>
    </row>
    <row r="38" spans="1:20" x14ac:dyDescent="0.2">
      <c r="A38" s="386"/>
      <c r="B38" s="338" t="s">
        <v>209</v>
      </c>
      <c r="C38" s="337"/>
      <c r="D38" s="337"/>
      <c r="E38" s="342">
        <v>79990</v>
      </c>
      <c r="F38" s="393">
        <v>73045</v>
      </c>
      <c r="G38" s="410">
        <f t="shared" ref="G38" si="9">F38/E38</f>
        <v>0.91317664708088508</v>
      </c>
      <c r="H38" s="351" t="s">
        <v>277</v>
      </c>
      <c r="I38" s="340"/>
      <c r="J38" s="340">
        <v>400000</v>
      </c>
      <c r="K38" s="341">
        <v>0.14000000000000001</v>
      </c>
      <c r="L38" s="342">
        <v>100000</v>
      </c>
      <c r="M38" s="340">
        <v>100000</v>
      </c>
      <c r="N38" s="341">
        <v>0.35</v>
      </c>
      <c r="O38" s="342">
        <v>100000</v>
      </c>
      <c r="P38" s="340">
        <v>100000</v>
      </c>
      <c r="Q38" s="341">
        <v>0.7</v>
      </c>
      <c r="R38" s="340">
        <v>100000</v>
      </c>
      <c r="S38" s="340">
        <v>100000</v>
      </c>
      <c r="T38" s="343">
        <v>2.31</v>
      </c>
    </row>
    <row r="39" spans="1:20" x14ac:dyDescent="0.2">
      <c r="A39" s="314"/>
      <c r="B39" s="422" t="s">
        <v>331</v>
      </c>
      <c r="C39" s="421" t="s">
        <v>322</v>
      </c>
      <c r="D39" s="337"/>
      <c r="E39" s="342"/>
      <c r="F39" s="393"/>
      <c r="G39" s="410"/>
      <c r="H39" s="351" t="s">
        <v>282</v>
      </c>
      <c r="I39" s="340">
        <v>100000</v>
      </c>
      <c r="J39" s="340">
        <v>100000</v>
      </c>
      <c r="K39" s="341">
        <v>0.14000000000000001</v>
      </c>
      <c r="L39" s="342">
        <v>100000</v>
      </c>
      <c r="M39" s="340">
        <v>100000</v>
      </c>
      <c r="N39" s="341">
        <v>0.35</v>
      </c>
      <c r="O39" s="342">
        <v>100000</v>
      </c>
      <c r="P39" s="340">
        <v>100000</v>
      </c>
      <c r="Q39" s="341">
        <v>0.7</v>
      </c>
      <c r="R39" s="340">
        <v>100000</v>
      </c>
      <c r="S39" s="340">
        <v>100000</v>
      </c>
      <c r="T39" s="343">
        <v>2.31</v>
      </c>
    </row>
    <row r="40" spans="1:20" x14ac:dyDescent="0.2">
      <c r="A40" s="314"/>
      <c r="B40" s="345"/>
      <c r="C40" s="344"/>
      <c r="D40" s="344"/>
      <c r="E40" s="349"/>
      <c r="F40" s="394"/>
      <c r="G40" s="411"/>
      <c r="H40" s="361" t="s">
        <v>283</v>
      </c>
      <c r="I40" s="347">
        <v>100000</v>
      </c>
      <c r="J40" s="347">
        <v>100000</v>
      </c>
      <c r="K40" s="348">
        <v>0.14000000000000001</v>
      </c>
      <c r="L40" s="349">
        <v>100000</v>
      </c>
      <c r="M40" s="347">
        <v>100000</v>
      </c>
      <c r="N40" s="348">
        <v>0.35</v>
      </c>
      <c r="O40" s="349">
        <v>100000</v>
      </c>
      <c r="P40" s="347">
        <v>100000</v>
      </c>
      <c r="Q40" s="348">
        <v>0.7</v>
      </c>
      <c r="R40" s="347">
        <v>100000</v>
      </c>
      <c r="S40" s="347">
        <v>100000</v>
      </c>
      <c r="T40" s="350">
        <v>2.31</v>
      </c>
    </row>
    <row r="41" spans="1:20" x14ac:dyDescent="0.2">
      <c r="A41" s="314"/>
      <c r="B41" s="367" t="s">
        <v>203</v>
      </c>
      <c r="C41" s="366" t="s">
        <v>195</v>
      </c>
      <c r="D41" s="366" t="s">
        <v>221</v>
      </c>
      <c r="E41" s="371">
        <f>3700</f>
        <v>3700</v>
      </c>
      <c r="F41" s="395">
        <f>2638</f>
        <v>2638</v>
      </c>
      <c r="G41" s="412">
        <f t="shared" ref="G41" si="10">F41/E41</f>
        <v>0.71297297297297302</v>
      </c>
      <c r="H41" s="368" t="s">
        <v>277</v>
      </c>
      <c r="I41" s="369">
        <v>100000</v>
      </c>
      <c r="J41" s="369">
        <v>100000</v>
      </c>
      <c r="K41" s="370">
        <v>0.14000000000000001</v>
      </c>
      <c r="L41" s="369">
        <v>100000</v>
      </c>
      <c r="M41" s="369">
        <v>100000</v>
      </c>
      <c r="N41" s="370">
        <v>0.35</v>
      </c>
      <c r="O41" s="369">
        <v>100000</v>
      </c>
      <c r="P41" s="369">
        <v>100000</v>
      </c>
      <c r="Q41" s="370">
        <v>0.7</v>
      </c>
      <c r="R41" s="369">
        <v>100000</v>
      </c>
      <c r="S41" s="369">
        <v>100000</v>
      </c>
      <c r="T41" s="372">
        <v>2.31</v>
      </c>
    </row>
    <row r="42" spans="1:20" x14ac:dyDescent="0.2">
      <c r="A42" s="314"/>
      <c r="B42" s="419" t="s">
        <v>303</v>
      </c>
      <c r="C42" s="420" t="s">
        <v>323</v>
      </c>
      <c r="D42" s="323"/>
      <c r="E42" s="328"/>
      <c r="F42" s="391"/>
      <c r="G42" s="408"/>
      <c r="H42" s="373" t="s">
        <v>282</v>
      </c>
      <c r="I42" s="326">
        <v>100000</v>
      </c>
      <c r="J42" s="326">
        <v>100000</v>
      </c>
      <c r="K42" s="327">
        <v>0.14000000000000001</v>
      </c>
      <c r="L42" s="326">
        <v>100000</v>
      </c>
      <c r="M42" s="326">
        <v>100000</v>
      </c>
      <c r="N42" s="327">
        <v>0.35</v>
      </c>
      <c r="O42" s="326">
        <v>100000</v>
      </c>
      <c r="P42" s="326">
        <v>100000</v>
      </c>
      <c r="Q42" s="327">
        <v>0.7</v>
      </c>
      <c r="R42" s="326">
        <v>100000</v>
      </c>
      <c r="S42" s="326">
        <v>100000</v>
      </c>
      <c r="T42" s="329">
        <v>2.31</v>
      </c>
    </row>
    <row r="43" spans="1:20" x14ac:dyDescent="0.2">
      <c r="A43" s="314"/>
      <c r="B43" s="375"/>
      <c r="C43" s="374"/>
      <c r="D43" s="374"/>
      <c r="E43" s="380"/>
      <c r="F43" s="396"/>
      <c r="G43" s="413"/>
      <c r="H43" s="377" t="s">
        <v>283</v>
      </c>
      <c r="I43" s="378">
        <v>100000</v>
      </c>
      <c r="J43" s="378">
        <v>100000</v>
      </c>
      <c r="K43" s="379">
        <v>0.14000000000000001</v>
      </c>
      <c r="L43" s="378">
        <v>100000</v>
      </c>
      <c r="M43" s="378">
        <v>100000</v>
      </c>
      <c r="N43" s="379">
        <v>0.35</v>
      </c>
      <c r="O43" s="378">
        <v>100000</v>
      </c>
      <c r="P43" s="378">
        <v>100000</v>
      </c>
      <c r="Q43" s="379">
        <v>0.7</v>
      </c>
      <c r="R43" s="378">
        <v>100000</v>
      </c>
      <c r="S43" s="378">
        <v>100000</v>
      </c>
      <c r="T43" s="381">
        <v>2.31</v>
      </c>
    </row>
    <row r="44" spans="1:20" x14ac:dyDescent="0.2">
      <c r="A44" s="163"/>
      <c r="B44" s="362" t="s">
        <v>203</v>
      </c>
      <c r="C44" s="337" t="s">
        <v>294</v>
      </c>
      <c r="D44" s="337" t="s">
        <v>221</v>
      </c>
      <c r="E44" s="342">
        <f>3700</f>
        <v>3700</v>
      </c>
      <c r="F44" s="393">
        <f>2638</f>
        <v>2638</v>
      </c>
      <c r="G44" s="410">
        <f t="shared" ref="G44" si="11">F44/E44</f>
        <v>0.71297297297297302</v>
      </c>
      <c r="H44" s="351" t="s">
        <v>277</v>
      </c>
      <c r="I44" s="340">
        <v>100000</v>
      </c>
      <c r="J44" s="340">
        <v>100000</v>
      </c>
      <c r="K44" s="341">
        <v>0.14000000000000001</v>
      </c>
      <c r="L44" s="340">
        <v>100000</v>
      </c>
      <c r="M44" s="340">
        <v>100000</v>
      </c>
      <c r="N44" s="341">
        <v>0.35</v>
      </c>
      <c r="O44" s="340">
        <v>100000</v>
      </c>
      <c r="P44" s="340">
        <v>100000</v>
      </c>
      <c r="Q44" s="341">
        <v>0.7</v>
      </c>
      <c r="R44" s="340">
        <v>100000</v>
      </c>
      <c r="S44" s="340">
        <v>100000</v>
      </c>
      <c r="T44" s="343">
        <v>2.31</v>
      </c>
    </row>
    <row r="45" spans="1:20" x14ac:dyDescent="0.2">
      <c r="A45" s="163"/>
      <c r="B45" s="421" t="s">
        <v>303</v>
      </c>
      <c r="C45" s="421" t="s">
        <v>323</v>
      </c>
      <c r="D45" s="337"/>
      <c r="E45" s="342"/>
      <c r="F45" s="393"/>
      <c r="G45" s="410"/>
      <c r="H45" s="351" t="s">
        <v>282</v>
      </c>
      <c r="I45" s="340">
        <v>100000</v>
      </c>
      <c r="J45" s="340">
        <v>100000</v>
      </c>
      <c r="K45" s="341">
        <v>0.14000000000000001</v>
      </c>
      <c r="L45" s="340">
        <v>100000</v>
      </c>
      <c r="M45" s="340">
        <v>100000</v>
      </c>
      <c r="N45" s="341">
        <v>0.35</v>
      </c>
      <c r="O45" s="340">
        <v>100000</v>
      </c>
      <c r="P45" s="340">
        <v>100000</v>
      </c>
      <c r="Q45" s="341">
        <v>0.7</v>
      </c>
      <c r="R45" s="340">
        <v>100000</v>
      </c>
      <c r="S45" s="340">
        <v>100000</v>
      </c>
      <c r="T45" s="343">
        <v>2.31</v>
      </c>
    </row>
    <row r="46" spans="1:20" ht="17" thickBot="1" x14ac:dyDescent="0.25">
      <c r="A46" s="313"/>
      <c r="B46" s="352"/>
      <c r="C46" s="352"/>
      <c r="D46" s="352"/>
      <c r="E46" s="360"/>
      <c r="F46" s="397"/>
      <c r="G46" s="414"/>
      <c r="H46" s="354" t="s">
        <v>283</v>
      </c>
      <c r="I46" s="355">
        <v>100000</v>
      </c>
      <c r="J46" s="355">
        <v>100000</v>
      </c>
      <c r="K46" s="356">
        <v>0.14000000000000001</v>
      </c>
      <c r="L46" s="355">
        <v>100000</v>
      </c>
      <c r="M46" s="355">
        <v>100000</v>
      </c>
      <c r="N46" s="356">
        <v>0.35</v>
      </c>
      <c r="O46" s="355">
        <v>100000</v>
      </c>
      <c r="P46" s="355">
        <v>100000</v>
      </c>
      <c r="Q46" s="356">
        <v>0.7</v>
      </c>
      <c r="R46" s="355">
        <v>100000</v>
      </c>
      <c r="S46" s="355">
        <v>100000</v>
      </c>
      <c r="T46" s="357">
        <v>2.31</v>
      </c>
    </row>
    <row r="47" spans="1:20" x14ac:dyDescent="0.2">
      <c r="A47" s="383" t="s">
        <v>301</v>
      </c>
      <c r="B47" s="317" t="s">
        <v>298</v>
      </c>
      <c r="C47" s="316"/>
      <c r="D47" s="316"/>
      <c r="E47" s="321">
        <f>3700</f>
        <v>3700</v>
      </c>
      <c r="F47" s="390">
        <f>2638</f>
        <v>2638</v>
      </c>
      <c r="G47" s="407">
        <f t="shared" ref="G47" si="12">F47/E47</f>
        <v>0.71297297297297302</v>
      </c>
      <c r="H47" s="382" t="s">
        <v>277</v>
      </c>
      <c r="I47" s="319">
        <v>100000</v>
      </c>
      <c r="J47" s="319">
        <v>100000</v>
      </c>
      <c r="K47" s="320">
        <v>0.14000000000000001</v>
      </c>
      <c r="L47" s="319">
        <v>100000</v>
      </c>
      <c r="M47" s="319">
        <v>100000</v>
      </c>
      <c r="N47" s="320">
        <v>0.35</v>
      </c>
      <c r="O47" s="319">
        <v>100000</v>
      </c>
      <c r="P47" s="319">
        <v>100000</v>
      </c>
      <c r="Q47" s="320">
        <v>0.7</v>
      </c>
      <c r="R47" s="319">
        <v>100000</v>
      </c>
      <c r="S47" s="319">
        <v>100000</v>
      </c>
      <c r="T47" s="322">
        <v>2.31</v>
      </c>
    </row>
    <row r="48" spans="1:20" x14ac:dyDescent="0.2">
      <c r="A48" s="386"/>
      <c r="B48" s="419" t="s">
        <v>303</v>
      </c>
      <c r="C48" s="420" t="s">
        <v>324</v>
      </c>
      <c r="D48" s="323"/>
      <c r="E48" s="328"/>
      <c r="F48" s="391"/>
      <c r="G48" s="408"/>
      <c r="H48" s="373" t="s">
        <v>282</v>
      </c>
      <c r="I48" s="326">
        <v>100000</v>
      </c>
      <c r="J48" s="326">
        <v>100000</v>
      </c>
      <c r="K48" s="327">
        <v>0.14000000000000001</v>
      </c>
      <c r="L48" s="326">
        <v>100000</v>
      </c>
      <c r="M48" s="326">
        <v>100000</v>
      </c>
      <c r="N48" s="327">
        <v>0.35</v>
      </c>
      <c r="O48" s="326">
        <v>100000</v>
      </c>
      <c r="P48" s="326">
        <v>100000</v>
      </c>
      <c r="Q48" s="327">
        <v>0.7</v>
      </c>
      <c r="R48" s="326">
        <v>100000</v>
      </c>
      <c r="S48" s="326">
        <v>100000</v>
      </c>
      <c r="T48" s="329">
        <v>2.31</v>
      </c>
    </row>
    <row r="49" spans="1:20" x14ac:dyDescent="0.2">
      <c r="A49" s="384"/>
      <c r="B49" s="375"/>
      <c r="C49" s="374"/>
      <c r="D49" s="374"/>
      <c r="E49" s="380"/>
      <c r="F49" s="396"/>
      <c r="G49" s="413"/>
      <c r="H49" s="377" t="s">
        <v>283</v>
      </c>
      <c r="I49" s="378">
        <v>100000</v>
      </c>
      <c r="J49" s="378">
        <v>100000</v>
      </c>
      <c r="K49" s="379">
        <v>0.14000000000000001</v>
      </c>
      <c r="L49" s="378">
        <v>100000</v>
      </c>
      <c r="M49" s="378">
        <v>100000</v>
      </c>
      <c r="N49" s="379">
        <v>0.35</v>
      </c>
      <c r="O49" s="378">
        <v>100000</v>
      </c>
      <c r="P49" s="378">
        <v>100000</v>
      </c>
      <c r="Q49" s="379">
        <v>0.7</v>
      </c>
      <c r="R49" s="378">
        <v>100000</v>
      </c>
      <c r="S49" s="378">
        <v>100000</v>
      </c>
      <c r="T49" s="381">
        <v>2.31</v>
      </c>
    </row>
    <row r="50" spans="1:20" x14ac:dyDescent="0.2">
      <c r="A50" s="386"/>
      <c r="B50" s="362" t="s">
        <v>212</v>
      </c>
      <c r="C50" s="363"/>
      <c r="D50" s="363"/>
      <c r="E50" s="398"/>
      <c r="F50" s="399"/>
      <c r="G50" s="415" t="e">
        <f t="shared" ref="G50" si="13">F50/E50</f>
        <v>#DIV/0!</v>
      </c>
      <c r="H50" s="364" t="s">
        <v>277</v>
      </c>
      <c r="I50" s="405">
        <v>100000</v>
      </c>
      <c r="J50" s="405">
        <v>100000</v>
      </c>
      <c r="K50" s="389">
        <v>0.14000000000000001</v>
      </c>
      <c r="L50" s="405">
        <v>100000</v>
      </c>
      <c r="M50" s="405">
        <v>100000</v>
      </c>
      <c r="N50" s="389">
        <v>0.35</v>
      </c>
      <c r="O50" s="405">
        <v>100000</v>
      </c>
      <c r="P50" s="405">
        <v>100000</v>
      </c>
      <c r="Q50" s="389">
        <v>0.7</v>
      </c>
      <c r="R50" s="405">
        <v>100000</v>
      </c>
      <c r="S50" s="405">
        <v>100000</v>
      </c>
      <c r="T50" s="365">
        <v>2.31</v>
      </c>
    </row>
    <row r="51" spans="1:20" x14ac:dyDescent="0.2">
      <c r="A51" s="384"/>
      <c r="B51" s="422" t="s">
        <v>303</v>
      </c>
      <c r="C51" s="421" t="s">
        <v>325</v>
      </c>
      <c r="D51" s="337"/>
      <c r="E51" s="342"/>
      <c r="F51" s="393"/>
      <c r="G51" s="410"/>
      <c r="H51" s="351" t="s">
        <v>282</v>
      </c>
      <c r="I51" s="340">
        <v>100000</v>
      </c>
      <c r="J51" s="340">
        <v>100000</v>
      </c>
      <c r="K51" s="341">
        <v>0.14000000000000001</v>
      </c>
      <c r="L51" s="340">
        <v>100000</v>
      </c>
      <c r="M51" s="340">
        <v>100000</v>
      </c>
      <c r="N51" s="341">
        <v>0.35</v>
      </c>
      <c r="O51" s="340">
        <v>100000</v>
      </c>
      <c r="P51" s="340">
        <v>100000</v>
      </c>
      <c r="Q51" s="341">
        <v>0.7</v>
      </c>
      <c r="R51" s="340">
        <v>100000</v>
      </c>
      <c r="S51" s="340">
        <v>100000</v>
      </c>
      <c r="T51" s="343">
        <v>2.31</v>
      </c>
    </row>
    <row r="52" spans="1:20" x14ac:dyDescent="0.2">
      <c r="A52" s="386"/>
      <c r="B52" s="345"/>
      <c r="C52" s="344"/>
      <c r="D52" s="344"/>
      <c r="E52" s="349"/>
      <c r="F52" s="394"/>
      <c r="G52" s="411"/>
      <c r="H52" s="361" t="s">
        <v>283</v>
      </c>
      <c r="I52" s="347">
        <v>100000</v>
      </c>
      <c r="J52" s="347">
        <v>100000</v>
      </c>
      <c r="K52" s="348">
        <v>0.14000000000000001</v>
      </c>
      <c r="L52" s="347">
        <v>100000</v>
      </c>
      <c r="M52" s="347">
        <v>100000</v>
      </c>
      <c r="N52" s="348">
        <v>0.35</v>
      </c>
      <c r="O52" s="347">
        <v>100000</v>
      </c>
      <c r="P52" s="347">
        <v>100000</v>
      </c>
      <c r="Q52" s="348">
        <v>0.7</v>
      </c>
      <c r="R52" s="347">
        <v>100000</v>
      </c>
      <c r="S52" s="347">
        <v>100000</v>
      </c>
      <c r="T52" s="350">
        <v>2.31</v>
      </c>
    </row>
    <row r="53" spans="1:20" x14ac:dyDescent="0.2">
      <c r="A53" s="314"/>
      <c r="B53" s="367" t="s">
        <v>299</v>
      </c>
      <c r="C53" s="366" t="s">
        <v>295</v>
      </c>
      <c r="D53" s="366" t="s">
        <v>198</v>
      </c>
      <c r="E53" s="371"/>
      <c r="F53" s="395"/>
      <c r="G53" s="412" t="e">
        <f t="shared" ref="G53" si="14">F53/E53</f>
        <v>#DIV/0!</v>
      </c>
      <c r="H53" s="368" t="s">
        <v>277</v>
      </c>
      <c r="I53" s="369">
        <v>100000</v>
      </c>
      <c r="J53" s="369">
        <v>100000</v>
      </c>
      <c r="K53" s="370">
        <v>0.14000000000000001</v>
      </c>
      <c r="L53" s="369">
        <v>100000</v>
      </c>
      <c r="M53" s="369">
        <v>100000</v>
      </c>
      <c r="N53" s="370">
        <v>0.35</v>
      </c>
      <c r="O53" s="369">
        <v>100000</v>
      </c>
      <c r="P53" s="369">
        <v>100000</v>
      </c>
      <c r="Q53" s="370">
        <v>0.7</v>
      </c>
      <c r="R53" s="369">
        <v>100000</v>
      </c>
      <c r="S53" s="369">
        <v>100000</v>
      </c>
      <c r="T53" s="372">
        <v>2.31</v>
      </c>
    </row>
    <row r="54" spans="1:20" x14ac:dyDescent="0.2">
      <c r="A54" s="314"/>
      <c r="B54" s="419" t="s">
        <v>303</v>
      </c>
      <c r="C54" s="420" t="s">
        <v>326</v>
      </c>
      <c r="D54" s="323"/>
      <c r="E54" s="328"/>
      <c r="F54" s="391"/>
      <c r="G54" s="408"/>
      <c r="H54" s="373" t="s">
        <v>282</v>
      </c>
      <c r="I54" s="326">
        <v>100000</v>
      </c>
      <c r="J54" s="326">
        <v>100000</v>
      </c>
      <c r="K54" s="327">
        <v>0.14000000000000001</v>
      </c>
      <c r="L54" s="326">
        <v>100000</v>
      </c>
      <c r="M54" s="326">
        <v>100000</v>
      </c>
      <c r="N54" s="327">
        <v>0.35</v>
      </c>
      <c r="O54" s="326">
        <v>100000</v>
      </c>
      <c r="P54" s="326">
        <v>100000</v>
      </c>
      <c r="Q54" s="327">
        <v>0.7</v>
      </c>
      <c r="R54" s="326">
        <v>100000</v>
      </c>
      <c r="S54" s="326">
        <v>100000</v>
      </c>
      <c r="T54" s="329">
        <v>2.31</v>
      </c>
    </row>
    <row r="55" spans="1:20" x14ac:dyDescent="0.2">
      <c r="A55" s="314"/>
      <c r="B55" s="375"/>
      <c r="C55" s="374"/>
      <c r="D55" s="374"/>
      <c r="E55" s="380"/>
      <c r="F55" s="396"/>
      <c r="G55" s="413"/>
      <c r="H55" s="377" t="s">
        <v>283</v>
      </c>
      <c r="I55" s="378">
        <v>100000</v>
      </c>
      <c r="J55" s="378">
        <v>100000</v>
      </c>
      <c r="K55" s="379">
        <v>0.14000000000000001</v>
      </c>
      <c r="L55" s="378">
        <v>100000</v>
      </c>
      <c r="M55" s="378">
        <v>100000</v>
      </c>
      <c r="N55" s="379">
        <v>0.35</v>
      </c>
      <c r="O55" s="378">
        <v>100000</v>
      </c>
      <c r="P55" s="378">
        <v>100000</v>
      </c>
      <c r="Q55" s="379">
        <v>0.7</v>
      </c>
      <c r="R55" s="378">
        <v>100000</v>
      </c>
      <c r="S55" s="378">
        <v>100000</v>
      </c>
      <c r="T55" s="381">
        <v>2.31</v>
      </c>
    </row>
    <row r="56" spans="1:20" x14ac:dyDescent="0.2">
      <c r="A56" s="314"/>
      <c r="B56" s="362" t="s">
        <v>209</v>
      </c>
      <c r="C56" s="363" t="s">
        <v>295</v>
      </c>
      <c r="D56" s="363"/>
      <c r="E56" s="398"/>
      <c r="F56" s="399"/>
      <c r="G56" s="415" t="e">
        <f t="shared" ref="G56" si="15">F56/E56</f>
        <v>#DIV/0!</v>
      </c>
      <c r="H56" s="364" t="s">
        <v>277</v>
      </c>
      <c r="I56" s="405">
        <v>100000</v>
      </c>
      <c r="J56" s="405">
        <v>100000</v>
      </c>
      <c r="K56" s="389">
        <v>0.14000000000000001</v>
      </c>
      <c r="L56" s="405">
        <v>100000</v>
      </c>
      <c r="M56" s="405">
        <v>100000</v>
      </c>
      <c r="N56" s="389">
        <v>0.35</v>
      </c>
      <c r="O56" s="405">
        <v>100000</v>
      </c>
      <c r="P56" s="405">
        <v>100000</v>
      </c>
      <c r="Q56" s="389">
        <v>0.7</v>
      </c>
      <c r="R56" s="405">
        <v>100000</v>
      </c>
      <c r="S56" s="405">
        <v>100000</v>
      </c>
      <c r="T56" s="365">
        <v>2.31</v>
      </c>
    </row>
    <row r="57" spans="1:20" x14ac:dyDescent="0.2">
      <c r="A57" s="314"/>
      <c r="B57" s="422" t="s">
        <v>303</v>
      </c>
      <c r="C57" s="421" t="s">
        <v>327</v>
      </c>
      <c r="D57" s="337"/>
      <c r="E57" s="342"/>
      <c r="F57" s="393"/>
      <c r="G57" s="410"/>
      <c r="H57" s="351" t="s">
        <v>282</v>
      </c>
      <c r="I57" s="340">
        <v>100000</v>
      </c>
      <c r="J57" s="340">
        <v>100000</v>
      </c>
      <c r="K57" s="341">
        <v>0.14000000000000001</v>
      </c>
      <c r="L57" s="340">
        <v>100000</v>
      </c>
      <c r="M57" s="340">
        <v>100000</v>
      </c>
      <c r="N57" s="341">
        <v>0.35</v>
      </c>
      <c r="O57" s="340">
        <v>100000</v>
      </c>
      <c r="P57" s="340">
        <v>100000</v>
      </c>
      <c r="Q57" s="341">
        <v>0.7</v>
      </c>
      <c r="R57" s="340">
        <v>100000</v>
      </c>
      <c r="S57" s="340">
        <v>100000</v>
      </c>
      <c r="T57" s="343">
        <v>2.31</v>
      </c>
    </row>
    <row r="58" spans="1:20" x14ac:dyDescent="0.2">
      <c r="A58" s="314"/>
      <c r="B58" s="345"/>
      <c r="C58" s="344"/>
      <c r="D58" s="344"/>
      <c r="E58" s="349"/>
      <c r="F58" s="394"/>
      <c r="G58" s="411"/>
      <c r="H58" s="361" t="s">
        <v>283</v>
      </c>
      <c r="I58" s="347">
        <v>100000</v>
      </c>
      <c r="J58" s="347">
        <v>100000</v>
      </c>
      <c r="K58" s="348">
        <v>0.14000000000000001</v>
      </c>
      <c r="L58" s="347">
        <v>100000</v>
      </c>
      <c r="M58" s="347">
        <v>100000</v>
      </c>
      <c r="N58" s="348">
        <v>0.35</v>
      </c>
      <c r="O58" s="347">
        <v>100000</v>
      </c>
      <c r="P58" s="347">
        <v>100000</v>
      </c>
      <c r="Q58" s="348">
        <v>0.7</v>
      </c>
      <c r="R58" s="347">
        <v>100000</v>
      </c>
      <c r="S58" s="347">
        <v>100000</v>
      </c>
      <c r="T58" s="350">
        <v>2.31</v>
      </c>
    </row>
    <row r="59" spans="1:20" x14ac:dyDescent="0.2">
      <c r="A59" s="314"/>
      <c r="B59" s="367" t="s">
        <v>147</v>
      </c>
      <c r="C59" s="366" t="s">
        <v>295</v>
      </c>
      <c r="D59" s="366"/>
      <c r="E59" s="371"/>
      <c r="F59" s="395"/>
      <c r="G59" s="412" t="e">
        <f t="shared" ref="G59" si="16">F59/E59</f>
        <v>#DIV/0!</v>
      </c>
      <c r="H59" s="368" t="s">
        <v>277</v>
      </c>
      <c r="I59" s="369">
        <v>100000</v>
      </c>
      <c r="J59" s="369">
        <v>100000</v>
      </c>
      <c r="K59" s="370">
        <v>0.14000000000000001</v>
      </c>
      <c r="L59" s="369">
        <v>100000</v>
      </c>
      <c r="M59" s="369">
        <v>100000</v>
      </c>
      <c r="N59" s="370">
        <v>0.35</v>
      </c>
      <c r="O59" s="369">
        <v>100000</v>
      </c>
      <c r="P59" s="369">
        <v>100000</v>
      </c>
      <c r="Q59" s="370">
        <v>0.7</v>
      </c>
      <c r="R59" s="369">
        <v>100000</v>
      </c>
      <c r="S59" s="369">
        <v>100000</v>
      </c>
      <c r="T59" s="372">
        <v>2.31</v>
      </c>
    </row>
    <row r="60" spans="1:20" x14ac:dyDescent="0.2">
      <c r="A60" s="314"/>
      <c r="B60" s="419" t="s">
        <v>303</v>
      </c>
      <c r="C60" s="420" t="s">
        <v>328</v>
      </c>
      <c r="D60" s="323"/>
      <c r="E60" s="328"/>
      <c r="F60" s="391"/>
      <c r="G60" s="408"/>
      <c r="H60" s="373" t="s">
        <v>282</v>
      </c>
      <c r="I60" s="326">
        <v>100000</v>
      </c>
      <c r="J60" s="326">
        <v>100000</v>
      </c>
      <c r="K60" s="327">
        <v>0.14000000000000001</v>
      </c>
      <c r="L60" s="326">
        <v>100000</v>
      </c>
      <c r="M60" s="326">
        <v>100000</v>
      </c>
      <c r="N60" s="327">
        <v>0.35</v>
      </c>
      <c r="O60" s="326">
        <v>100000</v>
      </c>
      <c r="P60" s="326">
        <v>100000</v>
      </c>
      <c r="Q60" s="327">
        <v>0.7</v>
      </c>
      <c r="R60" s="326">
        <v>100000</v>
      </c>
      <c r="S60" s="326">
        <v>100000</v>
      </c>
      <c r="T60" s="329">
        <v>2.31</v>
      </c>
    </row>
    <row r="61" spans="1:20" x14ac:dyDescent="0.2">
      <c r="A61" s="314"/>
      <c r="B61" s="375"/>
      <c r="C61" s="374"/>
      <c r="D61" s="374"/>
      <c r="E61" s="380"/>
      <c r="F61" s="396"/>
      <c r="G61" s="413"/>
      <c r="H61" s="377" t="s">
        <v>283</v>
      </c>
      <c r="I61" s="378">
        <v>100000</v>
      </c>
      <c r="J61" s="378">
        <v>100000</v>
      </c>
      <c r="K61" s="379">
        <v>0.14000000000000001</v>
      </c>
      <c r="L61" s="378">
        <v>100000</v>
      </c>
      <c r="M61" s="378">
        <v>100000</v>
      </c>
      <c r="N61" s="379">
        <v>0.35</v>
      </c>
      <c r="O61" s="378">
        <v>100000</v>
      </c>
      <c r="P61" s="378">
        <v>100000</v>
      </c>
      <c r="Q61" s="379">
        <v>0.7</v>
      </c>
      <c r="R61" s="378">
        <v>100000</v>
      </c>
      <c r="S61" s="378">
        <v>100000</v>
      </c>
      <c r="T61" s="381">
        <v>2.31</v>
      </c>
    </row>
    <row r="62" spans="1:20" x14ac:dyDescent="0.2">
      <c r="A62" s="314"/>
      <c r="B62" s="337" t="s">
        <v>147</v>
      </c>
      <c r="C62" s="337" t="s">
        <v>198</v>
      </c>
      <c r="D62" s="337"/>
      <c r="E62" s="342"/>
      <c r="F62" s="393"/>
      <c r="G62" s="410" t="e">
        <f t="shared" ref="G62" si="17">F62/E62</f>
        <v>#DIV/0!</v>
      </c>
      <c r="H62" s="351" t="s">
        <v>277</v>
      </c>
      <c r="I62" s="340">
        <v>100000</v>
      </c>
      <c r="J62" s="340">
        <v>100000</v>
      </c>
      <c r="K62" s="341">
        <v>0.14000000000000001</v>
      </c>
      <c r="L62" s="340">
        <v>100000</v>
      </c>
      <c r="M62" s="340">
        <v>100000</v>
      </c>
      <c r="N62" s="341">
        <v>0.35</v>
      </c>
      <c r="O62" s="340">
        <v>100000</v>
      </c>
      <c r="P62" s="340">
        <v>100000</v>
      </c>
      <c r="Q62" s="341">
        <v>0.7</v>
      </c>
      <c r="R62" s="340">
        <v>100000</v>
      </c>
      <c r="S62" s="340">
        <v>100000</v>
      </c>
      <c r="T62" s="343">
        <v>2.31</v>
      </c>
    </row>
    <row r="63" spans="1:20" x14ac:dyDescent="0.2">
      <c r="A63" s="314"/>
      <c r="B63" s="421" t="s">
        <v>303</v>
      </c>
      <c r="C63" s="421" t="s">
        <v>324</v>
      </c>
      <c r="D63" s="337"/>
      <c r="E63" s="342"/>
      <c r="F63" s="393"/>
      <c r="G63" s="410"/>
      <c r="H63" s="351" t="s">
        <v>282</v>
      </c>
      <c r="I63" s="340">
        <v>100000</v>
      </c>
      <c r="J63" s="340">
        <v>100000</v>
      </c>
      <c r="K63" s="341">
        <v>0.14000000000000001</v>
      </c>
      <c r="L63" s="340">
        <v>100000</v>
      </c>
      <c r="M63" s="340">
        <v>100000</v>
      </c>
      <c r="N63" s="341">
        <v>0.35</v>
      </c>
      <c r="O63" s="340">
        <v>100000</v>
      </c>
      <c r="P63" s="340">
        <v>100000</v>
      </c>
      <c r="Q63" s="341">
        <v>0.7</v>
      </c>
      <c r="R63" s="340">
        <v>100000</v>
      </c>
      <c r="S63" s="340">
        <v>100000</v>
      </c>
      <c r="T63" s="343">
        <v>2.31</v>
      </c>
    </row>
    <row r="64" spans="1:20" ht="17" thickBot="1" x14ac:dyDescent="0.25">
      <c r="A64" s="315"/>
      <c r="B64" s="352"/>
      <c r="C64" s="352"/>
      <c r="D64" s="352"/>
      <c r="E64" s="360"/>
      <c r="F64" s="397"/>
      <c r="G64" s="414"/>
      <c r="H64" s="354" t="s">
        <v>283</v>
      </c>
      <c r="I64" s="355">
        <v>100000</v>
      </c>
      <c r="J64" s="355">
        <v>100000</v>
      </c>
      <c r="K64" s="356">
        <v>0.14000000000000001</v>
      </c>
      <c r="L64" s="355">
        <v>100000</v>
      </c>
      <c r="M64" s="355">
        <v>100000</v>
      </c>
      <c r="N64" s="356">
        <v>0.35</v>
      </c>
      <c r="O64" s="355">
        <v>100000</v>
      </c>
      <c r="P64" s="355">
        <v>100000</v>
      </c>
      <c r="Q64" s="356">
        <v>0.7</v>
      </c>
      <c r="R64" s="355">
        <v>100000</v>
      </c>
      <c r="S64" s="355">
        <v>100000</v>
      </c>
      <c r="T64" s="357">
        <v>2.31</v>
      </c>
    </row>
  </sheetData>
  <pageMargins left="0.25" right="0.25" top="0.75" bottom="0.75" header="0.3" footer="0.3"/>
  <pageSetup scale="3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0CEE-7A6F-E340-B122-37E566C0B71D}">
  <dimension ref="A1:W43"/>
  <sheetViews>
    <sheetView zoomScaleNormal="100" workbookViewId="0">
      <selection activeCell="E34" sqref="E34"/>
    </sheetView>
  </sheetViews>
  <sheetFormatPr baseColWidth="10" defaultRowHeight="16" x14ac:dyDescent="0.2"/>
  <cols>
    <col min="1" max="1" width="35.83203125" bestFit="1" customWidth="1"/>
    <col min="2" max="2" width="13.6640625" bestFit="1" customWidth="1"/>
    <col min="3" max="4" width="11.1640625" bestFit="1" customWidth="1"/>
    <col min="5" max="5" width="19.6640625" bestFit="1" customWidth="1"/>
    <col min="6" max="12" width="11.1640625" bestFit="1" customWidth="1"/>
    <col min="13" max="13" width="14.33203125" customWidth="1"/>
    <col min="14" max="14" width="22" bestFit="1" customWidth="1"/>
    <col min="15" max="19" width="11.1640625" bestFit="1" customWidth="1"/>
    <col min="20" max="23" width="11.5" bestFit="1" customWidth="1"/>
  </cols>
  <sheetData>
    <row r="1" spans="1:23" x14ac:dyDescent="0.2">
      <c r="A1" s="46" t="s">
        <v>27</v>
      </c>
      <c r="B1" s="5">
        <v>70000</v>
      </c>
      <c r="C1" s="5">
        <v>75000</v>
      </c>
      <c r="D1" s="5">
        <v>80000</v>
      </c>
      <c r="E1" s="5">
        <v>85000</v>
      </c>
      <c r="F1" s="5">
        <v>90000</v>
      </c>
      <c r="G1" s="5">
        <v>95000</v>
      </c>
      <c r="H1" s="5">
        <v>100000</v>
      </c>
      <c r="I1" s="5">
        <v>105000</v>
      </c>
      <c r="J1" s="5">
        <v>110000</v>
      </c>
      <c r="K1" s="5">
        <v>115000</v>
      </c>
      <c r="L1" s="5">
        <v>120000</v>
      </c>
      <c r="M1" s="5"/>
      <c r="N1" s="102" t="s">
        <v>54</v>
      </c>
      <c r="O1" s="103"/>
      <c r="P1" s="103"/>
      <c r="Q1" s="103"/>
      <c r="R1" s="103"/>
      <c r="S1" s="103"/>
      <c r="T1" s="103"/>
      <c r="U1" s="104"/>
      <c r="V1" s="104"/>
      <c r="W1" s="105"/>
    </row>
    <row r="2" spans="1:23" x14ac:dyDescent="0.2">
      <c r="A2" s="46" t="s">
        <v>52</v>
      </c>
      <c r="B2" s="5">
        <f t="shared" ref="B2:L2" si="0">$B$42</f>
        <v>55853.024938766415</v>
      </c>
      <c r="C2" s="5">
        <f t="shared" si="0"/>
        <v>55853.024938766415</v>
      </c>
      <c r="D2" s="5">
        <f t="shared" si="0"/>
        <v>55853.024938766415</v>
      </c>
      <c r="E2" s="5">
        <f t="shared" si="0"/>
        <v>55853.024938766415</v>
      </c>
      <c r="F2" s="5">
        <f t="shared" si="0"/>
        <v>55853.024938766415</v>
      </c>
      <c r="G2" s="5">
        <f t="shared" si="0"/>
        <v>55853.024938766415</v>
      </c>
      <c r="H2" s="5">
        <f t="shared" si="0"/>
        <v>55853.024938766415</v>
      </c>
      <c r="I2" s="5">
        <f t="shared" si="0"/>
        <v>55853.024938766415</v>
      </c>
      <c r="J2" s="5">
        <f t="shared" si="0"/>
        <v>55853.024938766415</v>
      </c>
      <c r="K2" s="5">
        <f t="shared" si="0"/>
        <v>55853.024938766415</v>
      </c>
      <c r="L2" s="5">
        <f t="shared" si="0"/>
        <v>55853.024938766415</v>
      </c>
      <c r="M2" s="5"/>
      <c r="N2" s="106" t="s">
        <v>55</v>
      </c>
      <c r="O2" s="107" t="s">
        <v>56</v>
      </c>
      <c r="P2" s="107" t="s">
        <v>57</v>
      </c>
      <c r="Q2" s="107" t="s">
        <v>58</v>
      </c>
      <c r="R2" s="107" t="s">
        <v>60</v>
      </c>
      <c r="S2" s="107" t="s">
        <v>59</v>
      </c>
      <c r="T2" s="107" t="s">
        <v>61</v>
      </c>
      <c r="U2" s="107" t="s">
        <v>63</v>
      </c>
      <c r="V2" s="107" t="s">
        <v>65</v>
      </c>
      <c r="W2" s="108" t="s">
        <v>66</v>
      </c>
    </row>
    <row r="3" spans="1:23" x14ac:dyDescent="0.2">
      <c r="A3" s="46" t="s">
        <v>34</v>
      </c>
      <c r="B3" s="4">
        <f>0.1*11000 + 0.12*(MIN(44725,B2)-11000)+IF(B2&gt;44725,IF(B2&lt;95375, (B2-44725)*0.22,  (95375-44725)*0.22 + (B2-95375)*0.24))</f>
        <v>7595.1654865286109</v>
      </c>
      <c r="C3" s="4">
        <f t="shared" ref="C3:L3" si="1">0.1*11000 + 0.12*(MIN(44725,C2)-11000)+IF(C2&gt;44725,IF(C2&lt;95375, (C2-44725)*0.22,  (95375-44725)*0.22 + (C2-95375)*0.24))</f>
        <v>7595.1654865286109</v>
      </c>
      <c r="D3" s="4">
        <f t="shared" si="1"/>
        <v>7595.1654865286109</v>
      </c>
      <c r="E3" s="4">
        <f t="shared" si="1"/>
        <v>7595.1654865286109</v>
      </c>
      <c r="F3" s="4">
        <f t="shared" si="1"/>
        <v>7595.1654865286109</v>
      </c>
      <c r="G3" s="4">
        <f t="shared" si="1"/>
        <v>7595.1654865286109</v>
      </c>
      <c r="H3" s="4">
        <f t="shared" si="1"/>
        <v>7595.1654865286109</v>
      </c>
      <c r="I3" s="4">
        <f t="shared" si="1"/>
        <v>7595.1654865286109</v>
      </c>
      <c r="J3" s="4">
        <f t="shared" si="1"/>
        <v>7595.1654865286109</v>
      </c>
      <c r="K3" s="4">
        <f t="shared" si="1"/>
        <v>7595.1654865286109</v>
      </c>
      <c r="L3" s="4">
        <f t="shared" si="1"/>
        <v>7595.1654865286109</v>
      </c>
      <c r="M3" s="4"/>
      <c r="N3" s="109">
        <f t="shared" ref="N3:T3" si="2">SUM(B27,C26,D25,E24,F23)</f>
        <v>276136.86327549157</v>
      </c>
      <c r="O3" s="7">
        <f t="shared" si="2"/>
        <v>307079.39484381699</v>
      </c>
      <c r="P3" s="7">
        <f t="shared" si="2"/>
        <v>335611.0208238319</v>
      </c>
      <c r="Q3" s="7">
        <f t="shared" si="2"/>
        <v>364253.57970425248</v>
      </c>
      <c r="R3" s="7">
        <f t="shared" si="2"/>
        <v>392977.21417037118</v>
      </c>
      <c r="S3" s="7">
        <f t="shared" si="2"/>
        <v>421771.88155379856</v>
      </c>
      <c r="T3" s="7">
        <f t="shared" si="2"/>
        <v>450647.4776793014</v>
      </c>
      <c r="U3" s="7">
        <f>SUM(I27,J26,K25,L24,L23)</f>
        <v>473668.16071626893</v>
      </c>
      <c r="V3" s="7">
        <f>SUM(J27,K26,L25,L24,L23)</f>
        <v>490993.65009276639</v>
      </c>
      <c r="W3" s="110">
        <f>SUM(K27,L26,L25,L24,L23)</f>
        <v>502419.36597688962</v>
      </c>
    </row>
    <row r="4" spans="1:23" x14ac:dyDescent="0.2">
      <c r="A4" s="46" t="s">
        <v>28</v>
      </c>
      <c r="B4" s="4">
        <f>IF(B2&gt;80650, 4271 + (B2-80650)*0.06,600 + (B2-13900)*0.055)</f>
        <v>2907.4163716321527</v>
      </c>
      <c r="C4" s="4">
        <f t="shared" ref="C4:L4" si="3">IF(C2&gt;80650, 4271 + (C2-80650)*0.06,600 + (C2-13900)*0.055)</f>
        <v>2907.4163716321527</v>
      </c>
      <c r="D4" s="4">
        <f t="shared" si="3"/>
        <v>2907.4163716321527</v>
      </c>
      <c r="E4" s="4">
        <f t="shared" si="3"/>
        <v>2907.4163716321527</v>
      </c>
      <c r="F4" s="4">
        <f t="shared" si="3"/>
        <v>2907.4163716321527</v>
      </c>
      <c r="G4" s="4">
        <f t="shared" si="3"/>
        <v>2907.4163716321527</v>
      </c>
      <c r="H4" s="4">
        <f t="shared" si="3"/>
        <v>2907.4163716321527</v>
      </c>
      <c r="I4" s="4">
        <f t="shared" si="3"/>
        <v>2907.4163716321527</v>
      </c>
      <c r="J4" s="4">
        <f t="shared" si="3"/>
        <v>2907.4163716321527</v>
      </c>
      <c r="K4" s="4">
        <f t="shared" si="3"/>
        <v>2907.4163716321527</v>
      </c>
      <c r="L4" s="4">
        <f t="shared" si="3"/>
        <v>2907.4163716321527</v>
      </c>
      <c r="M4" s="4"/>
      <c r="N4" s="111">
        <f>N3*0.9</f>
        <v>248523.17694794241</v>
      </c>
      <c r="O4" s="11">
        <f t="shared" ref="O4:S4" si="4">O3*0.9</f>
        <v>276371.45535943529</v>
      </c>
      <c r="P4" s="11">
        <f t="shared" si="4"/>
        <v>302049.91874144872</v>
      </c>
      <c r="Q4" s="11">
        <f t="shared" si="4"/>
        <v>327828.22173382726</v>
      </c>
      <c r="R4" s="11">
        <f t="shared" si="4"/>
        <v>353679.49275333405</v>
      </c>
      <c r="S4" s="11">
        <f t="shared" si="4"/>
        <v>379594.69339841872</v>
      </c>
      <c r="T4" s="11">
        <f>T3*0.9</f>
        <v>405582.72991137125</v>
      </c>
      <c r="U4" s="11">
        <f t="shared" ref="U4:W4" si="5">U3*0.9</f>
        <v>426301.34464464203</v>
      </c>
      <c r="V4" s="11">
        <f t="shared" si="5"/>
        <v>441894.28508348978</v>
      </c>
      <c r="W4" s="112">
        <f t="shared" si="5"/>
        <v>452177.42937920068</v>
      </c>
    </row>
    <row r="5" spans="1:23" x14ac:dyDescent="0.2">
      <c r="A5" s="46" t="s">
        <v>35</v>
      </c>
      <c r="B5" s="4">
        <f>B2*0.062</f>
        <v>3462.8875462035176</v>
      </c>
      <c r="C5" s="4">
        <f t="shared" ref="C5:L5" si="6">C2*0.062</f>
        <v>3462.8875462035176</v>
      </c>
      <c r="D5" s="4">
        <f t="shared" si="6"/>
        <v>3462.8875462035176</v>
      </c>
      <c r="E5" s="4">
        <f t="shared" si="6"/>
        <v>3462.8875462035176</v>
      </c>
      <c r="F5" s="4">
        <f t="shared" si="6"/>
        <v>3462.8875462035176</v>
      </c>
      <c r="G5" s="4">
        <f t="shared" si="6"/>
        <v>3462.8875462035176</v>
      </c>
      <c r="H5" s="4">
        <f t="shared" si="6"/>
        <v>3462.8875462035176</v>
      </c>
      <c r="I5" s="4">
        <f t="shared" si="6"/>
        <v>3462.8875462035176</v>
      </c>
      <c r="J5" s="4">
        <f t="shared" si="6"/>
        <v>3462.8875462035176</v>
      </c>
      <c r="K5" s="4">
        <f t="shared" si="6"/>
        <v>3462.8875462035176</v>
      </c>
      <c r="L5" s="4">
        <f t="shared" si="6"/>
        <v>3462.8875462035176</v>
      </c>
      <c r="M5" s="4"/>
      <c r="N5" s="113">
        <f>N4/(1.02^5)</f>
        <v>225095.09831856337</v>
      </c>
      <c r="O5" s="114">
        <f t="shared" ref="O5:W5" si="7">O4/(1.02^5)</f>
        <v>250318.14207657377</v>
      </c>
      <c r="P5" s="114">
        <f t="shared" si="7"/>
        <v>273575.91751075262</v>
      </c>
      <c r="Q5" s="114">
        <f t="shared" si="7"/>
        <v>296924.12075608061</v>
      </c>
      <c r="R5" s="114">
        <f t="shared" si="7"/>
        <v>320338.41339171113</v>
      </c>
      <c r="S5" s="114">
        <f t="shared" si="7"/>
        <v>343810.6090588884</v>
      </c>
      <c r="T5" s="114">
        <f t="shared" si="7"/>
        <v>367348.7744156543</v>
      </c>
      <c r="U5" s="114">
        <f t="shared" si="7"/>
        <v>386114.26211657369</v>
      </c>
      <c r="V5" s="114">
        <f t="shared" si="7"/>
        <v>400237.26868788095</v>
      </c>
      <c r="W5" s="115">
        <f t="shared" si="7"/>
        <v>409551.02929843304</v>
      </c>
    </row>
    <row r="6" spans="1:23" x14ac:dyDescent="0.2">
      <c r="A6" s="46" t="s">
        <v>36</v>
      </c>
      <c r="B6" s="4">
        <f>0.0145*B2</f>
        <v>809.86886161211305</v>
      </c>
      <c r="C6" s="4">
        <f t="shared" ref="C6:L6" si="8">0.0145*C2</f>
        <v>809.86886161211305</v>
      </c>
      <c r="D6" s="4">
        <f t="shared" si="8"/>
        <v>809.86886161211305</v>
      </c>
      <c r="E6" s="4">
        <f t="shared" si="8"/>
        <v>809.86886161211305</v>
      </c>
      <c r="F6" s="4">
        <f t="shared" si="8"/>
        <v>809.86886161211305</v>
      </c>
      <c r="G6" s="4">
        <f t="shared" si="8"/>
        <v>809.86886161211305</v>
      </c>
      <c r="H6" s="4">
        <f t="shared" si="8"/>
        <v>809.86886161211305</v>
      </c>
      <c r="I6" s="4">
        <f t="shared" si="8"/>
        <v>809.86886161211305</v>
      </c>
      <c r="J6" s="4">
        <f t="shared" si="8"/>
        <v>809.86886161211305</v>
      </c>
      <c r="K6" s="4">
        <f t="shared" si="8"/>
        <v>809.86886161211305</v>
      </c>
      <c r="L6" s="4">
        <f t="shared" si="8"/>
        <v>809.86886161211305</v>
      </c>
      <c r="M6" s="4"/>
      <c r="N6" s="116" t="s">
        <v>62</v>
      </c>
      <c r="O6" s="104"/>
      <c r="P6" s="104"/>
      <c r="Q6" s="104"/>
      <c r="R6" s="104"/>
      <c r="S6" s="104"/>
      <c r="T6" s="104"/>
      <c r="U6" s="104"/>
      <c r="V6" s="104"/>
      <c r="W6" s="105"/>
    </row>
    <row r="7" spans="1:23" x14ac:dyDescent="0.2">
      <c r="A7" s="47" t="s">
        <v>37</v>
      </c>
      <c r="B7" s="10">
        <f t="shared" ref="B7:L7" si="9">B2-(B3+B4+B5+B6)</f>
        <v>41077.68667279002</v>
      </c>
      <c r="C7" s="10">
        <f t="shared" si="9"/>
        <v>41077.68667279002</v>
      </c>
      <c r="D7" s="10">
        <f t="shared" si="9"/>
        <v>41077.68667279002</v>
      </c>
      <c r="E7" s="10">
        <f t="shared" si="9"/>
        <v>41077.68667279002</v>
      </c>
      <c r="F7" s="10">
        <f t="shared" si="9"/>
        <v>41077.68667279002</v>
      </c>
      <c r="G7" s="10">
        <f t="shared" si="9"/>
        <v>41077.68667279002</v>
      </c>
      <c r="H7" s="10">
        <f t="shared" si="9"/>
        <v>41077.68667279002</v>
      </c>
      <c r="I7" s="10">
        <f t="shared" si="9"/>
        <v>41077.68667279002</v>
      </c>
      <c r="J7" s="10">
        <f t="shared" si="9"/>
        <v>41077.68667279002</v>
      </c>
      <c r="K7" s="10">
        <f t="shared" si="9"/>
        <v>41077.68667279002</v>
      </c>
      <c r="L7" s="10">
        <f t="shared" si="9"/>
        <v>41077.68667279002</v>
      </c>
      <c r="M7" s="4"/>
      <c r="N7" s="117" t="s">
        <v>55</v>
      </c>
      <c r="O7" s="118" t="s">
        <v>56</v>
      </c>
      <c r="P7" s="118" t="s">
        <v>57</v>
      </c>
      <c r="Q7" s="118" t="s">
        <v>58</v>
      </c>
      <c r="R7" s="118" t="s">
        <v>60</v>
      </c>
      <c r="S7" s="118" t="s">
        <v>59</v>
      </c>
      <c r="T7" s="118" t="s">
        <v>61</v>
      </c>
      <c r="U7" s="118" t="s">
        <v>63</v>
      </c>
      <c r="V7" s="118" t="s">
        <v>65</v>
      </c>
      <c r="W7" s="119" t="s">
        <v>66</v>
      </c>
    </row>
    <row r="8" spans="1:23" x14ac:dyDescent="0.2">
      <c r="A8" s="47" t="s">
        <v>22</v>
      </c>
      <c r="B8" s="10">
        <f>B7/12</f>
        <v>3423.140556065835</v>
      </c>
      <c r="C8" s="10">
        <f t="shared" ref="C8:J8" si="10">C7/12</f>
        <v>3423.140556065835</v>
      </c>
      <c r="D8" s="10">
        <f t="shared" si="10"/>
        <v>3423.140556065835</v>
      </c>
      <c r="E8" s="10">
        <f t="shared" si="10"/>
        <v>3423.140556065835</v>
      </c>
      <c r="F8" s="10">
        <f t="shared" si="10"/>
        <v>3423.140556065835</v>
      </c>
      <c r="G8" s="10">
        <f t="shared" si="10"/>
        <v>3423.140556065835</v>
      </c>
      <c r="H8" s="10">
        <f t="shared" si="10"/>
        <v>3423.140556065835</v>
      </c>
      <c r="I8" s="10">
        <f t="shared" si="10"/>
        <v>3423.140556065835</v>
      </c>
      <c r="J8" s="10">
        <f t="shared" si="10"/>
        <v>3423.140556065835</v>
      </c>
      <c r="K8" s="10">
        <f t="shared" ref="K8" si="11">K7/12</f>
        <v>3423.140556065835</v>
      </c>
      <c r="L8" s="10">
        <f t="shared" ref="L8" si="12">L7/12</f>
        <v>3423.140556065835</v>
      </c>
      <c r="M8" s="4"/>
      <c r="N8" s="120">
        <f t="shared" ref="N8:V8" si="13">SUM(B27,B26,C25,C24,D23)</f>
        <v>235778.67724135902</v>
      </c>
      <c r="O8" s="4">
        <f t="shared" si="13"/>
        <v>272044.38199780066</v>
      </c>
      <c r="P8" s="4">
        <f t="shared" si="13"/>
        <v>300576.00797781558</v>
      </c>
      <c r="Q8" s="4">
        <f t="shared" si="13"/>
        <v>329218.56685823627</v>
      </c>
      <c r="R8" s="4">
        <f t="shared" si="13"/>
        <v>357942.20132435486</v>
      </c>
      <c r="S8" s="4">
        <f t="shared" si="13"/>
        <v>386736.8687077823</v>
      </c>
      <c r="T8" s="4">
        <f t="shared" si="13"/>
        <v>415612.46483328519</v>
      </c>
      <c r="U8" s="4">
        <f t="shared" si="13"/>
        <v>444449.21464592766</v>
      </c>
      <c r="V8" s="4">
        <f t="shared" si="13"/>
        <v>473426.60090747889</v>
      </c>
      <c r="W8" s="121">
        <f>SUM(K27,K26,L25,L24,L23)</f>
        <v>496543.80750102253</v>
      </c>
    </row>
    <row r="9" spans="1:23" s="5" customFormat="1" x14ac:dyDescent="0.2">
      <c r="A9" s="48" t="s">
        <v>29</v>
      </c>
      <c r="B9" s="5">
        <f>$B$33</f>
        <v>900</v>
      </c>
      <c r="C9" s="5">
        <f t="shared" ref="C9:D10" si="14">B9</f>
        <v>900</v>
      </c>
      <c r="D9" s="5">
        <f t="shared" si="14"/>
        <v>900</v>
      </c>
      <c r="E9" s="5">
        <f t="shared" ref="E9:L10" si="15">D9</f>
        <v>900</v>
      </c>
      <c r="F9" s="5">
        <f t="shared" si="15"/>
        <v>900</v>
      </c>
      <c r="G9" s="5">
        <f t="shared" si="15"/>
        <v>900</v>
      </c>
      <c r="H9" s="5">
        <f t="shared" si="15"/>
        <v>900</v>
      </c>
      <c r="I9" s="5">
        <f t="shared" si="15"/>
        <v>900</v>
      </c>
      <c r="J9" s="5">
        <f t="shared" si="15"/>
        <v>900</v>
      </c>
      <c r="K9" s="5">
        <f t="shared" si="15"/>
        <v>900</v>
      </c>
      <c r="L9" s="5">
        <f t="shared" si="15"/>
        <v>900</v>
      </c>
      <c r="N9" s="122">
        <f>N8*0.9</f>
        <v>212200.80951722313</v>
      </c>
      <c r="O9" s="123">
        <f t="shared" ref="O9" si="16">O8*0.9</f>
        <v>244839.9437980206</v>
      </c>
      <c r="P9" s="123">
        <f t="shared" ref="P9" si="17">P8*0.9</f>
        <v>270518.40718003403</v>
      </c>
      <c r="Q9" s="123">
        <f t="shared" ref="Q9" si="18">Q8*0.9</f>
        <v>296296.71017241263</v>
      </c>
      <c r="R9" s="123">
        <f t="shared" ref="R9" si="19">R8*0.9</f>
        <v>322147.98119191936</v>
      </c>
      <c r="S9" s="123">
        <f t="shared" ref="S9" si="20">S8*0.9</f>
        <v>348063.18183700409</v>
      </c>
      <c r="T9" s="123">
        <f t="shared" ref="T9" si="21">T8*0.9</f>
        <v>374051.21834995667</v>
      </c>
      <c r="U9" s="123">
        <f t="shared" ref="U9:W9" si="22">U8*0.9</f>
        <v>400004.29318133491</v>
      </c>
      <c r="V9" s="123">
        <f t="shared" si="22"/>
        <v>426083.94081673102</v>
      </c>
      <c r="W9" s="124">
        <f t="shared" si="22"/>
        <v>446889.42675092031</v>
      </c>
    </row>
    <row r="10" spans="1:23" s="5" customFormat="1" x14ac:dyDescent="0.2">
      <c r="A10" s="48" t="s">
        <v>286</v>
      </c>
      <c r="B10" s="5">
        <f>SUM(B34:B36)-$E$37</f>
        <v>1342.8740972222222</v>
      </c>
      <c r="C10" s="5">
        <f>B10</f>
        <v>1342.8740972222222</v>
      </c>
      <c r="D10" s="5">
        <f t="shared" si="14"/>
        <v>1342.8740972222222</v>
      </c>
      <c r="E10" s="5">
        <f t="shared" si="15"/>
        <v>1342.8740972222222</v>
      </c>
      <c r="F10" s="5">
        <f t="shared" si="15"/>
        <v>1342.8740972222222</v>
      </c>
      <c r="G10" s="5">
        <f t="shared" si="15"/>
        <v>1342.8740972222222</v>
      </c>
      <c r="H10" s="5">
        <f t="shared" si="15"/>
        <v>1342.8740972222222</v>
      </c>
      <c r="I10" s="5">
        <f t="shared" si="15"/>
        <v>1342.8740972222222</v>
      </c>
      <c r="J10" s="5">
        <f t="shared" si="15"/>
        <v>1342.8740972222222</v>
      </c>
      <c r="K10" s="5">
        <f t="shared" si="15"/>
        <v>1342.8740972222222</v>
      </c>
      <c r="L10" s="5">
        <f t="shared" si="15"/>
        <v>1342.8740972222222</v>
      </c>
      <c r="N10" s="113">
        <f>N9/(1.02^5)</f>
        <v>192196.81105059822</v>
      </c>
      <c r="O10" s="114">
        <f t="shared" ref="O10:W10" si="23">O9/(1.02^5)</f>
        <v>221759.08057489229</v>
      </c>
      <c r="P10" s="114">
        <f t="shared" si="23"/>
        <v>245016.85600907117</v>
      </c>
      <c r="Q10" s="114">
        <f t="shared" si="23"/>
        <v>268365.05925439915</v>
      </c>
      <c r="R10" s="114">
        <f t="shared" si="23"/>
        <v>291779.35189002962</v>
      </c>
      <c r="S10" s="114">
        <f t="shared" si="23"/>
        <v>315251.547557207</v>
      </c>
      <c r="T10" s="114">
        <f t="shared" si="23"/>
        <v>338789.71291397297</v>
      </c>
      <c r="U10" s="114">
        <f t="shared" si="23"/>
        <v>362296.21239857358</v>
      </c>
      <c r="V10" s="114">
        <f t="shared" si="23"/>
        <v>385917.35277145973</v>
      </c>
      <c r="W10" s="115">
        <f t="shared" si="23"/>
        <v>404761.52239553793</v>
      </c>
    </row>
    <row r="11" spans="1:23" x14ac:dyDescent="0.2">
      <c r="A11" s="49" t="s">
        <v>30</v>
      </c>
      <c r="B11" s="6">
        <v>600</v>
      </c>
      <c r="C11" s="6">
        <f>B11</f>
        <v>600</v>
      </c>
      <c r="D11" s="6">
        <f t="shared" ref="D11:L11" si="24">C11</f>
        <v>600</v>
      </c>
      <c r="E11" s="6">
        <f t="shared" si="24"/>
        <v>600</v>
      </c>
      <c r="F11" s="6">
        <f t="shared" si="24"/>
        <v>600</v>
      </c>
      <c r="G11" s="6">
        <f t="shared" si="24"/>
        <v>600</v>
      </c>
      <c r="H11" s="6">
        <f t="shared" si="24"/>
        <v>600</v>
      </c>
      <c r="I11" s="6">
        <f t="shared" si="24"/>
        <v>600</v>
      </c>
      <c r="J11" s="6">
        <f t="shared" si="24"/>
        <v>600</v>
      </c>
      <c r="K11" s="6">
        <f t="shared" si="24"/>
        <v>600</v>
      </c>
      <c r="L11" s="6">
        <f t="shared" si="24"/>
        <v>600</v>
      </c>
      <c r="M11" s="4"/>
      <c r="N11" s="116" t="s">
        <v>64</v>
      </c>
      <c r="O11" s="104"/>
      <c r="P11" s="104"/>
      <c r="Q11" s="104"/>
      <c r="R11" s="104"/>
      <c r="S11" s="104"/>
      <c r="T11" s="104"/>
      <c r="U11" s="104"/>
      <c r="V11" s="104"/>
      <c r="W11" s="105"/>
    </row>
    <row r="12" spans="1:23" s="6" customFormat="1" x14ac:dyDescent="0.2">
      <c r="A12" s="49" t="s">
        <v>38</v>
      </c>
      <c r="B12" s="6">
        <v>173</v>
      </c>
      <c r="C12" s="6">
        <f>B12</f>
        <v>173</v>
      </c>
      <c r="D12" s="6">
        <f t="shared" ref="D12:L12" si="25">C12</f>
        <v>173</v>
      </c>
      <c r="E12" s="6">
        <f t="shared" si="25"/>
        <v>173</v>
      </c>
      <c r="F12" s="6">
        <f t="shared" si="25"/>
        <v>173</v>
      </c>
      <c r="G12" s="6">
        <f t="shared" si="25"/>
        <v>173</v>
      </c>
      <c r="H12" s="6">
        <f t="shared" si="25"/>
        <v>173</v>
      </c>
      <c r="I12" s="6">
        <f t="shared" si="25"/>
        <v>173</v>
      </c>
      <c r="J12" s="6">
        <f t="shared" si="25"/>
        <v>173</v>
      </c>
      <c r="K12" s="6">
        <f t="shared" si="25"/>
        <v>173</v>
      </c>
      <c r="L12" s="6">
        <f t="shared" si="25"/>
        <v>173</v>
      </c>
      <c r="N12" s="117" t="s">
        <v>55</v>
      </c>
      <c r="O12" s="118" t="s">
        <v>56</v>
      </c>
      <c r="P12" s="118" t="s">
        <v>57</v>
      </c>
      <c r="Q12" s="118" t="s">
        <v>58</v>
      </c>
      <c r="R12" s="118" t="s">
        <v>60</v>
      </c>
      <c r="S12" s="118" t="s">
        <v>59</v>
      </c>
      <c r="T12" s="118" t="s">
        <v>61</v>
      </c>
      <c r="U12" s="118" t="s">
        <v>63</v>
      </c>
      <c r="V12" s="118" t="s">
        <v>65</v>
      </c>
      <c r="W12" s="119" t="s">
        <v>66</v>
      </c>
    </row>
    <row r="13" spans="1:23" s="6" customFormat="1" x14ac:dyDescent="0.2">
      <c r="A13" s="49" t="s">
        <v>31</v>
      </c>
      <c r="B13" s="6">
        <v>100</v>
      </c>
      <c r="C13" s="6">
        <f>B13</f>
        <v>100</v>
      </c>
      <c r="D13" s="6">
        <f t="shared" ref="D13:L13" si="26">C13</f>
        <v>100</v>
      </c>
      <c r="E13" s="6">
        <f t="shared" si="26"/>
        <v>100</v>
      </c>
      <c r="F13" s="6">
        <f t="shared" si="26"/>
        <v>100</v>
      </c>
      <c r="G13" s="6">
        <f t="shared" si="26"/>
        <v>100</v>
      </c>
      <c r="H13" s="6">
        <f t="shared" si="26"/>
        <v>100</v>
      </c>
      <c r="I13" s="6">
        <f t="shared" si="26"/>
        <v>100</v>
      </c>
      <c r="J13" s="6">
        <f t="shared" si="26"/>
        <v>100</v>
      </c>
      <c r="K13" s="6">
        <f t="shared" si="26"/>
        <v>100</v>
      </c>
      <c r="L13" s="6">
        <f t="shared" si="26"/>
        <v>100</v>
      </c>
      <c r="N13" s="120">
        <f t="shared" ref="N13:W13" si="27">SUM(B27,B26,B25,C24,C23)</f>
        <v>218956.32268797778</v>
      </c>
      <c r="O13" s="4">
        <f t="shared" si="27"/>
        <v>260372.65462208402</v>
      </c>
      <c r="P13" s="4">
        <f t="shared" si="27"/>
        <v>288904.28060209885</v>
      </c>
      <c r="Q13" s="4">
        <f t="shared" si="27"/>
        <v>317546.83948251954</v>
      </c>
      <c r="R13" s="4">
        <f t="shared" si="27"/>
        <v>346270.47394863825</v>
      </c>
      <c r="S13" s="4">
        <f t="shared" si="27"/>
        <v>375065.14133206569</v>
      </c>
      <c r="T13" s="4">
        <f t="shared" si="27"/>
        <v>403940.73745756847</v>
      </c>
      <c r="U13" s="4">
        <f t="shared" si="27"/>
        <v>432777.48727021099</v>
      </c>
      <c r="V13" s="4">
        <f t="shared" si="27"/>
        <v>461754.87353176216</v>
      </c>
      <c r="W13" s="121">
        <f t="shared" si="27"/>
        <v>490688.14690098085</v>
      </c>
    </row>
    <row r="14" spans="1:23" s="6" customFormat="1" x14ac:dyDescent="0.2">
      <c r="A14" s="50" t="s">
        <v>99</v>
      </c>
      <c r="B14" s="39">
        <f t="shared" ref="B14:L14" si="28">B15+B10</f>
        <v>2829.0551445019673</v>
      </c>
      <c r="C14" s="39">
        <f t="shared" si="28"/>
        <v>3245.7218111686334</v>
      </c>
      <c r="D14" s="39">
        <f t="shared" si="28"/>
        <v>3662.3884778353004</v>
      </c>
      <c r="E14" s="39">
        <f t="shared" si="28"/>
        <v>4079.0551445019669</v>
      </c>
      <c r="F14" s="39">
        <f t="shared" si="28"/>
        <v>4495.7218111686343</v>
      </c>
      <c r="G14" s="39">
        <f t="shared" si="28"/>
        <v>4912.3884778353004</v>
      </c>
      <c r="H14" s="39">
        <f t="shared" si="28"/>
        <v>5329.0551445019664</v>
      </c>
      <c r="I14" s="39">
        <f t="shared" si="28"/>
        <v>5745.7218111686343</v>
      </c>
      <c r="J14" s="39">
        <f t="shared" si="28"/>
        <v>6162.3884778353004</v>
      </c>
      <c r="K14" s="39">
        <f t="shared" si="28"/>
        <v>6579.0551445019673</v>
      </c>
      <c r="L14" s="39">
        <f t="shared" si="28"/>
        <v>6995.7218111686334</v>
      </c>
      <c r="N14" s="111">
        <f>N13*0.9</f>
        <v>197060.69041918</v>
      </c>
      <c r="O14" s="11">
        <f t="shared" ref="O14" si="29">O13*0.9</f>
        <v>234335.38915987563</v>
      </c>
      <c r="P14" s="11">
        <f t="shared" ref="P14" si="30">P13*0.9</f>
        <v>260013.85254188898</v>
      </c>
      <c r="Q14" s="11">
        <f t="shared" ref="Q14" si="31">Q13*0.9</f>
        <v>285792.1555342676</v>
      </c>
      <c r="R14" s="11">
        <f t="shared" ref="R14" si="32">R13*0.9</f>
        <v>311643.42655377445</v>
      </c>
      <c r="S14" s="11">
        <f t="shared" ref="S14" si="33">S13*0.9</f>
        <v>337558.62719885912</v>
      </c>
      <c r="T14" s="11">
        <f t="shared" ref="T14" si="34">T13*0.9</f>
        <v>363546.66371181165</v>
      </c>
      <c r="U14" s="11">
        <f t="shared" ref="U14" si="35">U13*0.9</f>
        <v>389499.73854318989</v>
      </c>
      <c r="V14" s="11">
        <f t="shared" ref="V14" si="36">V13*0.9</f>
        <v>415579.38617858593</v>
      </c>
      <c r="W14" s="112">
        <f t="shared" ref="W14" si="37">W13*0.9</f>
        <v>441619.3322108828</v>
      </c>
    </row>
    <row r="15" spans="1:23" s="6" customFormat="1" x14ac:dyDescent="0.2">
      <c r="A15" s="47" t="s">
        <v>32</v>
      </c>
      <c r="B15" s="10">
        <f t="shared" ref="B15:L15" si="38">(B8-(SUM(B9:B13)))+(B1-B2)/12</f>
        <v>1486.1810472797449</v>
      </c>
      <c r="C15" s="10">
        <f t="shared" si="38"/>
        <v>1902.8477139464114</v>
      </c>
      <c r="D15" s="10">
        <f t="shared" si="38"/>
        <v>2319.5143806130782</v>
      </c>
      <c r="E15" s="10">
        <f t="shared" si="38"/>
        <v>2736.1810472797447</v>
      </c>
      <c r="F15" s="10">
        <f t="shared" si="38"/>
        <v>3152.8477139464117</v>
      </c>
      <c r="G15" s="10">
        <f t="shared" si="38"/>
        <v>3569.5143806130782</v>
      </c>
      <c r="H15" s="10">
        <f t="shared" si="38"/>
        <v>3986.1810472797447</v>
      </c>
      <c r="I15" s="10">
        <f t="shared" si="38"/>
        <v>4402.8477139464121</v>
      </c>
      <c r="J15" s="10">
        <f t="shared" si="38"/>
        <v>4819.5143806130782</v>
      </c>
      <c r="K15" s="10">
        <f t="shared" si="38"/>
        <v>5236.1810472797451</v>
      </c>
      <c r="L15" s="10">
        <f t="shared" si="38"/>
        <v>5652.8477139464112</v>
      </c>
      <c r="N15" s="113">
        <f>N14/(1.02^5)</f>
        <v>178483.93871900626</v>
      </c>
      <c r="O15" s="114">
        <f t="shared" ref="O15:W15" si="39">O14/(1.02^5)</f>
        <v>212244.78179558265</v>
      </c>
      <c r="P15" s="114">
        <f t="shared" si="39"/>
        <v>235502.55722976144</v>
      </c>
      <c r="Q15" s="114">
        <f t="shared" si="39"/>
        <v>258850.76047508948</v>
      </c>
      <c r="R15" s="114">
        <f t="shared" si="39"/>
        <v>282265.05311072007</v>
      </c>
      <c r="S15" s="114">
        <f t="shared" si="39"/>
        <v>305737.24877789733</v>
      </c>
      <c r="T15" s="114">
        <f t="shared" si="39"/>
        <v>329275.41413466324</v>
      </c>
      <c r="U15" s="114">
        <f t="shared" si="39"/>
        <v>352781.91361926385</v>
      </c>
      <c r="V15" s="114">
        <f t="shared" si="39"/>
        <v>376403.05399215</v>
      </c>
      <c r="W15" s="115">
        <f t="shared" si="39"/>
        <v>399988.23539990955</v>
      </c>
    </row>
    <row r="16" spans="1:23" x14ac:dyDescent="0.2">
      <c r="A16" s="50" t="s">
        <v>100</v>
      </c>
      <c r="B16" s="40">
        <f>MIN(B14,1875)</f>
        <v>1875</v>
      </c>
      <c r="C16" s="40">
        <f t="shared" ref="C16:L16" si="40">MIN(C14,1875)</f>
        <v>1875</v>
      </c>
      <c r="D16" s="40">
        <f t="shared" si="40"/>
        <v>1875</v>
      </c>
      <c r="E16" s="40">
        <f t="shared" si="40"/>
        <v>1875</v>
      </c>
      <c r="F16" s="40">
        <f t="shared" si="40"/>
        <v>1875</v>
      </c>
      <c r="G16" s="40">
        <f t="shared" si="40"/>
        <v>1875</v>
      </c>
      <c r="H16" s="40">
        <f t="shared" si="40"/>
        <v>1875</v>
      </c>
      <c r="I16" s="40">
        <f t="shared" si="40"/>
        <v>1875</v>
      </c>
      <c r="J16" s="40">
        <f t="shared" si="40"/>
        <v>1875</v>
      </c>
      <c r="K16" s="40">
        <f t="shared" si="40"/>
        <v>1875</v>
      </c>
      <c r="L16" s="40">
        <f t="shared" si="40"/>
        <v>1875</v>
      </c>
      <c r="M16" s="4"/>
    </row>
    <row r="17" spans="1:20" x14ac:dyDescent="0.2">
      <c r="A17" s="47" t="s">
        <v>33</v>
      </c>
      <c r="B17" s="10">
        <f>MIN(B15,22500/12)</f>
        <v>1486.1810472797449</v>
      </c>
      <c r="C17" s="10">
        <f t="shared" ref="C17:L17" si="41">MIN(C15,22500/12)</f>
        <v>1875</v>
      </c>
      <c r="D17" s="10">
        <f t="shared" si="41"/>
        <v>1875</v>
      </c>
      <c r="E17" s="10">
        <f t="shared" si="41"/>
        <v>1875</v>
      </c>
      <c r="F17" s="10">
        <f t="shared" si="41"/>
        <v>1875</v>
      </c>
      <c r="G17" s="10">
        <f t="shared" si="41"/>
        <v>1875</v>
      </c>
      <c r="H17" s="10">
        <f t="shared" si="41"/>
        <v>1875</v>
      </c>
      <c r="I17" s="10">
        <f t="shared" si="41"/>
        <v>1875</v>
      </c>
      <c r="J17" s="10">
        <f t="shared" si="41"/>
        <v>1875</v>
      </c>
      <c r="K17" s="10">
        <f t="shared" si="41"/>
        <v>1875</v>
      </c>
      <c r="L17" s="10">
        <f t="shared" si="41"/>
        <v>1875</v>
      </c>
      <c r="M17" s="4"/>
    </row>
    <row r="18" spans="1:20" x14ac:dyDescent="0.2">
      <c r="A18" s="50" t="s">
        <v>101</v>
      </c>
      <c r="B18" s="40">
        <f>B14+B16</f>
        <v>4704.0551445019673</v>
      </c>
      <c r="C18" s="40">
        <f t="shared" ref="C18:L18" si="42">C14+C16</f>
        <v>5120.7218111686334</v>
      </c>
      <c r="D18" s="40">
        <f t="shared" si="42"/>
        <v>5537.3884778353004</v>
      </c>
      <c r="E18" s="40">
        <f t="shared" si="42"/>
        <v>5954.0551445019664</v>
      </c>
      <c r="F18" s="40">
        <f t="shared" si="42"/>
        <v>6370.7218111686343</v>
      </c>
      <c r="G18" s="40">
        <f t="shared" si="42"/>
        <v>6787.3884778353004</v>
      </c>
      <c r="H18" s="40">
        <f t="shared" si="42"/>
        <v>7204.0551445019664</v>
      </c>
      <c r="I18" s="40">
        <f t="shared" si="42"/>
        <v>7620.7218111686343</v>
      </c>
      <c r="J18" s="40">
        <f t="shared" si="42"/>
        <v>8037.3884778353004</v>
      </c>
      <c r="K18" s="40">
        <f t="shared" si="42"/>
        <v>8454.0551445019664</v>
      </c>
      <c r="L18" s="40">
        <f t="shared" si="42"/>
        <v>8870.7218111686343</v>
      </c>
      <c r="M18" s="4"/>
    </row>
    <row r="19" spans="1:20" x14ac:dyDescent="0.2">
      <c r="A19" s="51" t="s">
        <v>102</v>
      </c>
      <c r="B19" s="41">
        <f t="shared" ref="B19:L19" si="43">ROUND((($G$34)/0.9)/B18,2)</f>
        <v>6.38</v>
      </c>
      <c r="C19" s="41">
        <f t="shared" si="43"/>
        <v>5.86</v>
      </c>
      <c r="D19" s="41">
        <f t="shared" si="43"/>
        <v>5.42</v>
      </c>
      <c r="E19" s="41">
        <f t="shared" si="43"/>
        <v>5.04</v>
      </c>
      <c r="F19" s="41">
        <f t="shared" si="43"/>
        <v>4.71</v>
      </c>
      <c r="G19" s="41">
        <f t="shared" si="43"/>
        <v>4.42</v>
      </c>
      <c r="H19" s="41">
        <f t="shared" si="43"/>
        <v>4.16</v>
      </c>
      <c r="I19" s="41">
        <f t="shared" si="43"/>
        <v>3.94</v>
      </c>
      <c r="J19" s="41">
        <f t="shared" si="43"/>
        <v>3.73</v>
      </c>
      <c r="K19" s="41">
        <f t="shared" si="43"/>
        <v>3.55</v>
      </c>
      <c r="L19" s="41">
        <f t="shared" si="43"/>
        <v>3.38</v>
      </c>
      <c r="M19" s="4"/>
    </row>
    <row r="20" spans="1:20" x14ac:dyDescent="0.2">
      <c r="A20" s="47" t="s">
        <v>39</v>
      </c>
      <c r="B20" s="10">
        <f>B15+B17</f>
        <v>2972.3620945594898</v>
      </c>
      <c r="C20" s="10">
        <f t="shared" ref="C20:J20" si="44">C15+C17</f>
        <v>3777.8477139464112</v>
      </c>
      <c r="D20" s="10">
        <f t="shared" si="44"/>
        <v>4194.5143806130782</v>
      </c>
      <c r="E20" s="10">
        <f t="shared" si="44"/>
        <v>4611.1810472797442</v>
      </c>
      <c r="F20" s="10">
        <f t="shared" si="44"/>
        <v>5027.8477139464121</v>
      </c>
      <c r="G20" s="10">
        <f t="shared" si="44"/>
        <v>5444.5143806130782</v>
      </c>
      <c r="H20" s="10">
        <f t="shared" si="44"/>
        <v>5861.1810472797442</v>
      </c>
      <c r="I20" s="10">
        <f t="shared" si="44"/>
        <v>6277.8477139464121</v>
      </c>
      <c r="J20" s="10">
        <f t="shared" si="44"/>
        <v>6694.5143806130782</v>
      </c>
      <c r="K20" s="10">
        <f t="shared" ref="K20" si="45">K15+K17</f>
        <v>7111.1810472797451</v>
      </c>
      <c r="L20" s="10">
        <f t="shared" ref="L20" si="46">L15+L17</f>
        <v>7527.8477139464112</v>
      </c>
      <c r="M20" s="4"/>
    </row>
    <row r="21" spans="1:20" x14ac:dyDescent="0.2">
      <c r="A21" s="46"/>
      <c r="B21" s="4"/>
      <c r="C21" s="4"/>
      <c r="D21" s="4"/>
      <c r="E21" s="4"/>
      <c r="F21" s="4"/>
      <c r="G21" s="4"/>
      <c r="H21" s="4"/>
      <c r="I21" s="4"/>
      <c r="J21" s="4"/>
      <c r="M21" s="4"/>
    </row>
    <row r="22" spans="1:20" x14ac:dyDescent="0.2">
      <c r="A22" s="52" t="s">
        <v>142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20" s="4" customFormat="1" x14ac:dyDescent="0.2">
      <c r="A23" s="48">
        <v>1</v>
      </c>
      <c r="B23" s="4">
        <f t="shared" ref="B23:L26" si="47">(12*B$20+B$1*(1.03^(5-$A23)-1))*(1.06*0.975)^$A23</f>
        <v>45943.169556176785</v>
      </c>
      <c r="C23" s="4">
        <f t="shared" si="47"/>
        <v>56581.368983488384</v>
      </c>
      <c r="D23" s="4">
        <f t="shared" si="47"/>
        <v>62397.435759163396</v>
      </c>
      <c r="E23" s="4">
        <f t="shared" si="47"/>
        <v>68213.502534838379</v>
      </c>
      <c r="F23" s="4">
        <f t="shared" si="47"/>
        <v>74029.569310513398</v>
      </c>
      <c r="G23" s="4">
        <f t="shared" si="47"/>
        <v>79845.636086188388</v>
      </c>
      <c r="H23" s="4">
        <f t="shared" si="47"/>
        <v>85661.702861863392</v>
      </c>
      <c r="I23" s="4">
        <f t="shared" si="47"/>
        <v>91477.769637538397</v>
      </c>
      <c r="J23" s="4">
        <f t="shared" si="47"/>
        <v>97293.836413213387</v>
      </c>
      <c r="K23" s="4">
        <f t="shared" si="47"/>
        <v>103109.90318888839</v>
      </c>
      <c r="L23" s="4">
        <f t="shared" si="47"/>
        <v>108925.9699645634</v>
      </c>
    </row>
    <row r="24" spans="1:20" s="4" customFormat="1" x14ac:dyDescent="0.2">
      <c r="A24" s="48">
        <v>2</v>
      </c>
      <c r="B24" s="4">
        <f t="shared" si="47"/>
        <v>45031.217090369646</v>
      </c>
      <c r="C24" s="4">
        <f t="shared" si="47"/>
        <v>55850.721295214826</v>
      </c>
      <c r="D24" s="4">
        <f t="shared" si="47"/>
        <v>61686.551404593578</v>
      </c>
      <c r="E24" s="4">
        <f t="shared" si="47"/>
        <v>67522.38151397233</v>
      </c>
      <c r="F24" s="4">
        <f t="shared" si="47"/>
        <v>73358.211623351104</v>
      </c>
      <c r="G24" s="4">
        <f t="shared" si="47"/>
        <v>79194.041732729835</v>
      </c>
      <c r="H24" s="4">
        <f t="shared" si="47"/>
        <v>85029.87184210858</v>
      </c>
      <c r="I24" s="4">
        <f t="shared" si="47"/>
        <v>90865.701951487354</v>
      </c>
      <c r="J24" s="4">
        <f t="shared" si="47"/>
        <v>96701.532060866084</v>
      </c>
      <c r="K24" s="4">
        <f t="shared" si="47"/>
        <v>102537.36217024484</v>
      </c>
      <c r="L24" s="4">
        <f t="shared" si="47"/>
        <v>108373.19227962359</v>
      </c>
      <c r="N24" s="15"/>
      <c r="O24" s="15"/>
      <c r="P24" s="15"/>
      <c r="Q24" s="15"/>
      <c r="R24" s="15"/>
      <c r="S24" s="15"/>
      <c r="T24" s="15"/>
    </row>
    <row r="25" spans="1:20" s="4" customFormat="1" x14ac:dyDescent="0.2">
      <c r="A25" s="48">
        <v>3</v>
      </c>
      <c r="B25" s="4">
        <f t="shared" si="47"/>
        <v>44080.385410879528</v>
      </c>
      <c r="C25" s="4">
        <f t="shared" si="47"/>
        <v>55086.673188585766</v>
      </c>
      <c r="D25" s="4">
        <f t="shared" si="47"/>
        <v>60942.333788627453</v>
      </c>
      <c r="E25" s="4">
        <f t="shared" si="47"/>
        <v>66797.994388669147</v>
      </c>
      <c r="F25" s="4">
        <f t="shared" si="47"/>
        <v>72653.654988710856</v>
      </c>
      <c r="G25" s="4">
        <f t="shared" si="47"/>
        <v>78509.315588752521</v>
      </c>
      <c r="H25" s="4">
        <f t="shared" si="47"/>
        <v>84364.976188794215</v>
      </c>
      <c r="I25" s="4">
        <f t="shared" si="47"/>
        <v>90220.636788835924</v>
      </c>
      <c r="J25" s="4">
        <f t="shared" si="47"/>
        <v>96076.297388877589</v>
      </c>
      <c r="K25" s="4">
        <f t="shared" si="47"/>
        <v>101931.9579889193</v>
      </c>
      <c r="L25" s="4">
        <f t="shared" si="47"/>
        <v>107787.61858896098</v>
      </c>
    </row>
    <row r="26" spans="1:20" s="4" customFormat="1" x14ac:dyDescent="0.2">
      <c r="A26" s="48">
        <v>4</v>
      </c>
      <c r="B26" s="4">
        <f t="shared" si="47"/>
        <v>43089.34376227983</v>
      </c>
      <c r="C26" s="4">
        <f t="shared" si="47"/>
        <v>54288.075426263218</v>
      </c>
      <c r="D26" s="4">
        <f t="shared" si="47"/>
        <v>60163.633902130299</v>
      </c>
      <c r="E26" s="4">
        <f t="shared" si="47"/>
        <v>66039.192377997373</v>
      </c>
      <c r="F26" s="4">
        <f t="shared" si="47"/>
        <v>71914.750853864462</v>
      </c>
      <c r="G26" s="4">
        <f t="shared" si="47"/>
        <v>77790.309329731535</v>
      </c>
      <c r="H26" s="4">
        <f t="shared" si="47"/>
        <v>83665.867805598595</v>
      </c>
      <c r="I26" s="4">
        <f t="shared" si="47"/>
        <v>89541.426281465683</v>
      </c>
      <c r="J26" s="4">
        <f t="shared" si="47"/>
        <v>95416.984757332742</v>
      </c>
      <c r="K26" s="4">
        <f t="shared" si="47"/>
        <v>101292.54323319983</v>
      </c>
      <c r="L26" s="4">
        <f t="shared" si="47"/>
        <v>107168.10170906689</v>
      </c>
    </row>
    <row r="27" spans="1:20" s="4" customFormat="1" x14ac:dyDescent="0.2">
      <c r="A27" s="48">
        <v>5</v>
      </c>
      <c r="B27" s="4">
        <f t="shared" ref="B27:L27" si="48">((12-B19)*B$20+B$1*(1.03^(5-$A27)-1))*(1.06*0.975)^($A27-B19/12)</f>
        <v>19354.503236115193</v>
      </c>
      <c r="C27" s="4">
        <f t="shared" si="48"/>
        <v>26913.918843478063</v>
      </c>
      <c r="D27" s="4">
        <f t="shared" si="48"/>
        <v>32062.428862530396</v>
      </c>
      <c r="E27" s="4">
        <f t="shared" si="48"/>
        <v>37321.871781988542</v>
      </c>
      <c r="F27" s="4">
        <f t="shared" si="48"/>
        <v>42662.390287144706</v>
      </c>
      <c r="G27" s="4">
        <f t="shared" si="48"/>
        <v>48073.941709609586</v>
      </c>
      <c r="H27" s="4">
        <f t="shared" si="48"/>
        <v>53566.421874149906</v>
      </c>
      <c r="I27" s="4">
        <f t="shared" si="48"/>
        <v>59020.055725829916</v>
      </c>
      <c r="J27" s="4">
        <f t="shared" si="48"/>
        <v>64614.326026418588</v>
      </c>
      <c r="K27" s="4">
        <f t="shared" si="48"/>
        <v>70164.483434674781</v>
      </c>
      <c r="L27" s="4">
        <f t="shared" si="48"/>
        <v>75805.324301694462</v>
      </c>
    </row>
    <row r="28" spans="1:20" s="4" customFormat="1" x14ac:dyDescent="0.2">
      <c r="A28" s="53" t="s">
        <v>41</v>
      </c>
      <c r="B28" s="7">
        <f t="shared" ref="B28:L28" si="49">SUM(B23:B27)</f>
        <v>197498.61905582098</v>
      </c>
      <c r="C28" s="7">
        <f t="shared" si="49"/>
        <v>248720.75773703025</v>
      </c>
      <c r="D28" s="7">
        <f t="shared" si="49"/>
        <v>277252.38371704513</v>
      </c>
      <c r="E28" s="7">
        <f t="shared" si="49"/>
        <v>305894.94259746576</v>
      </c>
      <c r="F28" s="7">
        <f t="shared" si="49"/>
        <v>334618.57706358453</v>
      </c>
      <c r="G28" s="7">
        <f t="shared" si="49"/>
        <v>363413.24444701185</v>
      </c>
      <c r="H28" s="7">
        <f t="shared" si="49"/>
        <v>392288.84057251469</v>
      </c>
      <c r="I28" s="7">
        <f t="shared" si="49"/>
        <v>421125.59038515727</v>
      </c>
      <c r="J28" s="7">
        <f t="shared" si="49"/>
        <v>450102.97664670844</v>
      </c>
      <c r="K28" s="7">
        <f t="shared" si="49"/>
        <v>479036.25001592713</v>
      </c>
      <c r="L28" s="7">
        <f t="shared" si="49"/>
        <v>508060.20684390928</v>
      </c>
    </row>
    <row r="29" spans="1:20" s="7" customFormat="1" x14ac:dyDescent="0.2">
      <c r="A29" s="47" t="s">
        <v>48</v>
      </c>
      <c r="B29" s="11">
        <f>B28*0.9</f>
        <v>177748.75715023887</v>
      </c>
      <c r="C29" s="11">
        <f t="shared" ref="C29:L29" si="50">C28*0.9</f>
        <v>223848.68196332722</v>
      </c>
      <c r="D29" s="11">
        <f t="shared" si="50"/>
        <v>249527.14534534063</v>
      </c>
      <c r="E29" s="11">
        <f t="shared" si="50"/>
        <v>275305.44833771919</v>
      </c>
      <c r="F29" s="11">
        <f t="shared" si="50"/>
        <v>301156.7193572261</v>
      </c>
      <c r="G29" s="11">
        <f t="shared" si="50"/>
        <v>327071.92000231065</v>
      </c>
      <c r="H29" s="11">
        <f t="shared" si="50"/>
        <v>353059.95651526324</v>
      </c>
      <c r="I29" s="11">
        <f t="shared" si="50"/>
        <v>379013.03134664154</v>
      </c>
      <c r="J29" s="11">
        <f t="shared" si="50"/>
        <v>405092.67898203759</v>
      </c>
      <c r="K29" s="11">
        <f t="shared" si="50"/>
        <v>431132.62501433445</v>
      </c>
      <c r="L29" s="11">
        <f t="shared" si="50"/>
        <v>457254.18615951837</v>
      </c>
    </row>
    <row r="30" spans="1:20" x14ac:dyDescent="0.2">
      <c r="A30" s="100" t="s">
        <v>146</v>
      </c>
      <c r="B30" s="101">
        <f>B29/(1.02^5)</f>
        <v>160992.5257599469</v>
      </c>
      <c r="C30" s="101">
        <f t="shared" ref="C30:L30" si="51">C29/(1.02^5)</f>
        <v>202746.64799400367</v>
      </c>
      <c r="D30" s="101">
        <f t="shared" si="51"/>
        <v>226004.42342818249</v>
      </c>
      <c r="E30" s="101">
        <f t="shared" si="51"/>
        <v>249352.62667351047</v>
      </c>
      <c r="F30" s="101">
        <f t="shared" si="51"/>
        <v>272766.91930914111</v>
      </c>
      <c r="G30" s="101">
        <f t="shared" si="51"/>
        <v>296239.11497631832</v>
      </c>
      <c r="H30" s="101">
        <f t="shared" si="51"/>
        <v>319777.28033308429</v>
      </c>
      <c r="I30" s="101">
        <f t="shared" si="51"/>
        <v>343283.77981768496</v>
      </c>
      <c r="J30" s="101">
        <f t="shared" si="51"/>
        <v>366904.92019057105</v>
      </c>
      <c r="K30" s="101">
        <f t="shared" si="51"/>
        <v>390490.1015983306</v>
      </c>
      <c r="L30" s="101">
        <f t="shared" si="51"/>
        <v>414149.20432837971</v>
      </c>
      <c r="M30" s="7"/>
      <c r="N30" s="7"/>
      <c r="O30" s="7"/>
      <c r="P30" s="7"/>
      <c r="Q30" s="7"/>
      <c r="R30" s="7"/>
      <c r="S30" s="7"/>
      <c r="T30" s="7"/>
    </row>
    <row r="32" spans="1:20" x14ac:dyDescent="0.2">
      <c r="A32" s="46"/>
    </row>
    <row r="33" spans="1:23" ht="17" thickBot="1" x14ac:dyDescent="0.25">
      <c r="A33" s="48" t="s">
        <v>29</v>
      </c>
      <c r="B33" s="13">
        <v>900</v>
      </c>
      <c r="D33" s="15"/>
      <c r="E33" s="4"/>
      <c r="H33" s="4"/>
      <c r="I33" s="4"/>
      <c r="J33" s="4"/>
    </row>
    <row r="34" spans="1:23" ht="17" thickBot="1" x14ac:dyDescent="0.25">
      <c r="A34" s="48" t="s">
        <v>285</v>
      </c>
      <c r="B34" s="13">
        <v>1342.8740972222222</v>
      </c>
      <c r="C34" s="46"/>
      <c r="D34" s="42" t="s">
        <v>260</v>
      </c>
      <c r="E34" s="60" t="s">
        <v>209</v>
      </c>
      <c r="F34" s="311" t="s">
        <v>19</v>
      </c>
      <c r="G34" s="312">
        <v>27000</v>
      </c>
      <c r="H34" s="15"/>
      <c r="I34" s="15"/>
      <c r="J34" s="15"/>
      <c r="N34" s="16"/>
      <c r="O34" s="16"/>
      <c r="P34" s="16"/>
      <c r="Q34" s="16"/>
      <c r="R34" s="16"/>
      <c r="S34" s="16"/>
      <c r="T34" s="16"/>
      <c r="U34" s="16"/>
    </row>
    <row r="35" spans="1:23" x14ac:dyDescent="0.2">
      <c r="A35" s="46" t="s">
        <v>261</v>
      </c>
      <c r="B35" s="5">
        <v>0</v>
      </c>
      <c r="D35" s="42" t="s">
        <v>261</v>
      </c>
      <c r="E35" s="310"/>
      <c r="F35" s="7"/>
      <c r="G35" s="53"/>
      <c r="H35" s="2"/>
      <c r="I35" s="7"/>
      <c r="J35" s="7"/>
      <c r="N35" s="17"/>
      <c r="O35" s="17"/>
      <c r="P35" s="17"/>
      <c r="Q35" s="17"/>
      <c r="R35" s="17"/>
      <c r="S35" s="17"/>
      <c r="T35" s="17"/>
      <c r="U35" s="17"/>
    </row>
    <row r="36" spans="1:23" ht="17" thickBot="1" x14ac:dyDescent="0.25">
      <c r="A36" s="46" t="s">
        <v>262</v>
      </c>
      <c r="B36" s="5">
        <v>0</v>
      </c>
      <c r="D36" s="130" t="s">
        <v>262</v>
      </c>
      <c r="E36" s="387"/>
    </row>
    <row r="37" spans="1:23" ht="17" thickBot="1" x14ac:dyDescent="0.25">
      <c r="A37" s="49" t="s">
        <v>30</v>
      </c>
      <c r="B37" s="14">
        <v>1000</v>
      </c>
      <c r="D37" s="388" t="s">
        <v>300</v>
      </c>
      <c r="E37" s="400">
        <f>0*(120/23)*3.75*4</f>
        <v>0</v>
      </c>
    </row>
    <row r="38" spans="1:23" x14ac:dyDescent="0.2">
      <c r="A38" s="49" t="s">
        <v>38</v>
      </c>
      <c r="B38" s="14">
        <v>173</v>
      </c>
      <c r="D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2">
      <c r="A39" s="49" t="s">
        <v>31</v>
      </c>
      <c r="B39" s="14">
        <v>100</v>
      </c>
      <c r="D39" s="16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">
      <c r="A40" s="49" t="s">
        <v>41</v>
      </c>
      <c r="B40" s="5">
        <f>SUM(B33:B39)</f>
        <v>3515.8740972222222</v>
      </c>
      <c r="D40" s="16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49" t="s">
        <v>51</v>
      </c>
      <c r="B41" s="19">
        <f>B40*12</f>
        <v>42190.489166666666</v>
      </c>
      <c r="D41" s="16"/>
    </row>
    <row r="42" spans="1:23" x14ac:dyDescent="0.2">
      <c r="A42" s="49" t="s">
        <v>53</v>
      </c>
      <c r="B42" s="19">
        <f>(B41-384.5)/0.7485</f>
        <v>55853.024938766415</v>
      </c>
      <c r="C42" s="5"/>
      <c r="D42" s="16"/>
      <c r="E42" s="5"/>
      <c r="F42" s="5"/>
      <c r="G42" s="5"/>
      <c r="H42" s="5"/>
      <c r="I42" s="5"/>
      <c r="J42" s="5"/>
      <c r="K42" s="5"/>
      <c r="L42" s="5"/>
      <c r="M42" s="5"/>
    </row>
    <row r="43" spans="1:23" x14ac:dyDescent="0.2">
      <c r="A43" s="6"/>
      <c r="D43" s="15"/>
    </row>
  </sheetData>
  <phoneticPr fontId="6" type="noConversion"/>
  <pageMargins left="0.7" right="0.7" top="0.75" bottom="0.75" header="0.3" footer="0.3"/>
  <pageSetup orientation="portrait" horizontalDpi="0" verticalDpi="0"/>
  <ignoredErrors>
    <ignoredError sqref="B10" formulaRange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9AA6F73-F4D7-D44B-94D3-3A114F342972}">
          <x14:formula1>
            <xm:f>'Car Payments'!$A$2:$A$14</xm:f>
          </x14:formula1>
          <xm:sqref>E34</xm:sqref>
        </x14:dataValidation>
        <x14:dataValidation type="list" allowBlank="1" showInputMessage="1" showErrorMessage="1" xr:uid="{ADE18EC3-902C-0044-92C8-B0813D97E0FC}">
          <x14:formula1>
            <xm:f>Cars!$P$2:$P$27</xm:f>
          </x14:formula1>
          <xm:sqref>H34</xm:sqref>
        </x14:dataValidation>
        <x14:dataValidation type="list" allowBlank="1" showInputMessage="1" showErrorMessage="1" xr:uid="{D0DC1FC3-E2EB-1D47-9593-B9606C965805}">
          <x14:formula1>
            <xm:f>'Car Payments'!$K$2:$K$14</xm:f>
          </x14:formula1>
          <xm:sqref>B34</xm:sqref>
        </x14:dataValidation>
        <x14:dataValidation type="list" allowBlank="1" showInputMessage="1" showErrorMessage="1" xr:uid="{94670429-A439-534F-97B0-79A6911199EC}">
          <x14:formula1>
            <xm:f>'Car Payments'!$K$2:$K$15</xm:f>
          </x14:formula1>
          <xm:sqref>B35:B36</xm:sqref>
        </x14:dataValidation>
        <x14:dataValidation type="list" allowBlank="1" showInputMessage="1" showErrorMessage="1" xr:uid="{58E9E564-A44C-6540-9613-BA38F5EEF987}">
          <x14:formula1>
            <xm:f>'Car Payments'!$A$2:$A$15</xm:f>
          </x14:formula1>
          <xm:sqref>E35:E36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B7BE-485D-C645-A394-A019D69056AB}">
  <dimension ref="A1:AP61"/>
  <sheetViews>
    <sheetView zoomScaleNormal="100" workbookViewId="0">
      <selection activeCell="F4" sqref="F4"/>
    </sheetView>
  </sheetViews>
  <sheetFormatPr baseColWidth="10" defaultRowHeight="16" x14ac:dyDescent="0.2"/>
  <cols>
    <col min="1" max="1" width="26" style="6" bestFit="1" customWidth="1"/>
    <col min="2" max="2" width="10.1640625" style="5" bestFit="1" customWidth="1"/>
    <col min="3" max="3" width="10.6640625" style="5" bestFit="1" customWidth="1"/>
    <col min="4" max="4" width="10.1640625" style="5" bestFit="1" customWidth="1"/>
    <col min="5" max="5" width="12.6640625" style="5" bestFit="1" customWidth="1"/>
    <col min="6" max="14" width="10.1640625" style="5" bestFit="1" customWidth="1"/>
    <col min="15" max="15" width="10.83203125" style="5"/>
    <col min="16" max="16" width="12" style="5" bestFit="1" customWidth="1"/>
    <col min="17" max="18" width="7.6640625" style="5" bestFit="1" customWidth="1"/>
    <col min="19" max="28" width="9.1640625" style="5" bestFit="1" customWidth="1"/>
    <col min="29" max="29" width="10.83203125" style="5"/>
    <col min="30" max="30" width="15.1640625" style="5" bestFit="1" customWidth="1"/>
    <col min="31" max="42" width="9.1640625" style="5" bestFit="1" customWidth="1"/>
    <col min="43" max="16384" width="10.83203125" style="5"/>
  </cols>
  <sheetData>
    <row r="1" spans="1:42" x14ac:dyDescent="0.2">
      <c r="A1" s="72" t="s">
        <v>20</v>
      </c>
      <c r="B1" s="73">
        <v>1.33</v>
      </c>
      <c r="C1" s="174" t="s">
        <v>96</v>
      </c>
      <c r="D1" s="175">
        <v>85000</v>
      </c>
      <c r="E1" s="174" t="s">
        <v>97</v>
      </c>
      <c r="F1" s="175">
        <f>(1.03^4)*(IF(D1 = Finances!B1, 80000, IF(D1 = Finances!C1, 85000, IF(D1 =Finances!D1,90000, IF(D1 = Finances!E1,95000, IF(D1=Finances!F1,100000, IF(D1=Finances!G1,105000, IF(D1 = Finances!H1,110000,IF(D1=Finances!I1,115000,120000)))))))))</f>
        <v>106923.33695</v>
      </c>
      <c r="G1" s="36">
        <f>F1/36</f>
        <v>2970.0926930555556</v>
      </c>
      <c r="H1" s="179">
        <f>0.4*F1/12</f>
        <v>3564.1112316666672</v>
      </c>
    </row>
    <row r="2" spans="1:42" x14ac:dyDescent="0.2">
      <c r="A2" s="72" t="s">
        <v>193</v>
      </c>
      <c r="B2" s="196">
        <v>1.4999999999999999E-2</v>
      </c>
      <c r="C2" s="174"/>
      <c r="D2" s="180"/>
      <c r="E2" s="180"/>
      <c r="F2" s="175"/>
    </row>
    <row r="3" spans="1:42" x14ac:dyDescent="0.2">
      <c r="A3" s="72" t="s">
        <v>192</v>
      </c>
      <c r="B3" s="180">
        <v>120</v>
      </c>
      <c r="C3" s="36">
        <v>120</v>
      </c>
      <c r="D3" s="71">
        <v>180</v>
      </c>
      <c r="E3" s="71">
        <v>240</v>
      </c>
      <c r="F3" s="37">
        <v>360</v>
      </c>
    </row>
    <row r="4" spans="1:42" x14ac:dyDescent="0.2">
      <c r="A4" s="38" t="s">
        <v>144</v>
      </c>
      <c r="B4" s="74">
        <f>((1+B1/1200)^$B3)-1</f>
        <v>0.14216587499884881</v>
      </c>
      <c r="C4" s="176" t="s">
        <v>98</v>
      </c>
      <c r="D4" s="177">
        <f>IF(D1 = Finances!B1, Finances!N8-100000, IF(D1 = Finances!C1, Finances!O8-100000, IF(D1 =Finances!D1,Finances!P8-100000, IF(D1 = Finances!E1,Finances!Q8-100000, IF(D1=Finances!F1,Finances!R8-100000, IF(D1=Finances!G1,Finances!S8-100000, IF(D1 = Finances!H1,Finances!T8-100000,IF(D1 = Finances!I1,Finances!U8-100000, IF(D1 = Finances!J1,Finances!V8-100000, IF(D1 = Finances!K1,Finances!W8-100000,Finances!L29))))))))))</f>
        <v>229218.56685823627</v>
      </c>
      <c r="E4" s="178" t="s">
        <v>19</v>
      </c>
      <c r="F4" s="177">
        <f>D4-80000-20000</f>
        <v>129218.56685823627</v>
      </c>
    </row>
    <row r="5" spans="1:42" x14ac:dyDescent="0.2">
      <c r="A5" s="6" t="s">
        <v>158</v>
      </c>
      <c r="B5" s="20">
        <f>$F4/B6</f>
        <v>0.32304641714559068</v>
      </c>
      <c r="C5" s="20">
        <f t="shared" ref="C5:N5" si="0">$F4/C6</f>
        <v>0.28715237079608058</v>
      </c>
      <c r="D5" s="20">
        <f t="shared" si="0"/>
        <v>0.25843713371647253</v>
      </c>
      <c r="E5" s="20">
        <f t="shared" si="0"/>
        <v>0.23494284883315686</v>
      </c>
      <c r="F5" s="20">
        <f t="shared" si="0"/>
        <v>0.21536427809706046</v>
      </c>
      <c r="G5" s="20">
        <f t="shared" si="0"/>
        <v>0.19879779516651733</v>
      </c>
      <c r="H5" s="20">
        <f t="shared" si="0"/>
        <v>0.18459795265462325</v>
      </c>
      <c r="I5" s="20">
        <f t="shared" si="0"/>
        <v>0.17229142247764836</v>
      </c>
      <c r="J5" s="20">
        <f t="shared" si="0"/>
        <v>0.16152320857279534</v>
      </c>
      <c r="K5" s="20">
        <f t="shared" si="0"/>
        <v>0.15202184336263092</v>
      </c>
      <c r="L5" s="20">
        <f t="shared" si="0"/>
        <v>0.14357618539804029</v>
      </c>
      <c r="M5" s="20">
        <f t="shared" si="0"/>
        <v>0.13601954406130135</v>
      </c>
      <c r="N5" s="20">
        <f t="shared" si="0"/>
        <v>0.12921856685823627</v>
      </c>
    </row>
    <row r="6" spans="1:42" x14ac:dyDescent="0.2">
      <c r="A6" s="6" t="s">
        <v>42</v>
      </c>
      <c r="B6" s="5">
        <v>400000</v>
      </c>
      <c r="C6" s="5">
        <v>450000</v>
      </c>
      <c r="D6" s="5">
        <v>500000</v>
      </c>
      <c r="E6" s="5">
        <v>550000</v>
      </c>
      <c r="F6" s="5">
        <v>600000</v>
      </c>
      <c r="G6" s="5">
        <v>650000</v>
      </c>
      <c r="H6" s="5">
        <v>700000</v>
      </c>
      <c r="I6" s="5">
        <v>750000</v>
      </c>
      <c r="J6" s="5">
        <v>800000</v>
      </c>
      <c r="K6" s="5">
        <v>850000</v>
      </c>
      <c r="L6" s="5">
        <v>900000</v>
      </c>
      <c r="M6" s="5">
        <v>950000</v>
      </c>
      <c r="N6" s="5">
        <v>1000000</v>
      </c>
      <c r="P6" s="5">
        <v>400000</v>
      </c>
      <c r="Q6" s="5">
        <v>450000</v>
      </c>
      <c r="R6" s="5">
        <v>500000</v>
      </c>
      <c r="S6" s="5">
        <v>550000</v>
      </c>
      <c r="T6" s="5">
        <v>600000</v>
      </c>
      <c r="U6" s="5">
        <v>650000</v>
      </c>
      <c r="V6" s="5">
        <v>700000</v>
      </c>
      <c r="W6" s="5">
        <v>750000</v>
      </c>
      <c r="X6" s="5">
        <v>800000</v>
      </c>
      <c r="Y6" s="5">
        <v>850000</v>
      </c>
      <c r="Z6" s="5">
        <v>900000</v>
      </c>
      <c r="AA6" s="5">
        <v>950000</v>
      </c>
      <c r="AB6" s="5">
        <v>1000000</v>
      </c>
      <c r="AD6" s="5">
        <v>400000</v>
      </c>
      <c r="AE6" s="5">
        <v>450000</v>
      </c>
      <c r="AF6" s="5">
        <v>500000</v>
      </c>
      <c r="AG6" s="5">
        <v>550000</v>
      </c>
      <c r="AH6" s="5">
        <v>600000</v>
      </c>
      <c r="AI6" s="5">
        <v>650000</v>
      </c>
      <c r="AJ6" s="5">
        <v>700000</v>
      </c>
      <c r="AK6" s="5">
        <v>750000</v>
      </c>
      <c r="AL6" s="5">
        <v>800000</v>
      </c>
      <c r="AM6" s="5">
        <v>850000</v>
      </c>
      <c r="AN6" s="5">
        <v>900000</v>
      </c>
      <c r="AO6" s="5">
        <v>950000</v>
      </c>
      <c r="AP6" s="5">
        <v>1000000</v>
      </c>
    </row>
    <row r="7" spans="1:42" x14ac:dyDescent="0.2">
      <c r="A7" s="6" t="s">
        <v>44</v>
      </c>
      <c r="B7" s="5">
        <f>PMT($B$1/1200,$B3,-(1.04*B6-$F$4))+($B$2*B6)/12+200</f>
        <v>3253.6139590001158</v>
      </c>
      <c r="C7" s="5">
        <f t="shared" ref="C7:N7" si="1">PMT($B$1/1200,$B3,-(1.04*C6-$F$4))+($B$2*C6)/12+200</f>
        <v>3779.1422813474883</v>
      </c>
      <c r="D7" s="5">
        <f t="shared" si="1"/>
        <v>4304.6706036948599</v>
      </c>
      <c r="E7" s="5">
        <f t="shared" si="1"/>
        <v>4830.1989260422333</v>
      </c>
      <c r="F7" s="5">
        <f t="shared" si="1"/>
        <v>5355.7272483896058</v>
      </c>
      <c r="G7" s="5">
        <f t="shared" si="1"/>
        <v>5881.2555707369784</v>
      </c>
      <c r="H7" s="5">
        <f t="shared" si="1"/>
        <v>6406.7838930843518</v>
      </c>
      <c r="I7" s="5">
        <f t="shared" si="1"/>
        <v>6932.3122154317234</v>
      </c>
      <c r="J7" s="5">
        <f t="shared" si="1"/>
        <v>7457.8405377790959</v>
      </c>
      <c r="K7" s="5">
        <f t="shared" si="1"/>
        <v>7983.3688601264685</v>
      </c>
      <c r="L7" s="5">
        <f t="shared" si="1"/>
        <v>8508.8971824738401</v>
      </c>
      <c r="M7" s="5">
        <f t="shared" si="1"/>
        <v>9034.4255048212144</v>
      </c>
      <c r="N7" s="5">
        <f t="shared" si="1"/>
        <v>9559.9538271685851</v>
      </c>
    </row>
    <row r="9" spans="1:42" ht="17" thickBot="1" x14ac:dyDescent="0.25">
      <c r="A9" s="6" t="s">
        <v>43</v>
      </c>
      <c r="P9" s="5" t="s">
        <v>46</v>
      </c>
      <c r="AD9" s="5" t="s">
        <v>47</v>
      </c>
    </row>
    <row r="10" spans="1:42" x14ac:dyDescent="0.2">
      <c r="A10" s="6">
        <v>1</v>
      </c>
      <c r="B10" s="5">
        <f t="shared" ref="B10:N10" si="2">B6*(1.0374)^$A$10</f>
        <v>414960.00000000006</v>
      </c>
      <c r="C10" s="5">
        <f t="shared" si="2"/>
        <v>466830.00000000006</v>
      </c>
      <c r="D10" s="5">
        <f t="shared" si="2"/>
        <v>518700.00000000006</v>
      </c>
      <c r="E10" s="5">
        <f t="shared" si="2"/>
        <v>570570</v>
      </c>
      <c r="F10" s="5">
        <f t="shared" si="2"/>
        <v>622440.00000000012</v>
      </c>
      <c r="G10" s="5">
        <f t="shared" si="2"/>
        <v>674310.00000000012</v>
      </c>
      <c r="H10" s="5">
        <f t="shared" si="2"/>
        <v>726180.00000000012</v>
      </c>
      <c r="I10" s="5">
        <f t="shared" si="2"/>
        <v>778050.00000000012</v>
      </c>
      <c r="J10" s="5">
        <f t="shared" si="2"/>
        <v>829920.00000000012</v>
      </c>
      <c r="K10" s="5">
        <f t="shared" si="2"/>
        <v>881790.00000000012</v>
      </c>
      <c r="L10" s="5">
        <f t="shared" si="2"/>
        <v>933660.00000000012</v>
      </c>
      <c r="M10" s="5">
        <f t="shared" si="2"/>
        <v>985530.00000000012</v>
      </c>
      <c r="N10" s="5">
        <f t="shared" si="2"/>
        <v>1037400.0000000001</v>
      </c>
      <c r="P10" s="5">
        <f>P$6*0.8-(PMT($B$1/1200,$B$3,-(0.8*B6))*12-((P$6*0.8*(1+$B$1/1200)^12)-P$6*0.8))</f>
        <v>290089.17922709568</v>
      </c>
      <c r="Q10" s="5">
        <f t="shared" ref="Q10:AB10" si="3">Q$6*0.8-(PMT($B$1/1200,$B$3,-(0.8*C6))*12-((Q$6*0.8*(1+$B$1/1200)^12)-Q$6*0.8))</f>
        <v>326350.32663048257</v>
      </c>
      <c r="R10" s="5">
        <f t="shared" si="3"/>
        <v>362611.47403386957</v>
      </c>
      <c r="S10" s="5">
        <f t="shared" si="3"/>
        <v>398872.62143725652</v>
      </c>
      <c r="T10" s="5">
        <f t="shared" si="3"/>
        <v>435133.76884064352</v>
      </c>
      <c r="U10" s="5">
        <f t="shared" si="3"/>
        <v>471394.91624403041</v>
      </c>
      <c r="V10" s="5">
        <f t="shared" si="3"/>
        <v>507656.06364741747</v>
      </c>
      <c r="W10" s="5">
        <f t="shared" si="3"/>
        <v>543917.21105080436</v>
      </c>
      <c r="X10" s="5">
        <f t="shared" si="3"/>
        <v>580178.35845419136</v>
      </c>
      <c r="Y10" s="5">
        <f t="shared" si="3"/>
        <v>616439.50585757825</v>
      </c>
      <c r="Z10" s="5">
        <f t="shared" si="3"/>
        <v>652700.65326096513</v>
      </c>
      <c r="AA10" s="5">
        <f t="shared" si="3"/>
        <v>688961.80066435225</v>
      </c>
      <c r="AB10" s="5">
        <f t="shared" si="3"/>
        <v>725222.94806773914</v>
      </c>
      <c r="AD10" s="181">
        <f>IF(B10-P10 &lt; B37, "No", B10-MAX(P10,0))</f>
        <v>124870.82077290438</v>
      </c>
      <c r="AE10" s="182">
        <f t="shared" ref="AE10:AP25" si="4">IF(C10-Q10 &lt; C37, "No", C10-MAX(Q10,0))</f>
        <v>140479.67336951749</v>
      </c>
      <c r="AF10" s="182">
        <f t="shared" si="4"/>
        <v>156088.52596613049</v>
      </c>
      <c r="AG10" s="182">
        <f t="shared" si="4"/>
        <v>171697.37856274348</v>
      </c>
      <c r="AH10" s="182">
        <f t="shared" si="4"/>
        <v>187306.2311593566</v>
      </c>
      <c r="AI10" s="182">
        <f t="shared" si="4"/>
        <v>202915.08375596971</v>
      </c>
      <c r="AJ10" s="182">
        <f t="shared" si="4"/>
        <v>218523.93635258265</v>
      </c>
      <c r="AK10" s="182">
        <f t="shared" si="4"/>
        <v>234132.78894919576</v>
      </c>
      <c r="AL10" s="182">
        <f t="shared" si="4"/>
        <v>249741.64154580876</v>
      </c>
      <c r="AM10" s="182">
        <f t="shared" si="4"/>
        <v>265350.49414242187</v>
      </c>
      <c r="AN10" s="182">
        <f t="shared" si="4"/>
        <v>280959.34673903498</v>
      </c>
      <c r="AO10" s="182">
        <f t="shared" si="4"/>
        <v>296568.19933564786</v>
      </c>
      <c r="AP10" s="183">
        <f t="shared" si="4"/>
        <v>312177.05193226098</v>
      </c>
    </row>
    <row r="11" spans="1:42" x14ac:dyDescent="0.2">
      <c r="A11" s="6">
        <f>A10+1</f>
        <v>2</v>
      </c>
      <c r="B11" s="5">
        <f t="shared" ref="B11:N11" si="5">B6*(1.0374)^$A$11</f>
        <v>430479.50400000007</v>
      </c>
      <c r="C11" s="5">
        <f t="shared" si="5"/>
        <v>484289.4420000001</v>
      </c>
      <c r="D11" s="5">
        <f t="shared" si="5"/>
        <v>538099.38000000012</v>
      </c>
      <c r="E11" s="5">
        <f t="shared" si="5"/>
        <v>591909.31800000009</v>
      </c>
      <c r="F11" s="5">
        <f t="shared" si="5"/>
        <v>645719.25600000017</v>
      </c>
      <c r="G11" s="5">
        <f t="shared" si="5"/>
        <v>699529.19400000013</v>
      </c>
      <c r="H11" s="5">
        <f t="shared" si="5"/>
        <v>753339.13200000022</v>
      </c>
      <c r="I11" s="5">
        <f t="shared" si="5"/>
        <v>807149.07000000018</v>
      </c>
      <c r="J11" s="5">
        <f t="shared" si="5"/>
        <v>860959.00800000015</v>
      </c>
      <c r="K11" s="5">
        <f t="shared" si="5"/>
        <v>914768.94600000023</v>
      </c>
      <c r="L11" s="5">
        <f t="shared" si="5"/>
        <v>968578.88400000019</v>
      </c>
      <c r="M11" s="5">
        <f t="shared" si="5"/>
        <v>1022388.8220000003</v>
      </c>
      <c r="N11" s="5">
        <f t="shared" si="5"/>
        <v>1076198.7600000002</v>
      </c>
      <c r="P11" s="5">
        <f t="shared" ref="P11:P34" si="6">MAX(0, P10-(PMT($B$1/1200,$B$3,-(0.8*P$6))*12-((P10*(1+$B$1/1200)^12)-P10)))</f>
        <v>259778.11054914427</v>
      </c>
      <c r="Q11" s="5">
        <f t="shared" ref="Q11:AB11" si="7">MAX(0, Q10-(PMT($B$1/1200,$B$3,-(0.8*Q$6))*12-((Q10*(1+$B$1/1200)^12)-Q10)))</f>
        <v>292250.37436778715</v>
      </c>
      <c r="R11" s="5">
        <f t="shared" si="7"/>
        <v>324722.63818643027</v>
      </c>
      <c r="S11" s="5">
        <f t="shared" si="7"/>
        <v>357194.90200507327</v>
      </c>
      <c r="T11" s="5">
        <f t="shared" si="7"/>
        <v>389667.16582371638</v>
      </c>
      <c r="U11" s="5">
        <f t="shared" si="7"/>
        <v>422139.42964235932</v>
      </c>
      <c r="V11" s="5">
        <f t="shared" si="7"/>
        <v>454611.69346100249</v>
      </c>
      <c r="W11" s="5">
        <f t="shared" si="7"/>
        <v>487083.95727964543</v>
      </c>
      <c r="X11" s="5">
        <f t="shared" si="7"/>
        <v>519556.22109828854</v>
      </c>
      <c r="Y11" s="5">
        <f t="shared" si="7"/>
        <v>552028.48491693148</v>
      </c>
      <c r="Z11" s="5">
        <f t="shared" si="7"/>
        <v>584500.74873557431</v>
      </c>
      <c r="AA11" s="5">
        <f t="shared" si="7"/>
        <v>616973.0125542176</v>
      </c>
      <c r="AB11" s="5">
        <f t="shared" si="7"/>
        <v>649445.27637286054</v>
      </c>
      <c r="AD11" s="184">
        <f t="shared" ref="AD11:AP34" si="8">IF(B11-P11 &lt; B38, "No", B11-MAX(P11,0))</f>
        <v>170701.3934508558</v>
      </c>
      <c r="AE11" s="5">
        <f t="shared" si="4"/>
        <v>192039.06763221294</v>
      </c>
      <c r="AF11" s="5">
        <f t="shared" si="4"/>
        <v>213376.74181356985</v>
      </c>
      <c r="AG11" s="5">
        <f t="shared" si="4"/>
        <v>234714.41599492682</v>
      </c>
      <c r="AH11" s="5">
        <f t="shared" si="4"/>
        <v>256052.09017628379</v>
      </c>
      <c r="AI11" s="5">
        <f t="shared" si="4"/>
        <v>277389.76435764082</v>
      </c>
      <c r="AJ11" s="5">
        <f t="shared" si="4"/>
        <v>298727.43853899773</v>
      </c>
      <c r="AK11" s="5">
        <f t="shared" si="4"/>
        <v>320065.11272035475</v>
      </c>
      <c r="AL11" s="5">
        <f t="shared" si="4"/>
        <v>341402.7869017116</v>
      </c>
      <c r="AM11" s="5">
        <f t="shared" si="4"/>
        <v>362740.46108306875</v>
      </c>
      <c r="AN11" s="5">
        <f t="shared" si="4"/>
        <v>384078.13526442589</v>
      </c>
      <c r="AO11" s="5">
        <f t="shared" si="4"/>
        <v>405415.80944578268</v>
      </c>
      <c r="AP11" s="185">
        <f t="shared" si="4"/>
        <v>426753.48362713971</v>
      </c>
    </row>
    <row r="12" spans="1:42" x14ac:dyDescent="0.2">
      <c r="A12" s="6">
        <f t="shared" ref="A12:A34" si="9">A11+1</f>
        <v>3</v>
      </c>
      <c r="B12" s="5">
        <f t="shared" ref="B12:N12" si="10">B6*(1.0374)^$A$12</f>
        <v>446579.43744960014</v>
      </c>
      <c r="C12" s="5">
        <f t="shared" si="10"/>
        <v>502401.86713080015</v>
      </c>
      <c r="D12" s="5">
        <f t="shared" si="10"/>
        <v>558224.2968120001</v>
      </c>
      <c r="E12" s="5">
        <f t="shared" si="10"/>
        <v>614046.72649320017</v>
      </c>
      <c r="F12" s="5">
        <f t="shared" si="10"/>
        <v>669869.15617440012</v>
      </c>
      <c r="G12" s="5">
        <f t="shared" si="10"/>
        <v>725691.58585560019</v>
      </c>
      <c r="H12" s="5">
        <f t="shared" si="10"/>
        <v>781514.01553680014</v>
      </c>
      <c r="I12" s="5">
        <f t="shared" si="10"/>
        <v>837336.44521800021</v>
      </c>
      <c r="J12" s="5">
        <f t="shared" si="10"/>
        <v>893158.87489920028</v>
      </c>
      <c r="K12" s="5">
        <f t="shared" si="10"/>
        <v>948981.30458040023</v>
      </c>
      <c r="L12" s="5">
        <f t="shared" si="10"/>
        <v>1004803.7342616003</v>
      </c>
      <c r="M12" s="5">
        <f t="shared" si="10"/>
        <v>1060626.1639428004</v>
      </c>
      <c r="N12" s="5">
        <f t="shared" si="10"/>
        <v>1116448.5936240002</v>
      </c>
      <c r="P12" s="5">
        <f t="shared" si="6"/>
        <v>229061.43809889251</v>
      </c>
      <c r="Q12" s="5">
        <f t="shared" ref="Q12:Q34" si="11">MAX(0, Q11-(PMT($B$1/1200,$B$3,-(0.8*Q$6))*12-((Q11*(1+$B$1/1200)^12)-Q11)))</f>
        <v>257694.11786125394</v>
      </c>
      <c r="R12" s="5">
        <f t="shared" ref="R12:R34" si="12">MAX(0, R11-(PMT($B$1/1200,$B$3,-(0.8*R$6))*12-((R11*(1+$B$1/1200)^12)-R11)))</f>
        <v>286326.79762361554</v>
      </c>
      <c r="S12" s="5">
        <f t="shared" ref="S12:S34" si="13">MAX(0, S11-(PMT($B$1/1200,$B$3,-(0.8*S$6))*12-((S11*(1+$B$1/1200)^12)-S11)))</f>
        <v>314959.47738597711</v>
      </c>
      <c r="T12" s="5">
        <f t="shared" ref="T12:T34" si="14">MAX(0, T11-(PMT($B$1/1200,$B$3,-(0.8*T$6))*12-((T11*(1+$B$1/1200)^12)-T11)))</f>
        <v>343592.15714833874</v>
      </c>
      <c r="U12" s="5">
        <f t="shared" ref="U12:U34" si="15">MAX(0, U11-(PMT($B$1/1200,$B$3,-(0.8*U$6))*12-((U11*(1+$B$1/1200)^12)-U11)))</f>
        <v>372224.83691070025</v>
      </c>
      <c r="V12" s="5">
        <f t="shared" ref="V12:V34" si="16">MAX(0, V11-(PMT($B$1/1200,$B$3,-(0.8*V$6))*12-((V11*(1+$B$1/1200)^12)-V11)))</f>
        <v>400857.51667306194</v>
      </c>
      <c r="W12" s="5">
        <f t="shared" ref="W12:W34" si="17">MAX(0, W11-(PMT($B$1/1200,$B$3,-(0.8*W$6))*12-((W11*(1+$B$1/1200)^12)-W11)))</f>
        <v>429490.19643542339</v>
      </c>
      <c r="X12" s="5">
        <f t="shared" ref="X12:X34" si="18">MAX(0, X11-(PMT($B$1/1200,$B$3,-(0.8*X$6))*12-((X11*(1+$B$1/1200)^12)-X11)))</f>
        <v>458122.87619778502</v>
      </c>
      <c r="Y12" s="5">
        <f t="shared" ref="Y12:Y34" si="19">MAX(0, Y11-(PMT($B$1/1200,$B$3,-(0.8*Y$6))*12-((Y11*(1+$B$1/1200)^12)-Y11)))</f>
        <v>486755.55596014648</v>
      </c>
      <c r="Z12" s="5">
        <f t="shared" ref="Z12:Z34" si="20">MAX(0, Z11-(PMT($B$1/1200,$B$3,-(0.8*Z$6))*12-((Z11*(1+$B$1/1200)^12)-Z11)))</f>
        <v>515388.23572250787</v>
      </c>
      <c r="AA12" s="5">
        <f t="shared" ref="AA12:AA34" si="21">MAX(0, AA11-(PMT($B$1/1200,$B$3,-(0.8*AA$6))*12-((AA11*(1+$B$1/1200)^12)-AA11)))</f>
        <v>544020.91548486974</v>
      </c>
      <c r="AB12" s="5">
        <f t="shared" ref="AB12:AB34" si="22">MAX(0, AB11-(PMT($B$1/1200,$B$3,-(0.8*AB$6))*12-((AB11*(1+$B$1/1200)^12)-AB11)))</f>
        <v>572653.59524723107</v>
      </c>
      <c r="AD12" s="184">
        <f t="shared" si="8"/>
        <v>217517.99935070763</v>
      </c>
      <c r="AE12" s="5">
        <f>IF(C12-Q12 &lt; C39, "No", C12-MAX(Q12,0))</f>
        <v>244707.74926954621</v>
      </c>
      <c r="AF12" s="5">
        <f t="shared" si="4"/>
        <v>271897.49918838457</v>
      </c>
      <c r="AG12" s="5">
        <f t="shared" si="4"/>
        <v>299087.24910722306</v>
      </c>
      <c r="AH12" s="5">
        <f t="shared" si="4"/>
        <v>326276.99902606138</v>
      </c>
      <c r="AI12" s="5">
        <f t="shared" si="4"/>
        <v>353466.74894489994</v>
      </c>
      <c r="AJ12" s="5">
        <f t="shared" si="4"/>
        <v>380656.4988637382</v>
      </c>
      <c r="AK12" s="5">
        <f t="shared" si="4"/>
        <v>407846.24878257682</v>
      </c>
      <c r="AL12" s="5">
        <f t="shared" si="4"/>
        <v>435035.99870141526</v>
      </c>
      <c r="AM12" s="5">
        <f t="shared" si="4"/>
        <v>462225.74862025375</v>
      </c>
      <c r="AN12" s="5">
        <f t="shared" si="4"/>
        <v>489415.49853909243</v>
      </c>
      <c r="AO12" s="5">
        <f t="shared" si="4"/>
        <v>516605.24845793063</v>
      </c>
      <c r="AP12" s="185">
        <f t="shared" si="4"/>
        <v>543794.99837676913</v>
      </c>
    </row>
    <row r="13" spans="1:42" x14ac:dyDescent="0.2">
      <c r="A13" s="6">
        <f t="shared" si="9"/>
        <v>4</v>
      </c>
      <c r="B13" s="5">
        <f t="shared" ref="B13:N13" si="23">B6*(1.0374)^$A$13</f>
        <v>463281.50841021526</v>
      </c>
      <c r="C13" s="5">
        <f t="shared" si="23"/>
        <v>521191.69696149218</v>
      </c>
      <c r="D13" s="5">
        <f t="shared" si="23"/>
        <v>579101.88551276911</v>
      </c>
      <c r="E13" s="5">
        <f t="shared" si="23"/>
        <v>637012.07406404603</v>
      </c>
      <c r="F13" s="5">
        <f t="shared" si="23"/>
        <v>694922.26261532295</v>
      </c>
      <c r="G13" s="5">
        <f t="shared" si="23"/>
        <v>752832.45116659976</v>
      </c>
      <c r="H13" s="5">
        <f t="shared" si="23"/>
        <v>810742.63971787668</v>
      </c>
      <c r="I13" s="5">
        <f t="shared" si="23"/>
        <v>868652.8282691536</v>
      </c>
      <c r="J13" s="5">
        <f t="shared" si="23"/>
        <v>926563.01682043052</v>
      </c>
      <c r="K13" s="5">
        <f t="shared" si="23"/>
        <v>984473.20537170745</v>
      </c>
      <c r="L13" s="5">
        <f t="shared" si="23"/>
        <v>1042383.3939229844</v>
      </c>
      <c r="M13" s="5">
        <f t="shared" si="23"/>
        <v>1100293.5824742613</v>
      </c>
      <c r="N13" s="5">
        <f t="shared" si="23"/>
        <v>1158203.7710255382</v>
      </c>
      <c r="P13" s="5">
        <f t="shared" si="6"/>
        <v>197933.73434021982</v>
      </c>
      <c r="Q13" s="5">
        <f t="shared" si="11"/>
        <v>222675.45113274714</v>
      </c>
      <c r="R13" s="5">
        <f t="shared" si="12"/>
        <v>247417.16792527467</v>
      </c>
      <c r="S13" s="5">
        <f t="shared" si="13"/>
        <v>272158.88471780217</v>
      </c>
      <c r="T13" s="5">
        <f t="shared" si="14"/>
        <v>296900.6015103297</v>
      </c>
      <c r="U13" s="5">
        <f t="shared" si="15"/>
        <v>321642.31830285711</v>
      </c>
      <c r="V13" s="5">
        <f t="shared" si="16"/>
        <v>346384.03509538475</v>
      </c>
      <c r="W13" s="5">
        <f t="shared" si="17"/>
        <v>371125.75188791211</v>
      </c>
      <c r="X13" s="5">
        <f t="shared" si="18"/>
        <v>395867.46868043963</v>
      </c>
      <c r="Y13" s="5">
        <f t="shared" si="19"/>
        <v>420609.18547296699</v>
      </c>
      <c r="Z13" s="5">
        <f t="shared" si="20"/>
        <v>445350.90226549428</v>
      </c>
      <c r="AA13" s="5">
        <f t="shared" si="21"/>
        <v>470092.61905802204</v>
      </c>
      <c r="AB13" s="5">
        <f t="shared" si="22"/>
        <v>494834.33585054934</v>
      </c>
      <c r="AD13" s="184">
        <f t="shared" si="8"/>
        <v>265347.77406999544</v>
      </c>
      <c r="AE13" s="5">
        <f t="shared" si="4"/>
        <v>298516.24582874507</v>
      </c>
      <c r="AF13" s="5">
        <f t="shared" si="4"/>
        <v>331684.71758749441</v>
      </c>
      <c r="AG13" s="5">
        <f t="shared" si="4"/>
        <v>364853.18934624386</v>
      </c>
      <c r="AH13" s="5">
        <f t="shared" si="4"/>
        <v>398021.66110499325</v>
      </c>
      <c r="AI13" s="5">
        <f t="shared" si="4"/>
        <v>431190.13286374265</v>
      </c>
      <c r="AJ13" s="5">
        <f t="shared" si="4"/>
        <v>464358.60462249193</v>
      </c>
      <c r="AK13" s="5">
        <f t="shared" si="4"/>
        <v>497527.0763812415</v>
      </c>
      <c r="AL13" s="5">
        <f t="shared" si="4"/>
        <v>530695.54813999089</v>
      </c>
      <c r="AM13" s="5">
        <f t="shared" si="4"/>
        <v>563864.01989874046</v>
      </c>
      <c r="AN13" s="5">
        <f t="shared" si="4"/>
        <v>597032.49165749014</v>
      </c>
      <c r="AO13" s="5">
        <f t="shared" si="4"/>
        <v>630200.96341623925</v>
      </c>
      <c r="AP13" s="185">
        <f t="shared" si="4"/>
        <v>663369.43517498882</v>
      </c>
    </row>
    <row r="14" spans="1:42" s="8" customFormat="1" x14ac:dyDescent="0.2">
      <c r="A14" s="65">
        <f t="shared" si="9"/>
        <v>5</v>
      </c>
      <c r="B14" s="66">
        <f t="shared" ref="B14:N14" si="24">B6*(1.0374)^$A$14</f>
        <v>480608.23682475736</v>
      </c>
      <c r="C14" s="66">
        <f t="shared" si="24"/>
        <v>540684.2664278521</v>
      </c>
      <c r="D14" s="66">
        <f t="shared" si="24"/>
        <v>600760.29603094677</v>
      </c>
      <c r="E14" s="66">
        <f t="shared" si="24"/>
        <v>660836.32563404134</v>
      </c>
      <c r="F14" s="66">
        <f t="shared" si="24"/>
        <v>720912.35523713601</v>
      </c>
      <c r="G14" s="66">
        <f t="shared" si="24"/>
        <v>780988.38484023069</v>
      </c>
      <c r="H14" s="66">
        <f t="shared" si="24"/>
        <v>841064.41444332537</v>
      </c>
      <c r="I14" s="66">
        <f t="shared" si="24"/>
        <v>901140.44404642005</v>
      </c>
      <c r="J14" s="66">
        <f t="shared" si="24"/>
        <v>961216.47364951472</v>
      </c>
      <c r="K14" s="66">
        <f t="shared" si="24"/>
        <v>1021292.5032526094</v>
      </c>
      <c r="L14" s="66">
        <f t="shared" si="24"/>
        <v>1081368.5328557042</v>
      </c>
      <c r="M14" s="66">
        <f t="shared" si="24"/>
        <v>1141444.5624587988</v>
      </c>
      <c r="N14" s="69">
        <f t="shared" si="24"/>
        <v>1201520.5920618935</v>
      </c>
      <c r="P14" s="70">
        <f t="shared" si="6"/>
        <v>166389.49910911015</v>
      </c>
      <c r="Q14" s="67">
        <f t="shared" si="11"/>
        <v>187188.1864977488</v>
      </c>
      <c r="R14" s="67">
        <f t="shared" si="12"/>
        <v>207986.87388638762</v>
      </c>
      <c r="S14" s="67">
        <f t="shared" si="13"/>
        <v>228785.56127502641</v>
      </c>
      <c r="T14" s="67">
        <f t="shared" si="14"/>
        <v>249584.24866366526</v>
      </c>
      <c r="U14" s="67">
        <f t="shared" si="15"/>
        <v>270382.93605230394</v>
      </c>
      <c r="V14" s="67">
        <f t="shared" si="16"/>
        <v>291181.6234409429</v>
      </c>
      <c r="W14" s="67">
        <f t="shared" si="17"/>
        <v>311980.31082958158</v>
      </c>
      <c r="X14" s="67">
        <f t="shared" si="18"/>
        <v>332778.99821822031</v>
      </c>
      <c r="Y14" s="67">
        <f t="shared" si="19"/>
        <v>353577.68560685898</v>
      </c>
      <c r="Z14" s="67">
        <f t="shared" si="20"/>
        <v>374376.3729954976</v>
      </c>
      <c r="AA14" s="67">
        <f t="shared" si="21"/>
        <v>395175.06038413662</v>
      </c>
      <c r="AB14" s="68">
        <f t="shared" si="22"/>
        <v>415973.74777277524</v>
      </c>
      <c r="AD14" s="186">
        <f>IF(B14-P14 &lt; B41, "No", B14-MAX(P14,0))</f>
        <v>314218.73771564721</v>
      </c>
      <c r="AE14" s="67">
        <f t="shared" si="4"/>
        <v>353496.07993010327</v>
      </c>
      <c r="AF14" s="67">
        <f t="shared" si="4"/>
        <v>392773.42214455915</v>
      </c>
      <c r="AG14" s="67">
        <f t="shared" si="4"/>
        <v>432050.76435901492</v>
      </c>
      <c r="AH14" s="67">
        <f t="shared" si="4"/>
        <v>471328.10657347075</v>
      </c>
      <c r="AI14" s="67">
        <f t="shared" si="4"/>
        <v>510605.44878792675</v>
      </c>
      <c r="AJ14" s="67">
        <f t="shared" si="4"/>
        <v>549882.79100238252</v>
      </c>
      <c r="AK14" s="67">
        <f t="shared" si="4"/>
        <v>589160.13321683847</v>
      </c>
      <c r="AL14" s="67">
        <f t="shared" si="4"/>
        <v>628437.47543129441</v>
      </c>
      <c r="AM14" s="67">
        <f t="shared" si="4"/>
        <v>667714.81764575047</v>
      </c>
      <c r="AN14" s="67">
        <f t="shared" si="4"/>
        <v>706992.15986020654</v>
      </c>
      <c r="AO14" s="67">
        <f t="shared" si="4"/>
        <v>746269.50207466213</v>
      </c>
      <c r="AP14" s="187">
        <f t="shared" si="4"/>
        <v>785546.84428911831</v>
      </c>
    </row>
    <row r="15" spans="1:42" x14ac:dyDescent="0.2">
      <c r="A15" s="6">
        <f t="shared" si="9"/>
        <v>6</v>
      </c>
      <c r="B15" s="5">
        <f t="shared" ref="B15:N15" si="25">B6*(1.0374)^$A$15</f>
        <v>498582.98488200339</v>
      </c>
      <c r="C15" s="5">
        <f t="shared" si="25"/>
        <v>560905.85799225373</v>
      </c>
      <c r="D15" s="5">
        <f t="shared" si="25"/>
        <v>623228.73110250419</v>
      </c>
      <c r="E15" s="5">
        <f t="shared" si="25"/>
        <v>685551.60421275464</v>
      </c>
      <c r="F15" s="5">
        <f t="shared" si="25"/>
        <v>747874.47732300509</v>
      </c>
      <c r="G15" s="5">
        <f t="shared" si="25"/>
        <v>810197.35043325543</v>
      </c>
      <c r="H15" s="5">
        <f t="shared" si="25"/>
        <v>872520.22354350588</v>
      </c>
      <c r="I15" s="5">
        <f t="shared" si="25"/>
        <v>934843.09665375634</v>
      </c>
      <c r="J15" s="5">
        <f t="shared" si="25"/>
        <v>997165.96976400679</v>
      </c>
      <c r="K15" s="5">
        <f t="shared" si="25"/>
        <v>1059488.8428742571</v>
      </c>
      <c r="L15" s="5">
        <f t="shared" si="25"/>
        <v>1121811.7159845075</v>
      </c>
      <c r="M15" s="5">
        <f t="shared" si="25"/>
        <v>1184134.589094758</v>
      </c>
      <c r="N15" s="5">
        <f t="shared" si="25"/>
        <v>1246457.4622050084</v>
      </c>
      <c r="P15" s="5">
        <f t="shared" si="6"/>
        <v>134423.15864179109</v>
      </c>
      <c r="Q15" s="5">
        <f t="shared" si="11"/>
        <v>151226.05347201484</v>
      </c>
      <c r="R15" s="5">
        <f t="shared" si="12"/>
        <v>168028.9483022388</v>
      </c>
      <c r="S15" s="5">
        <f t="shared" si="13"/>
        <v>184831.8431324627</v>
      </c>
      <c r="T15" s="5">
        <f t="shared" si="14"/>
        <v>201634.73796268666</v>
      </c>
      <c r="U15" s="5">
        <f t="shared" si="15"/>
        <v>218437.63279291044</v>
      </c>
      <c r="V15" s="5">
        <f t="shared" si="16"/>
        <v>235240.52762313455</v>
      </c>
      <c r="W15" s="5">
        <f t="shared" si="17"/>
        <v>252043.42245335836</v>
      </c>
      <c r="X15" s="5">
        <f t="shared" si="18"/>
        <v>268846.31728358218</v>
      </c>
      <c r="Y15" s="5">
        <f t="shared" si="19"/>
        <v>285649.21211380593</v>
      </c>
      <c r="Z15" s="5">
        <f t="shared" si="20"/>
        <v>302452.10694402969</v>
      </c>
      <c r="AA15" s="5">
        <f t="shared" si="21"/>
        <v>319255.00177425385</v>
      </c>
      <c r="AB15" s="5">
        <f t="shared" si="22"/>
        <v>336057.8966044776</v>
      </c>
      <c r="AD15" s="184">
        <f t="shared" si="8"/>
        <v>364159.82624021231</v>
      </c>
      <c r="AE15" s="5">
        <f t="shared" si="4"/>
        <v>409679.80452023889</v>
      </c>
      <c r="AF15" s="5">
        <f t="shared" si="4"/>
        <v>455199.78280026536</v>
      </c>
      <c r="AG15" s="5">
        <f t="shared" si="4"/>
        <v>500719.76108029194</v>
      </c>
      <c r="AH15" s="5">
        <f t="shared" si="4"/>
        <v>546239.7393603184</v>
      </c>
      <c r="AI15" s="5">
        <f t="shared" si="4"/>
        <v>591759.71764034498</v>
      </c>
      <c r="AJ15" s="5">
        <f t="shared" si="4"/>
        <v>637279.69592037133</v>
      </c>
      <c r="AK15" s="5">
        <f t="shared" si="4"/>
        <v>682799.67420039792</v>
      </c>
      <c r="AL15" s="5">
        <f t="shared" si="4"/>
        <v>728319.65248042461</v>
      </c>
      <c r="AM15" s="5">
        <f t="shared" si="4"/>
        <v>773839.6307604512</v>
      </c>
      <c r="AN15" s="5">
        <f t="shared" si="4"/>
        <v>819359.60904047778</v>
      </c>
      <c r="AO15" s="5">
        <f t="shared" si="4"/>
        <v>864879.58732050424</v>
      </c>
      <c r="AP15" s="185">
        <f t="shared" si="4"/>
        <v>910399.56560053071</v>
      </c>
    </row>
    <row r="16" spans="1:42" x14ac:dyDescent="0.2">
      <c r="A16" s="6">
        <f t="shared" si="9"/>
        <v>7</v>
      </c>
      <c r="B16" s="5">
        <f t="shared" ref="B16:N16" si="26">B6*(1.0374)^$A$16</f>
        <v>517229.98851659033</v>
      </c>
      <c r="C16" s="5">
        <f t="shared" si="26"/>
        <v>581883.73708116414</v>
      </c>
      <c r="D16" s="5">
        <f t="shared" si="26"/>
        <v>646537.48564573785</v>
      </c>
      <c r="E16" s="5">
        <f t="shared" si="26"/>
        <v>711191.23421031167</v>
      </c>
      <c r="F16" s="5">
        <f t="shared" si="26"/>
        <v>775844.98277488549</v>
      </c>
      <c r="G16" s="5">
        <f t="shared" si="26"/>
        <v>840498.73133945919</v>
      </c>
      <c r="H16" s="5">
        <f t="shared" si="26"/>
        <v>905152.47990403301</v>
      </c>
      <c r="I16" s="5">
        <f t="shared" si="26"/>
        <v>969806.22846860683</v>
      </c>
      <c r="J16" s="5">
        <f t="shared" si="26"/>
        <v>1034459.9770331807</v>
      </c>
      <c r="K16" s="5">
        <f t="shared" si="26"/>
        <v>1099113.7255977544</v>
      </c>
      <c r="L16" s="5">
        <f t="shared" si="26"/>
        <v>1163767.4741623283</v>
      </c>
      <c r="M16" s="5">
        <f t="shared" si="26"/>
        <v>1228421.222726902</v>
      </c>
      <c r="N16" s="5">
        <f t="shared" si="26"/>
        <v>1293074.9712914757</v>
      </c>
      <c r="P16" s="5">
        <f t="shared" si="6"/>
        <v>102029.06458986773</v>
      </c>
      <c r="Q16" s="5">
        <f t="shared" si="11"/>
        <v>114782.69766360105</v>
      </c>
      <c r="R16" s="5">
        <f t="shared" si="12"/>
        <v>127536.33073733459</v>
      </c>
      <c r="S16" s="5">
        <f t="shared" si="13"/>
        <v>140289.9638110681</v>
      </c>
      <c r="T16" s="5">
        <f t="shared" si="14"/>
        <v>153043.59688480161</v>
      </c>
      <c r="U16" s="5">
        <f t="shared" si="15"/>
        <v>165797.22995853497</v>
      </c>
      <c r="V16" s="5">
        <f t="shared" si="16"/>
        <v>178550.86303226865</v>
      </c>
      <c r="W16" s="5">
        <f t="shared" si="17"/>
        <v>191304.49610600207</v>
      </c>
      <c r="X16" s="5">
        <f t="shared" si="18"/>
        <v>204058.12917973546</v>
      </c>
      <c r="Y16" s="5">
        <f t="shared" si="19"/>
        <v>216811.76225346874</v>
      </c>
      <c r="Z16" s="5">
        <f t="shared" si="20"/>
        <v>229565.3953272021</v>
      </c>
      <c r="AA16" s="5">
        <f t="shared" si="21"/>
        <v>242319.02840093587</v>
      </c>
      <c r="AB16" s="5">
        <f t="shared" si="22"/>
        <v>255072.66147466918</v>
      </c>
      <c r="AD16" s="184">
        <f t="shared" si="8"/>
        <v>415200.92392672261</v>
      </c>
      <c r="AE16" s="5">
        <f t="shared" si="4"/>
        <v>467101.03941756312</v>
      </c>
      <c r="AF16" s="5">
        <f t="shared" si="4"/>
        <v>519001.15490840329</v>
      </c>
      <c r="AG16" s="5">
        <f t="shared" si="4"/>
        <v>570901.27039924357</v>
      </c>
      <c r="AH16" s="5">
        <f t="shared" si="4"/>
        <v>622801.38589008385</v>
      </c>
      <c r="AI16" s="5">
        <f t="shared" si="4"/>
        <v>674701.50138092425</v>
      </c>
      <c r="AJ16" s="5">
        <f t="shared" si="4"/>
        <v>726601.61687176442</v>
      </c>
      <c r="AK16" s="5">
        <f t="shared" si="4"/>
        <v>778501.7323626047</v>
      </c>
      <c r="AL16" s="5">
        <f t="shared" si="4"/>
        <v>830401.84785344522</v>
      </c>
      <c r="AM16" s="5">
        <f t="shared" si="4"/>
        <v>882301.96334428561</v>
      </c>
      <c r="AN16" s="5">
        <f t="shared" si="4"/>
        <v>934202.07883512625</v>
      </c>
      <c r="AO16" s="5">
        <f t="shared" si="4"/>
        <v>986102.19432596606</v>
      </c>
      <c r="AP16" s="185">
        <f t="shared" si="4"/>
        <v>1038002.3098168066</v>
      </c>
    </row>
    <row r="17" spans="1:42" x14ac:dyDescent="0.2">
      <c r="A17" s="6">
        <f t="shared" si="9"/>
        <v>8</v>
      </c>
      <c r="B17" s="5">
        <f t="shared" ref="B17:N17" si="27">B6*(1.0374)^$A$17</f>
        <v>536574.39008711092</v>
      </c>
      <c r="C17" s="5">
        <f t="shared" si="27"/>
        <v>603646.18884799979</v>
      </c>
      <c r="D17" s="5">
        <f t="shared" si="27"/>
        <v>670717.98760888865</v>
      </c>
      <c r="E17" s="5">
        <f t="shared" si="27"/>
        <v>737789.78636977752</v>
      </c>
      <c r="F17" s="5">
        <f t="shared" si="27"/>
        <v>804861.58513066638</v>
      </c>
      <c r="G17" s="5">
        <f t="shared" si="27"/>
        <v>871933.38389155525</v>
      </c>
      <c r="H17" s="5">
        <f t="shared" si="27"/>
        <v>939005.18265244411</v>
      </c>
      <c r="I17" s="5">
        <f t="shared" si="27"/>
        <v>1006076.981413333</v>
      </c>
      <c r="J17" s="5">
        <f t="shared" si="27"/>
        <v>1073148.7801742218</v>
      </c>
      <c r="K17" s="5">
        <f t="shared" si="27"/>
        <v>1140220.5789351107</v>
      </c>
      <c r="L17" s="5">
        <f t="shared" si="27"/>
        <v>1207292.3776959996</v>
      </c>
      <c r="M17" s="5">
        <f t="shared" si="27"/>
        <v>1274364.1764568884</v>
      </c>
      <c r="N17" s="5">
        <f t="shared" si="27"/>
        <v>1341435.9752177773</v>
      </c>
      <c r="P17" s="5">
        <f t="shared" si="6"/>
        <v>69201.49302227798</v>
      </c>
      <c r="Q17" s="5">
        <f t="shared" si="11"/>
        <v>77851.679650062579</v>
      </c>
      <c r="R17" s="5">
        <f t="shared" si="12"/>
        <v>86501.86627784741</v>
      </c>
      <c r="S17" s="5">
        <f t="shared" si="13"/>
        <v>95152.052905632198</v>
      </c>
      <c r="T17" s="5">
        <f t="shared" si="14"/>
        <v>103802.23953341699</v>
      </c>
      <c r="U17" s="5">
        <f t="shared" si="15"/>
        <v>112452.42616120164</v>
      </c>
      <c r="V17" s="5">
        <f t="shared" si="16"/>
        <v>121102.6127889866</v>
      </c>
      <c r="W17" s="5">
        <f t="shared" si="17"/>
        <v>129752.79941677129</v>
      </c>
      <c r="X17" s="5">
        <f t="shared" si="18"/>
        <v>138402.98604455596</v>
      </c>
      <c r="Y17" s="5">
        <f t="shared" si="19"/>
        <v>147053.17267234053</v>
      </c>
      <c r="Z17" s="5">
        <f t="shared" si="20"/>
        <v>155703.35930012516</v>
      </c>
      <c r="AA17" s="5">
        <f t="shared" si="21"/>
        <v>164353.54592791022</v>
      </c>
      <c r="AB17" s="5">
        <f t="shared" si="22"/>
        <v>173003.73255569482</v>
      </c>
      <c r="AD17" s="184">
        <f t="shared" si="8"/>
        <v>467372.89706483297</v>
      </c>
      <c r="AE17" s="5">
        <f t="shared" si="4"/>
        <v>525794.50919793721</v>
      </c>
      <c r="AF17" s="5">
        <f t="shared" si="4"/>
        <v>584216.12133104121</v>
      </c>
      <c r="AG17" s="5">
        <f t="shared" si="4"/>
        <v>642637.73346414533</v>
      </c>
      <c r="AH17" s="5">
        <f t="shared" si="4"/>
        <v>701059.34559724946</v>
      </c>
      <c r="AI17" s="5">
        <f t="shared" si="4"/>
        <v>759480.95773035358</v>
      </c>
      <c r="AJ17" s="5">
        <f t="shared" si="4"/>
        <v>817902.56986345747</v>
      </c>
      <c r="AK17" s="5">
        <f t="shared" si="4"/>
        <v>876324.1819965617</v>
      </c>
      <c r="AL17" s="5">
        <f t="shared" si="4"/>
        <v>934745.79412966594</v>
      </c>
      <c r="AM17" s="5">
        <f t="shared" si="4"/>
        <v>993167.40626277018</v>
      </c>
      <c r="AN17" s="5">
        <f t="shared" si="4"/>
        <v>1051589.0183958744</v>
      </c>
      <c r="AO17" s="5">
        <f t="shared" si="4"/>
        <v>1110010.6305289783</v>
      </c>
      <c r="AP17" s="185">
        <f t="shared" si="4"/>
        <v>1168432.2426620824</v>
      </c>
    </row>
    <row r="18" spans="1:42" x14ac:dyDescent="0.2">
      <c r="A18" s="6">
        <f t="shared" si="9"/>
        <v>9</v>
      </c>
      <c r="B18" s="5">
        <f t="shared" ref="B18:N18" si="28">B6*(1.0374)^$A$18</f>
        <v>556642.27227636892</v>
      </c>
      <c r="C18" s="5">
        <f t="shared" si="28"/>
        <v>626222.55631091504</v>
      </c>
      <c r="D18" s="5">
        <f t="shared" si="28"/>
        <v>695802.84034546115</v>
      </c>
      <c r="E18" s="5">
        <f t="shared" si="28"/>
        <v>765383.12438000727</v>
      </c>
      <c r="F18" s="5">
        <f t="shared" si="28"/>
        <v>834963.40841455339</v>
      </c>
      <c r="G18" s="5">
        <f t="shared" si="28"/>
        <v>904543.6924490995</v>
      </c>
      <c r="H18" s="5">
        <f t="shared" si="28"/>
        <v>974123.97648364562</v>
      </c>
      <c r="I18" s="5">
        <f t="shared" si="28"/>
        <v>1043704.2605181917</v>
      </c>
      <c r="J18" s="5">
        <f t="shared" si="28"/>
        <v>1113284.5445527378</v>
      </c>
      <c r="K18" s="5">
        <f t="shared" si="28"/>
        <v>1182864.8285872838</v>
      </c>
      <c r="L18" s="5">
        <f t="shared" si="28"/>
        <v>1252445.1126218301</v>
      </c>
      <c r="M18" s="5">
        <f t="shared" si="28"/>
        <v>1322025.3966563761</v>
      </c>
      <c r="N18" s="5">
        <f t="shared" si="28"/>
        <v>1391605.6806909223</v>
      </c>
      <c r="P18" s="5">
        <f t="shared" si="6"/>
        <v>35934.643413892569</v>
      </c>
      <c r="Q18" s="5">
        <f t="shared" si="11"/>
        <v>40426.473840628983</v>
      </c>
      <c r="R18" s="5">
        <f t="shared" si="12"/>
        <v>44918.304267365653</v>
      </c>
      <c r="S18" s="5">
        <f t="shared" si="13"/>
        <v>49410.134694102264</v>
      </c>
      <c r="T18" s="5">
        <f t="shared" si="14"/>
        <v>53901.965120838868</v>
      </c>
      <c r="U18" s="5">
        <f t="shared" si="15"/>
        <v>58393.795547575355</v>
      </c>
      <c r="V18" s="5">
        <f t="shared" si="16"/>
        <v>62885.625974312148</v>
      </c>
      <c r="W18" s="5">
        <f t="shared" si="17"/>
        <v>67377.45640104865</v>
      </c>
      <c r="X18" s="5">
        <f t="shared" si="18"/>
        <v>71869.286827785138</v>
      </c>
      <c r="Y18" s="5">
        <f t="shared" si="19"/>
        <v>76361.117254521538</v>
      </c>
      <c r="Z18" s="5">
        <f t="shared" si="20"/>
        <v>80852.947681257967</v>
      </c>
      <c r="AA18" s="5">
        <f t="shared" si="21"/>
        <v>85344.778107994876</v>
      </c>
      <c r="AB18" s="5">
        <f t="shared" si="22"/>
        <v>89836.608534731306</v>
      </c>
      <c r="AD18" s="184">
        <f t="shared" si="8"/>
        <v>520707.62886247633</v>
      </c>
      <c r="AE18" s="5">
        <f t="shared" si="4"/>
        <v>585796.08247028606</v>
      </c>
      <c r="AF18" s="5">
        <f t="shared" si="4"/>
        <v>650884.53607809555</v>
      </c>
      <c r="AG18" s="5">
        <f t="shared" si="4"/>
        <v>715972.98968590505</v>
      </c>
      <c r="AH18" s="5">
        <f t="shared" si="4"/>
        <v>781061.44329371455</v>
      </c>
      <c r="AI18" s="5">
        <f t="shared" si="4"/>
        <v>846149.89690152416</v>
      </c>
      <c r="AJ18" s="5">
        <f t="shared" si="4"/>
        <v>911238.35050933342</v>
      </c>
      <c r="AK18" s="5">
        <f t="shared" si="4"/>
        <v>976326.80411714304</v>
      </c>
      <c r="AL18" s="5">
        <f t="shared" si="4"/>
        <v>1041415.2577249527</v>
      </c>
      <c r="AM18" s="5">
        <f t="shared" si="4"/>
        <v>1106503.7113327624</v>
      </c>
      <c r="AN18" s="5">
        <f t="shared" si="4"/>
        <v>1171592.1649405721</v>
      </c>
      <c r="AO18" s="5">
        <f t="shared" si="4"/>
        <v>1236680.6185483811</v>
      </c>
      <c r="AP18" s="185">
        <f t="shared" si="4"/>
        <v>1301769.0721561911</v>
      </c>
    </row>
    <row r="19" spans="1:42" s="8" customFormat="1" x14ac:dyDescent="0.2">
      <c r="A19" s="65">
        <f t="shared" si="9"/>
        <v>10</v>
      </c>
      <c r="B19" s="66">
        <f t="shared" ref="B19:N19" si="29">B6*(1.0374)^$A$19</f>
        <v>577460.69325950521</v>
      </c>
      <c r="C19" s="66">
        <f t="shared" si="29"/>
        <v>649643.2799169434</v>
      </c>
      <c r="D19" s="66">
        <f t="shared" si="29"/>
        <v>721825.86657438148</v>
      </c>
      <c r="E19" s="66">
        <f t="shared" si="29"/>
        <v>794008.45323181967</v>
      </c>
      <c r="F19" s="66">
        <f t="shared" si="29"/>
        <v>866191.03988925787</v>
      </c>
      <c r="G19" s="66">
        <f t="shared" si="29"/>
        <v>938373.62654669594</v>
      </c>
      <c r="H19" s="66">
        <f t="shared" si="29"/>
        <v>1010556.2132041341</v>
      </c>
      <c r="I19" s="66">
        <f t="shared" si="29"/>
        <v>1082738.7998615722</v>
      </c>
      <c r="J19" s="66">
        <f t="shared" si="29"/>
        <v>1154921.3865190104</v>
      </c>
      <c r="K19" s="66">
        <f t="shared" si="29"/>
        <v>1227103.9731764486</v>
      </c>
      <c r="L19" s="66">
        <f t="shared" si="29"/>
        <v>1299286.5598338868</v>
      </c>
      <c r="M19" s="66">
        <f t="shared" si="29"/>
        <v>1371469.146491325</v>
      </c>
      <c r="N19" s="69">
        <f t="shared" si="29"/>
        <v>1443651.733148763</v>
      </c>
      <c r="P19" s="70">
        <f t="shared" si="6"/>
        <v>2222.637620581103</v>
      </c>
      <c r="Q19" s="67">
        <f t="shared" si="11"/>
        <v>2500.467323153578</v>
      </c>
      <c r="R19" s="67">
        <f t="shared" si="12"/>
        <v>2778.2970257263223</v>
      </c>
      <c r="S19" s="67">
        <f t="shared" si="13"/>
        <v>3056.1267282990011</v>
      </c>
      <c r="T19" s="67">
        <f t="shared" si="14"/>
        <v>3333.9564308716654</v>
      </c>
      <c r="U19" s="67">
        <f t="shared" si="15"/>
        <v>3611.7861334442277</v>
      </c>
      <c r="V19" s="67">
        <f t="shared" si="16"/>
        <v>3889.6158360170884</v>
      </c>
      <c r="W19" s="67">
        <f t="shared" si="17"/>
        <v>4167.4455385896581</v>
      </c>
      <c r="X19" s="67">
        <f t="shared" si="18"/>
        <v>4445.2752411622059</v>
      </c>
      <c r="Y19" s="67">
        <f t="shared" si="19"/>
        <v>4723.1049437346664</v>
      </c>
      <c r="Z19" s="67">
        <f t="shared" si="20"/>
        <v>5000.9346463071561</v>
      </c>
      <c r="AA19" s="67">
        <f t="shared" si="21"/>
        <v>5278.764348880155</v>
      </c>
      <c r="AB19" s="68">
        <f t="shared" si="22"/>
        <v>5556.5940514526446</v>
      </c>
      <c r="AD19" s="186">
        <f t="shared" si="8"/>
        <v>575238.05563892412</v>
      </c>
      <c r="AE19" s="67">
        <f t="shared" si="4"/>
        <v>647142.81259378977</v>
      </c>
      <c r="AF19" s="67">
        <f t="shared" si="4"/>
        <v>719047.56954865518</v>
      </c>
      <c r="AG19" s="67">
        <f t="shared" si="4"/>
        <v>790952.32650352072</v>
      </c>
      <c r="AH19" s="67">
        <f t="shared" si="4"/>
        <v>862857.08345838625</v>
      </c>
      <c r="AI19" s="67">
        <f t="shared" si="4"/>
        <v>934761.84041325166</v>
      </c>
      <c r="AJ19" s="67">
        <f t="shared" si="4"/>
        <v>1006666.5973681171</v>
      </c>
      <c r="AK19" s="67">
        <f t="shared" si="4"/>
        <v>1078571.3543229825</v>
      </c>
      <c r="AL19" s="67">
        <f t="shared" si="4"/>
        <v>1150476.1112778482</v>
      </c>
      <c r="AM19" s="67">
        <f t="shared" si="4"/>
        <v>1222380.868232714</v>
      </c>
      <c r="AN19" s="67">
        <f t="shared" si="4"/>
        <v>1294285.6251875795</v>
      </c>
      <c r="AO19" s="67">
        <f t="shared" si="4"/>
        <v>1366190.3821424448</v>
      </c>
      <c r="AP19" s="187">
        <f t="shared" si="4"/>
        <v>1438095.1390973104</v>
      </c>
    </row>
    <row r="20" spans="1:42" x14ac:dyDescent="0.2">
      <c r="A20" s="6">
        <f t="shared" si="9"/>
        <v>11</v>
      </c>
      <c r="B20" s="5">
        <f t="shared" ref="B20:N20" si="30">B6*(1.0374)^$A$20</f>
        <v>599057.72318741074</v>
      </c>
      <c r="C20" s="5">
        <f t="shared" si="30"/>
        <v>673939.93858583714</v>
      </c>
      <c r="D20" s="5">
        <f t="shared" si="30"/>
        <v>748822.15398426342</v>
      </c>
      <c r="E20" s="5">
        <f t="shared" si="30"/>
        <v>823704.36938268982</v>
      </c>
      <c r="F20" s="5">
        <f t="shared" si="30"/>
        <v>898586.58478111611</v>
      </c>
      <c r="G20" s="5">
        <f t="shared" si="30"/>
        <v>973468.80017954251</v>
      </c>
      <c r="H20" s="5">
        <f t="shared" si="30"/>
        <v>1048351.0155779688</v>
      </c>
      <c r="I20" s="5">
        <f t="shared" si="30"/>
        <v>1123233.2309763951</v>
      </c>
      <c r="J20" s="5">
        <f t="shared" si="30"/>
        <v>1198115.4463748215</v>
      </c>
      <c r="K20" s="5">
        <f t="shared" si="30"/>
        <v>1272997.6617732479</v>
      </c>
      <c r="L20" s="5">
        <f t="shared" si="30"/>
        <v>1347879.8771716743</v>
      </c>
      <c r="M20" s="5">
        <f t="shared" si="30"/>
        <v>1422762.0925701004</v>
      </c>
      <c r="N20" s="5">
        <f t="shared" si="30"/>
        <v>1497644.3079685268</v>
      </c>
      <c r="P20" s="5">
        <f t="shared" si="6"/>
        <v>0</v>
      </c>
      <c r="Q20" s="5">
        <f t="shared" si="11"/>
        <v>0</v>
      </c>
      <c r="R20" s="5">
        <f t="shared" si="12"/>
        <v>0</v>
      </c>
      <c r="S20" s="5">
        <f t="shared" si="13"/>
        <v>0</v>
      </c>
      <c r="T20" s="5">
        <f t="shared" si="14"/>
        <v>0</v>
      </c>
      <c r="U20" s="5">
        <f t="shared" si="15"/>
        <v>0</v>
      </c>
      <c r="V20" s="5">
        <f t="shared" si="16"/>
        <v>0</v>
      </c>
      <c r="W20" s="5">
        <f t="shared" si="17"/>
        <v>0</v>
      </c>
      <c r="X20" s="5">
        <f t="shared" si="18"/>
        <v>0</v>
      </c>
      <c r="Y20" s="5">
        <f t="shared" si="19"/>
        <v>0</v>
      </c>
      <c r="Z20" s="5">
        <f t="shared" si="20"/>
        <v>0</v>
      </c>
      <c r="AA20" s="5">
        <f t="shared" si="21"/>
        <v>0</v>
      </c>
      <c r="AB20" s="5">
        <f t="shared" si="22"/>
        <v>0</v>
      </c>
      <c r="AD20" s="184">
        <f t="shared" si="8"/>
        <v>599057.72318741074</v>
      </c>
      <c r="AE20" s="5">
        <f t="shared" si="4"/>
        <v>673939.93858583714</v>
      </c>
      <c r="AF20" s="5">
        <f t="shared" si="4"/>
        <v>748822.15398426342</v>
      </c>
      <c r="AG20" s="5">
        <f t="shared" si="4"/>
        <v>823704.36938268982</v>
      </c>
      <c r="AH20" s="5">
        <f t="shared" si="4"/>
        <v>898586.58478111611</v>
      </c>
      <c r="AI20" s="5">
        <f t="shared" si="4"/>
        <v>973468.80017954251</v>
      </c>
      <c r="AJ20" s="5">
        <f t="shared" si="4"/>
        <v>1048351.0155779688</v>
      </c>
      <c r="AK20" s="5">
        <f t="shared" si="4"/>
        <v>1123233.2309763951</v>
      </c>
      <c r="AL20" s="5">
        <f t="shared" si="4"/>
        <v>1198115.4463748215</v>
      </c>
      <c r="AM20" s="5">
        <f t="shared" si="4"/>
        <v>1272997.6617732479</v>
      </c>
      <c r="AN20" s="5">
        <f t="shared" si="4"/>
        <v>1347879.8771716743</v>
      </c>
      <c r="AO20" s="5">
        <f t="shared" si="4"/>
        <v>1422762.0925701004</v>
      </c>
      <c r="AP20" s="185">
        <f t="shared" si="4"/>
        <v>1497644.3079685268</v>
      </c>
    </row>
    <row r="21" spans="1:42" x14ac:dyDescent="0.2">
      <c r="A21" s="6">
        <f t="shared" si="9"/>
        <v>12</v>
      </c>
      <c r="B21" s="5">
        <f t="shared" ref="B21:N21" si="31">B6*(1.0374)^$A$21</f>
        <v>621462.48203462001</v>
      </c>
      <c r="C21" s="5">
        <f t="shared" si="31"/>
        <v>699145.2922889475</v>
      </c>
      <c r="D21" s="5">
        <f t="shared" si="31"/>
        <v>776828.1025432751</v>
      </c>
      <c r="E21" s="5">
        <f t="shared" si="31"/>
        <v>854510.91279760259</v>
      </c>
      <c r="F21" s="5">
        <f t="shared" si="31"/>
        <v>932193.72305193008</v>
      </c>
      <c r="G21" s="5">
        <f t="shared" si="31"/>
        <v>1009876.5333062576</v>
      </c>
      <c r="H21" s="5">
        <f t="shared" si="31"/>
        <v>1087559.3435605851</v>
      </c>
      <c r="I21" s="5">
        <f t="shared" si="31"/>
        <v>1165242.1538149125</v>
      </c>
      <c r="J21" s="5">
        <f t="shared" si="31"/>
        <v>1242924.96406924</v>
      </c>
      <c r="K21" s="5">
        <f t="shared" si="31"/>
        <v>1320607.7743235675</v>
      </c>
      <c r="L21" s="5">
        <f t="shared" si="31"/>
        <v>1398290.584577895</v>
      </c>
      <c r="M21" s="5">
        <f t="shared" si="31"/>
        <v>1475973.3948322227</v>
      </c>
      <c r="N21" s="5">
        <f t="shared" si="31"/>
        <v>1553656.2050865502</v>
      </c>
      <c r="P21" s="5">
        <f t="shared" si="6"/>
        <v>0</v>
      </c>
      <c r="Q21" s="5">
        <f t="shared" si="11"/>
        <v>0</v>
      </c>
      <c r="R21" s="5">
        <f t="shared" si="12"/>
        <v>0</v>
      </c>
      <c r="S21" s="5">
        <f t="shared" si="13"/>
        <v>0</v>
      </c>
      <c r="T21" s="5">
        <f t="shared" si="14"/>
        <v>0</v>
      </c>
      <c r="U21" s="5">
        <f t="shared" si="15"/>
        <v>0</v>
      </c>
      <c r="V21" s="5">
        <f t="shared" si="16"/>
        <v>0</v>
      </c>
      <c r="W21" s="5">
        <f t="shared" si="17"/>
        <v>0</v>
      </c>
      <c r="X21" s="5">
        <f t="shared" si="18"/>
        <v>0</v>
      </c>
      <c r="Y21" s="5">
        <f t="shared" si="19"/>
        <v>0</v>
      </c>
      <c r="Z21" s="5">
        <f t="shared" si="20"/>
        <v>0</v>
      </c>
      <c r="AA21" s="5">
        <f t="shared" si="21"/>
        <v>0</v>
      </c>
      <c r="AB21" s="5">
        <f t="shared" si="22"/>
        <v>0</v>
      </c>
      <c r="AD21" s="184">
        <f t="shared" si="8"/>
        <v>621462.48203462001</v>
      </c>
      <c r="AE21" s="5">
        <f t="shared" si="4"/>
        <v>699145.2922889475</v>
      </c>
      <c r="AF21" s="5">
        <f t="shared" si="4"/>
        <v>776828.1025432751</v>
      </c>
      <c r="AG21" s="5">
        <f t="shared" si="4"/>
        <v>854510.91279760259</v>
      </c>
      <c r="AH21" s="5">
        <f t="shared" si="4"/>
        <v>932193.72305193008</v>
      </c>
      <c r="AI21" s="5">
        <f t="shared" si="4"/>
        <v>1009876.5333062576</v>
      </c>
      <c r="AJ21" s="5">
        <f t="shared" si="4"/>
        <v>1087559.3435605851</v>
      </c>
      <c r="AK21" s="5">
        <f t="shared" si="4"/>
        <v>1165242.1538149125</v>
      </c>
      <c r="AL21" s="5">
        <f t="shared" si="4"/>
        <v>1242924.96406924</v>
      </c>
      <c r="AM21" s="5">
        <f t="shared" si="4"/>
        <v>1320607.7743235675</v>
      </c>
      <c r="AN21" s="5">
        <f t="shared" si="4"/>
        <v>1398290.584577895</v>
      </c>
      <c r="AO21" s="5">
        <f t="shared" si="4"/>
        <v>1475973.3948322227</v>
      </c>
      <c r="AP21" s="185">
        <f t="shared" si="4"/>
        <v>1553656.2050865502</v>
      </c>
    </row>
    <row r="22" spans="1:42" x14ac:dyDescent="0.2">
      <c r="A22" s="6">
        <f t="shared" si="9"/>
        <v>13</v>
      </c>
      <c r="B22" s="5">
        <f t="shared" ref="B22:N22" si="32">B6*(1.0374)^$A$22</f>
        <v>644705.17886271491</v>
      </c>
      <c r="C22" s="5">
        <f t="shared" si="32"/>
        <v>725293.3262205543</v>
      </c>
      <c r="D22" s="5">
        <f t="shared" si="32"/>
        <v>805881.47357839369</v>
      </c>
      <c r="E22" s="5">
        <f t="shared" si="32"/>
        <v>886469.62093623308</v>
      </c>
      <c r="F22" s="5">
        <f t="shared" si="32"/>
        <v>967057.76829407236</v>
      </c>
      <c r="G22" s="5">
        <f t="shared" si="32"/>
        <v>1047645.9156519118</v>
      </c>
      <c r="H22" s="5">
        <f t="shared" si="32"/>
        <v>1128234.0630097513</v>
      </c>
      <c r="I22" s="5">
        <f t="shared" si="32"/>
        <v>1208822.2103675904</v>
      </c>
      <c r="J22" s="5">
        <f t="shared" si="32"/>
        <v>1289410.3577254298</v>
      </c>
      <c r="K22" s="5">
        <f t="shared" si="32"/>
        <v>1369998.5050832692</v>
      </c>
      <c r="L22" s="5">
        <f t="shared" si="32"/>
        <v>1450586.6524411086</v>
      </c>
      <c r="M22" s="5">
        <f t="shared" si="32"/>
        <v>1531174.799798948</v>
      </c>
      <c r="N22" s="5">
        <f t="shared" si="32"/>
        <v>1611762.9471567874</v>
      </c>
      <c r="P22" s="5">
        <f t="shared" si="6"/>
        <v>0</v>
      </c>
      <c r="Q22" s="5">
        <f t="shared" si="11"/>
        <v>0</v>
      </c>
      <c r="R22" s="5">
        <f t="shared" si="12"/>
        <v>0</v>
      </c>
      <c r="S22" s="5">
        <f t="shared" si="13"/>
        <v>0</v>
      </c>
      <c r="T22" s="5">
        <f t="shared" si="14"/>
        <v>0</v>
      </c>
      <c r="U22" s="5">
        <f t="shared" si="15"/>
        <v>0</v>
      </c>
      <c r="V22" s="5">
        <f t="shared" si="16"/>
        <v>0</v>
      </c>
      <c r="W22" s="5">
        <f t="shared" si="17"/>
        <v>0</v>
      </c>
      <c r="X22" s="5">
        <f t="shared" si="18"/>
        <v>0</v>
      </c>
      <c r="Y22" s="5">
        <f t="shared" si="19"/>
        <v>0</v>
      </c>
      <c r="Z22" s="5">
        <f t="shared" si="20"/>
        <v>0</v>
      </c>
      <c r="AA22" s="5">
        <f t="shared" si="21"/>
        <v>0</v>
      </c>
      <c r="AB22" s="5">
        <f t="shared" si="22"/>
        <v>0</v>
      </c>
      <c r="AD22" s="184">
        <f t="shared" si="8"/>
        <v>644705.17886271491</v>
      </c>
      <c r="AE22" s="5">
        <f t="shared" si="4"/>
        <v>725293.3262205543</v>
      </c>
      <c r="AF22" s="5">
        <f t="shared" si="4"/>
        <v>805881.47357839369</v>
      </c>
      <c r="AG22" s="5">
        <f t="shared" si="4"/>
        <v>886469.62093623308</v>
      </c>
      <c r="AH22" s="5">
        <f t="shared" si="4"/>
        <v>967057.76829407236</v>
      </c>
      <c r="AI22" s="5">
        <f t="shared" si="4"/>
        <v>1047645.9156519118</v>
      </c>
      <c r="AJ22" s="5">
        <f t="shared" si="4"/>
        <v>1128234.0630097513</v>
      </c>
      <c r="AK22" s="5">
        <f t="shared" si="4"/>
        <v>1208822.2103675904</v>
      </c>
      <c r="AL22" s="5">
        <f t="shared" si="4"/>
        <v>1289410.3577254298</v>
      </c>
      <c r="AM22" s="5">
        <f t="shared" si="4"/>
        <v>1369998.5050832692</v>
      </c>
      <c r="AN22" s="5">
        <f t="shared" si="4"/>
        <v>1450586.6524411086</v>
      </c>
      <c r="AO22" s="5">
        <f t="shared" si="4"/>
        <v>1531174.799798948</v>
      </c>
      <c r="AP22" s="185">
        <f t="shared" si="4"/>
        <v>1611762.9471567874</v>
      </c>
    </row>
    <row r="23" spans="1:42" x14ac:dyDescent="0.2">
      <c r="A23" s="6">
        <f t="shared" si="9"/>
        <v>14</v>
      </c>
      <c r="B23" s="5">
        <f t="shared" ref="B23:N23" si="33">B6*(1.0374)^$A$23</f>
        <v>668817.15255218057</v>
      </c>
      <c r="C23" s="5">
        <f t="shared" si="33"/>
        <v>752419.29662120307</v>
      </c>
      <c r="D23" s="5">
        <f t="shared" si="33"/>
        <v>836021.44069022569</v>
      </c>
      <c r="E23" s="5">
        <f t="shared" si="33"/>
        <v>919623.58475924819</v>
      </c>
      <c r="F23" s="5">
        <f t="shared" si="33"/>
        <v>1003225.7288282708</v>
      </c>
      <c r="G23" s="5">
        <f t="shared" si="33"/>
        <v>1086827.8728972934</v>
      </c>
      <c r="H23" s="5">
        <f t="shared" si="33"/>
        <v>1170430.0169663159</v>
      </c>
      <c r="I23" s="5">
        <f t="shared" si="33"/>
        <v>1254032.1610353384</v>
      </c>
      <c r="J23" s="5">
        <f t="shared" si="33"/>
        <v>1337634.3051043611</v>
      </c>
      <c r="K23" s="5">
        <f t="shared" si="33"/>
        <v>1421236.4491733836</v>
      </c>
      <c r="L23" s="5">
        <f t="shared" si="33"/>
        <v>1504838.5932424061</v>
      </c>
      <c r="M23" s="5">
        <f t="shared" si="33"/>
        <v>1588440.7373114286</v>
      </c>
      <c r="N23" s="5">
        <f t="shared" si="33"/>
        <v>1672042.8813804514</v>
      </c>
      <c r="P23" s="5">
        <f t="shared" si="6"/>
        <v>0</v>
      </c>
      <c r="Q23" s="5">
        <f t="shared" si="11"/>
        <v>0</v>
      </c>
      <c r="R23" s="5">
        <f t="shared" si="12"/>
        <v>0</v>
      </c>
      <c r="S23" s="5">
        <f t="shared" si="13"/>
        <v>0</v>
      </c>
      <c r="T23" s="5">
        <f t="shared" si="14"/>
        <v>0</v>
      </c>
      <c r="U23" s="5">
        <f t="shared" si="15"/>
        <v>0</v>
      </c>
      <c r="V23" s="5">
        <f t="shared" si="16"/>
        <v>0</v>
      </c>
      <c r="W23" s="5">
        <f t="shared" si="17"/>
        <v>0</v>
      </c>
      <c r="X23" s="5">
        <f t="shared" si="18"/>
        <v>0</v>
      </c>
      <c r="Y23" s="5">
        <f t="shared" si="19"/>
        <v>0</v>
      </c>
      <c r="Z23" s="5">
        <f t="shared" si="20"/>
        <v>0</v>
      </c>
      <c r="AA23" s="5">
        <f t="shared" si="21"/>
        <v>0</v>
      </c>
      <c r="AB23" s="5">
        <f t="shared" si="22"/>
        <v>0</v>
      </c>
      <c r="AD23" s="184">
        <f t="shared" si="8"/>
        <v>668817.15255218057</v>
      </c>
      <c r="AE23" s="5">
        <f t="shared" si="4"/>
        <v>752419.29662120307</v>
      </c>
      <c r="AF23" s="5">
        <f t="shared" si="4"/>
        <v>836021.44069022569</v>
      </c>
      <c r="AG23" s="5">
        <f t="shared" si="4"/>
        <v>919623.58475924819</v>
      </c>
      <c r="AH23" s="5">
        <f t="shared" si="4"/>
        <v>1003225.7288282708</v>
      </c>
      <c r="AI23" s="5">
        <f t="shared" si="4"/>
        <v>1086827.8728972934</v>
      </c>
      <c r="AJ23" s="5">
        <f t="shared" si="4"/>
        <v>1170430.0169663159</v>
      </c>
      <c r="AK23" s="5">
        <f t="shared" si="4"/>
        <v>1254032.1610353384</v>
      </c>
      <c r="AL23" s="5">
        <f t="shared" si="4"/>
        <v>1337634.3051043611</v>
      </c>
      <c r="AM23" s="5">
        <f t="shared" si="4"/>
        <v>1421236.4491733836</v>
      </c>
      <c r="AN23" s="5">
        <f t="shared" si="4"/>
        <v>1504838.5932424061</v>
      </c>
      <c r="AO23" s="5">
        <f t="shared" si="4"/>
        <v>1588440.7373114286</v>
      </c>
      <c r="AP23" s="185">
        <f t="shared" si="4"/>
        <v>1672042.8813804514</v>
      </c>
    </row>
    <row r="24" spans="1:42" s="8" customFormat="1" x14ac:dyDescent="0.2">
      <c r="A24" s="65">
        <f t="shared" si="9"/>
        <v>15</v>
      </c>
      <c r="B24" s="66">
        <f t="shared" ref="B24:N24" si="34">B6*(1.0374)^$A$24</f>
        <v>693830.91405763209</v>
      </c>
      <c r="C24" s="66">
        <f t="shared" si="34"/>
        <v>780559.77831483609</v>
      </c>
      <c r="D24" s="66">
        <f t="shared" si="34"/>
        <v>867288.64257204009</v>
      </c>
      <c r="E24" s="66">
        <f t="shared" si="34"/>
        <v>954017.50682924408</v>
      </c>
      <c r="F24" s="66">
        <f t="shared" si="34"/>
        <v>1040746.3710864481</v>
      </c>
      <c r="G24" s="66">
        <f t="shared" si="34"/>
        <v>1127475.2353436521</v>
      </c>
      <c r="H24" s="66">
        <f t="shared" si="34"/>
        <v>1214204.0996008562</v>
      </c>
      <c r="I24" s="66">
        <f t="shared" si="34"/>
        <v>1300932.9638580601</v>
      </c>
      <c r="J24" s="66">
        <f t="shared" si="34"/>
        <v>1387661.8281152642</v>
      </c>
      <c r="K24" s="66">
        <f t="shared" si="34"/>
        <v>1474390.6923724681</v>
      </c>
      <c r="L24" s="66">
        <f t="shared" si="34"/>
        <v>1561119.5566296722</v>
      </c>
      <c r="M24" s="66">
        <f t="shared" si="34"/>
        <v>1647848.4208868761</v>
      </c>
      <c r="N24" s="69">
        <f t="shared" si="34"/>
        <v>1734577.2851440802</v>
      </c>
      <c r="P24" s="70">
        <f t="shared" si="6"/>
        <v>0</v>
      </c>
      <c r="Q24" s="67">
        <f t="shared" si="11"/>
        <v>0</v>
      </c>
      <c r="R24" s="67">
        <f t="shared" si="12"/>
        <v>0</v>
      </c>
      <c r="S24" s="67">
        <f t="shared" si="13"/>
        <v>0</v>
      </c>
      <c r="T24" s="67">
        <f t="shared" si="14"/>
        <v>0</v>
      </c>
      <c r="U24" s="67">
        <f t="shared" si="15"/>
        <v>0</v>
      </c>
      <c r="V24" s="67">
        <f t="shared" si="16"/>
        <v>0</v>
      </c>
      <c r="W24" s="67">
        <f t="shared" si="17"/>
        <v>0</v>
      </c>
      <c r="X24" s="67">
        <f t="shared" si="18"/>
        <v>0</v>
      </c>
      <c r="Y24" s="67">
        <f t="shared" si="19"/>
        <v>0</v>
      </c>
      <c r="Z24" s="67">
        <f t="shared" si="20"/>
        <v>0</v>
      </c>
      <c r="AA24" s="67">
        <f t="shared" si="21"/>
        <v>0</v>
      </c>
      <c r="AB24" s="68">
        <f t="shared" si="22"/>
        <v>0</v>
      </c>
      <c r="AD24" s="186">
        <f t="shared" si="8"/>
        <v>693830.91405763209</v>
      </c>
      <c r="AE24" s="67">
        <f t="shared" si="4"/>
        <v>780559.77831483609</v>
      </c>
      <c r="AF24" s="67">
        <f t="shared" si="4"/>
        <v>867288.64257204009</v>
      </c>
      <c r="AG24" s="67">
        <f t="shared" si="4"/>
        <v>954017.50682924408</v>
      </c>
      <c r="AH24" s="67">
        <f t="shared" si="4"/>
        <v>1040746.3710864481</v>
      </c>
      <c r="AI24" s="67">
        <f t="shared" si="4"/>
        <v>1127475.2353436521</v>
      </c>
      <c r="AJ24" s="67">
        <f t="shared" si="4"/>
        <v>1214204.0996008562</v>
      </c>
      <c r="AK24" s="67">
        <f t="shared" si="4"/>
        <v>1300932.9638580601</v>
      </c>
      <c r="AL24" s="67">
        <f t="shared" si="4"/>
        <v>1387661.8281152642</v>
      </c>
      <c r="AM24" s="67">
        <f t="shared" si="4"/>
        <v>1474390.6923724681</v>
      </c>
      <c r="AN24" s="67">
        <f t="shared" si="4"/>
        <v>1561119.5566296722</v>
      </c>
      <c r="AO24" s="67">
        <f t="shared" si="4"/>
        <v>1647848.4208868761</v>
      </c>
      <c r="AP24" s="187">
        <f t="shared" si="4"/>
        <v>1734577.2851440802</v>
      </c>
    </row>
    <row r="25" spans="1:42" x14ac:dyDescent="0.2">
      <c r="A25" s="6">
        <f t="shared" si="9"/>
        <v>16</v>
      </c>
      <c r="B25" s="5">
        <f t="shared" ref="B25:N25" si="35">B6*(1.0374)^$A$25</f>
        <v>719780.19024338783</v>
      </c>
      <c r="C25" s="5">
        <f t="shared" si="35"/>
        <v>809752.71402381128</v>
      </c>
      <c r="D25" s="5">
        <f t="shared" si="35"/>
        <v>899725.23780423473</v>
      </c>
      <c r="E25" s="5">
        <f t="shared" si="35"/>
        <v>989697.76158465818</v>
      </c>
      <c r="F25" s="5">
        <f t="shared" si="35"/>
        <v>1079670.2853650816</v>
      </c>
      <c r="G25" s="5">
        <f t="shared" si="35"/>
        <v>1169642.8091455051</v>
      </c>
      <c r="H25" s="5">
        <f t="shared" si="35"/>
        <v>1259615.3329259288</v>
      </c>
      <c r="I25" s="5">
        <f t="shared" si="35"/>
        <v>1349587.8567063522</v>
      </c>
      <c r="J25" s="5">
        <f t="shared" si="35"/>
        <v>1439560.3804867757</v>
      </c>
      <c r="K25" s="5">
        <f t="shared" si="35"/>
        <v>1529532.9042671991</v>
      </c>
      <c r="L25" s="5">
        <f t="shared" si="35"/>
        <v>1619505.4280476226</v>
      </c>
      <c r="M25" s="5">
        <f t="shared" si="35"/>
        <v>1709477.951828046</v>
      </c>
      <c r="N25" s="5">
        <f t="shared" si="35"/>
        <v>1799450.4756084695</v>
      </c>
      <c r="P25" s="5">
        <f t="shared" si="6"/>
        <v>0</v>
      </c>
      <c r="Q25" s="5">
        <f t="shared" si="11"/>
        <v>0</v>
      </c>
      <c r="R25" s="5">
        <f t="shared" si="12"/>
        <v>0</v>
      </c>
      <c r="S25" s="5">
        <f t="shared" si="13"/>
        <v>0</v>
      </c>
      <c r="T25" s="5">
        <f t="shared" si="14"/>
        <v>0</v>
      </c>
      <c r="U25" s="5">
        <f t="shared" si="15"/>
        <v>0</v>
      </c>
      <c r="V25" s="5">
        <f t="shared" si="16"/>
        <v>0</v>
      </c>
      <c r="W25" s="5">
        <f t="shared" si="17"/>
        <v>0</v>
      </c>
      <c r="X25" s="5">
        <f t="shared" si="18"/>
        <v>0</v>
      </c>
      <c r="Y25" s="5">
        <f t="shared" si="19"/>
        <v>0</v>
      </c>
      <c r="Z25" s="5">
        <f t="shared" si="20"/>
        <v>0</v>
      </c>
      <c r="AA25" s="5">
        <f t="shared" si="21"/>
        <v>0</v>
      </c>
      <c r="AB25" s="5">
        <f t="shared" si="22"/>
        <v>0</v>
      </c>
      <c r="AD25" s="184">
        <f t="shared" si="8"/>
        <v>719780.19024338783</v>
      </c>
      <c r="AE25" s="5">
        <f t="shared" si="4"/>
        <v>809752.71402381128</v>
      </c>
      <c r="AF25" s="5">
        <f t="shared" si="4"/>
        <v>899725.23780423473</v>
      </c>
      <c r="AG25" s="5">
        <f t="shared" si="4"/>
        <v>989697.76158465818</v>
      </c>
      <c r="AH25" s="5">
        <f t="shared" si="4"/>
        <v>1079670.2853650816</v>
      </c>
      <c r="AI25" s="5">
        <f t="shared" si="4"/>
        <v>1169642.8091455051</v>
      </c>
      <c r="AJ25" s="5">
        <f t="shared" si="4"/>
        <v>1259615.3329259288</v>
      </c>
      <c r="AK25" s="5">
        <f t="shared" si="4"/>
        <v>1349587.8567063522</v>
      </c>
      <c r="AL25" s="5">
        <f t="shared" si="4"/>
        <v>1439560.3804867757</v>
      </c>
      <c r="AM25" s="5" t="str">
        <f t="shared" si="4"/>
        <v>No</v>
      </c>
      <c r="AN25" s="5" t="str">
        <f t="shared" si="4"/>
        <v>No</v>
      </c>
      <c r="AO25" s="5" t="str">
        <f t="shared" si="4"/>
        <v>No</v>
      </c>
      <c r="AP25" s="185" t="str">
        <f t="shared" si="4"/>
        <v>No</v>
      </c>
    </row>
    <row r="26" spans="1:42" x14ac:dyDescent="0.2">
      <c r="A26" s="6">
        <f t="shared" si="9"/>
        <v>17</v>
      </c>
      <c r="B26" s="5">
        <f t="shared" ref="B26:N26" si="36">B6*(1.0374)^$A$26</f>
        <v>746699.96935849055</v>
      </c>
      <c r="C26" s="5">
        <f t="shared" si="36"/>
        <v>840037.46552830189</v>
      </c>
      <c r="D26" s="5">
        <f t="shared" si="36"/>
        <v>933374.96169811313</v>
      </c>
      <c r="E26" s="5">
        <f t="shared" si="36"/>
        <v>1026712.4578679245</v>
      </c>
      <c r="F26" s="5">
        <f t="shared" si="36"/>
        <v>1120049.9540377357</v>
      </c>
      <c r="G26" s="5">
        <f t="shared" si="36"/>
        <v>1213387.4502075471</v>
      </c>
      <c r="H26" s="5">
        <f t="shared" si="36"/>
        <v>1306724.9463773584</v>
      </c>
      <c r="I26" s="5">
        <f t="shared" si="36"/>
        <v>1400062.4425471697</v>
      </c>
      <c r="J26" s="5">
        <f t="shared" si="36"/>
        <v>1493399.9387169811</v>
      </c>
      <c r="K26" s="5">
        <f t="shared" si="36"/>
        <v>1586737.4348867924</v>
      </c>
      <c r="L26" s="5">
        <f t="shared" si="36"/>
        <v>1680074.9310566038</v>
      </c>
      <c r="M26" s="5">
        <f t="shared" si="36"/>
        <v>1773412.4272264151</v>
      </c>
      <c r="N26" s="5">
        <f t="shared" si="36"/>
        <v>1866749.9233962263</v>
      </c>
      <c r="P26" s="5">
        <f t="shared" si="6"/>
        <v>0</v>
      </c>
      <c r="Q26" s="5">
        <f t="shared" si="11"/>
        <v>0</v>
      </c>
      <c r="R26" s="5">
        <f t="shared" si="12"/>
        <v>0</v>
      </c>
      <c r="S26" s="5">
        <f t="shared" si="13"/>
        <v>0</v>
      </c>
      <c r="T26" s="5">
        <f t="shared" si="14"/>
        <v>0</v>
      </c>
      <c r="U26" s="5">
        <f t="shared" si="15"/>
        <v>0</v>
      </c>
      <c r="V26" s="5">
        <f t="shared" si="16"/>
        <v>0</v>
      </c>
      <c r="W26" s="5">
        <f t="shared" si="17"/>
        <v>0</v>
      </c>
      <c r="X26" s="5">
        <f t="shared" si="18"/>
        <v>0</v>
      </c>
      <c r="Y26" s="5">
        <f t="shared" si="19"/>
        <v>0</v>
      </c>
      <c r="Z26" s="5">
        <f t="shared" si="20"/>
        <v>0</v>
      </c>
      <c r="AA26" s="5">
        <f t="shared" si="21"/>
        <v>0</v>
      </c>
      <c r="AB26" s="5">
        <f t="shared" si="22"/>
        <v>0</v>
      </c>
      <c r="AD26" s="184">
        <f t="shared" si="8"/>
        <v>746699.96935849055</v>
      </c>
      <c r="AE26" s="5">
        <f t="shared" si="8"/>
        <v>840037.46552830189</v>
      </c>
      <c r="AF26" s="5">
        <f t="shared" si="8"/>
        <v>933374.96169811313</v>
      </c>
      <c r="AG26" s="5">
        <f t="shared" si="8"/>
        <v>1026712.4578679245</v>
      </c>
      <c r="AH26" s="5">
        <f t="shared" si="8"/>
        <v>1120049.9540377357</v>
      </c>
      <c r="AI26" s="5">
        <f t="shared" si="8"/>
        <v>1213387.4502075471</v>
      </c>
      <c r="AJ26" s="5" t="str">
        <f t="shared" si="8"/>
        <v>No</v>
      </c>
      <c r="AK26" s="5" t="str">
        <f t="shared" si="8"/>
        <v>No</v>
      </c>
      <c r="AL26" s="5" t="str">
        <f t="shared" si="8"/>
        <v>No</v>
      </c>
      <c r="AM26" s="5" t="str">
        <f t="shared" si="8"/>
        <v>No</v>
      </c>
      <c r="AN26" s="5" t="str">
        <f t="shared" si="8"/>
        <v>No</v>
      </c>
      <c r="AO26" s="5" t="str">
        <f t="shared" si="8"/>
        <v>No</v>
      </c>
      <c r="AP26" s="185" t="str">
        <f t="shared" si="8"/>
        <v>No</v>
      </c>
    </row>
    <row r="27" spans="1:42" x14ac:dyDescent="0.2">
      <c r="A27" s="6">
        <f t="shared" si="9"/>
        <v>18</v>
      </c>
      <c r="B27" s="5">
        <f t="shared" ref="B27:N27" si="37">B6*(1.0374)^$A$27</f>
        <v>774626.54821249819</v>
      </c>
      <c r="C27" s="5">
        <f t="shared" si="37"/>
        <v>871454.8667390605</v>
      </c>
      <c r="D27" s="5">
        <f t="shared" si="37"/>
        <v>968283.18526562268</v>
      </c>
      <c r="E27" s="5">
        <f t="shared" si="37"/>
        <v>1065111.5037921851</v>
      </c>
      <c r="F27" s="5">
        <f t="shared" si="37"/>
        <v>1161939.8223187472</v>
      </c>
      <c r="G27" s="5">
        <f t="shared" si="37"/>
        <v>1258768.1408453095</v>
      </c>
      <c r="H27" s="5">
        <f t="shared" si="37"/>
        <v>1355596.4593718718</v>
      </c>
      <c r="I27" s="5">
        <f t="shared" si="37"/>
        <v>1452424.7778984341</v>
      </c>
      <c r="J27" s="5">
        <f t="shared" si="37"/>
        <v>1549253.0964249964</v>
      </c>
      <c r="K27" s="5">
        <f t="shared" si="37"/>
        <v>1646081.4149515587</v>
      </c>
      <c r="L27" s="5">
        <f t="shared" si="37"/>
        <v>1742909.733478121</v>
      </c>
      <c r="M27" s="5">
        <f t="shared" si="37"/>
        <v>1839738.0520046833</v>
      </c>
      <c r="N27" s="5">
        <f t="shared" si="37"/>
        <v>1936566.3705312454</v>
      </c>
      <c r="P27" s="5">
        <f t="shared" si="6"/>
        <v>0</v>
      </c>
      <c r="Q27" s="5">
        <f t="shared" si="11"/>
        <v>0</v>
      </c>
      <c r="R27" s="5">
        <f t="shared" si="12"/>
        <v>0</v>
      </c>
      <c r="S27" s="5">
        <f t="shared" si="13"/>
        <v>0</v>
      </c>
      <c r="T27" s="5">
        <f t="shared" si="14"/>
        <v>0</v>
      </c>
      <c r="U27" s="5">
        <f t="shared" si="15"/>
        <v>0</v>
      </c>
      <c r="V27" s="5">
        <f t="shared" si="16"/>
        <v>0</v>
      </c>
      <c r="W27" s="5">
        <f t="shared" si="17"/>
        <v>0</v>
      </c>
      <c r="X27" s="5">
        <f t="shared" si="18"/>
        <v>0</v>
      </c>
      <c r="Y27" s="5">
        <f t="shared" si="19"/>
        <v>0</v>
      </c>
      <c r="Z27" s="5">
        <f t="shared" si="20"/>
        <v>0</v>
      </c>
      <c r="AA27" s="5">
        <f t="shared" si="21"/>
        <v>0</v>
      </c>
      <c r="AB27" s="5">
        <f t="shared" si="22"/>
        <v>0</v>
      </c>
      <c r="AD27" s="184">
        <f t="shared" si="8"/>
        <v>774626.54821249819</v>
      </c>
      <c r="AE27" s="5">
        <f t="shared" si="8"/>
        <v>871454.8667390605</v>
      </c>
      <c r="AF27" s="5">
        <f t="shared" si="8"/>
        <v>968283.18526562268</v>
      </c>
      <c r="AG27" s="5">
        <f t="shared" si="8"/>
        <v>1065111.5037921851</v>
      </c>
      <c r="AH27" s="5">
        <f t="shared" si="8"/>
        <v>1161939.8223187472</v>
      </c>
      <c r="AI27" s="5" t="str">
        <f t="shared" si="8"/>
        <v>No</v>
      </c>
      <c r="AJ27" s="5" t="str">
        <f t="shared" si="8"/>
        <v>No</v>
      </c>
      <c r="AK27" s="5" t="str">
        <f t="shared" si="8"/>
        <v>No</v>
      </c>
      <c r="AL27" s="5" t="str">
        <f t="shared" si="8"/>
        <v>No</v>
      </c>
      <c r="AM27" s="5" t="str">
        <f t="shared" si="8"/>
        <v>No</v>
      </c>
      <c r="AN27" s="5" t="str">
        <f t="shared" si="8"/>
        <v>No</v>
      </c>
      <c r="AO27" s="5" t="str">
        <f t="shared" si="8"/>
        <v>No</v>
      </c>
      <c r="AP27" s="185" t="str">
        <f t="shared" si="8"/>
        <v>No</v>
      </c>
    </row>
    <row r="28" spans="1:42" x14ac:dyDescent="0.2">
      <c r="A28" s="6">
        <f t="shared" si="9"/>
        <v>19</v>
      </c>
      <c r="B28" s="5">
        <f t="shared" ref="B28:N28" si="38">B6*(1.0374)^$A$28</f>
        <v>803597.58111564559</v>
      </c>
      <c r="C28" s="5">
        <f t="shared" si="38"/>
        <v>904047.27875510138</v>
      </c>
      <c r="D28" s="5">
        <f t="shared" si="38"/>
        <v>1004496.976394557</v>
      </c>
      <c r="E28" s="5">
        <f t="shared" si="38"/>
        <v>1104946.6740340127</v>
      </c>
      <c r="F28" s="5">
        <f t="shared" si="38"/>
        <v>1205396.3716734685</v>
      </c>
      <c r="G28" s="5">
        <f t="shared" si="38"/>
        <v>1305846.0693129241</v>
      </c>
      <c r="H28" s="5">
        <f t="shared" si="38"/>
        <v>1406295.7669523798</v>
      </c>
      <c r="I28" s="5">
        <f t="shared" si="38"/>
        <v>1506745.4645918356</v>
      </c>
      <c r="J28" s="5">
        <f t="shared" si="38"/>
        <v>1607195.1622312912</v>
      </c>
      <c r="K28" s="5">
        <f t="shared" si="38"/>
        <v>1707644.859870747</v>
      </c>
      <c r="L28" s="5">
        <f t="shared" si="38"/>
        <v>1808094.5575102028</v>
      </c>
      <c r="M28" s="5">
        <f t="shared" si="38"/>
        <v>1908544.2551496583</v>
      </c>
      <c r="N28" s="5">
        <f t="shared" si="38"/>
        <v>2008993.9527891141</v>
      </c>
      <c r="P28" s="5">
        <f t="shared" si="6"/>
        <v>0</v>
      </c>
      <c r="Q28" s="5">
        <f t="shared" si="11"/>
        <v>0</v>
      </c>
      <c r="R28" s="5">
        <f t="shared" si="12"/>
        <v>0</v>
      </c>
      <c r="S28" s="5">
        <f t="shared" si="13"/>
        <v>0</v>
      </c>
      <c r="T28" s="5">
        <f t="shared" si="14"/>
        <v>0</v>
      </c>
      <c r="U28" s="5">
        <f t="shared" si="15"/>
        <v>0</v>
      </c>
      <c r="V28" s="5">
        <f t="shared" si="16"/>
        <v>0</v>
      </c>
      <c r="W28" s="5">
        <f t="shared" si="17"/>
        <v>0</v>
      </c>
      <c r="X28" s="5">
        <f t="shared" si="18"/>
        <v>0</v>
      </c>
      <c r="Y28" s="5">
        <f t="shared" si="19"/>
        <v>0</v>
      </c>
      <c r="Z28" s="5">
        <f t="shared" si="20"/>
        <v>0</v>
      </c>
      <c r="AA28" s="5">
        <f t="shared" si="21"/>
        <v>0</v>
      </c>
      <c r="AB28" s="5">
        <f t="shared" si="22"/>
        <v>0</v>
      </c>
      <c r="AD28" s="184">
        <f t="shared" si="8"/>
        <v>803597.58111564559</v>
      </c>
      <c r="AE28" s="5">
        <f t="shared" si="8"/>
        <v>904047.27875510138</v>
      </c>
      <c r="AF28" s="5">
        <f t="shared" si="8"/>
        <v>1004496.976394557</v>
      </c>
      <c r="AG28" s="5">
        <f t="shared" si="8"/>
        <v>1104946.6740340127</v>
      </c>
      <c r="AH28" s="5" t="str">
        <f t="shared" si="8"/>
        <v>No</v>
      </c>
      <c r="AI28" s="5" t="str">
        <f t="shared" si="8"/>
        <v>No</v>
      </c>
      <c r="AJ28" s="5" t="str">
        <f t="shared" si="8"/>
        <v>No</v>
      </c>
      <c r="AK28" s="5" t="str">
        <f t="shared" si="8"/>
        <v>No</v>
      </c>
      <c r="AL28" s="5" t="str">
        <f t="shared" si="8"/>
        <v>No</v>
      </c>
      <c r="AM28" s="5" t="str">
        <f t="shared" si="8"/>
        <v>No</v>
      </c>
      <c r="AN28" s="5" t="str">
        <f t="shared" si="8"/>
        <v>No</v>
      </c>
      <c r="AO28" s="5" t="str">
        <f t="shared" si="8"/>
        <v>No</v>
      </c>
      <c r="AP28" s="185" t="str">
        <f t="shared" si="8"/>
        <v>No</v>
      </c>
    </row>
    <row r="29" spans="1:42" s="8" customFormat="1" x14ac:dyDescent="0.2">
      <c r="A29" s="65">
        <f t="shared" si="9"/>
        <v>20</v>
      </c>
      <c r="B29" s="66">
        <f t="shared" ref="B29:N29" si="39">B6*(1.0374)^$A$29</f>
        <v>833652.13064937096</v>
      </c>
      <c r="C29" s="66">
        <f t="shared" si="39"/>
        <v>937858.64698054234</v>
      </c>
      <c r="D29" s="66">
        <f t="shared" si="39"/>
        <v>1042065.1633117137</v>
      </c>
      <c r="E29" s="66">
        <f t="shared" si="39"/>
        <v>1146271.679642885</v>
      </c>
      <c r="F29" s="66">
        <f t="shared" si="39"/>
        <v>1250478.1959740564</v>
      </c>
      <c r="G29" s="66">
        <f t="shared" si="39"/>
        <v>1354684.7123052278</v>
      </c>
      <c r="H29" s="66">
        <f t="shared" si="39"/>
        <v>1458891.2286363991</v>
      </c>
      <c r="I29" s="66">
        <f t="shared" si="39"/>
        <v>1563097.7449675705</v>
      </c>
      <c r="J29" s="66">
        <f t="shared" si="39"/>
        <v>1667304.2612987419</v>
      </c>
      <c r="K29" s="66">
        <f t="shared" si="39"/>
        <v>1771510.7776299133</v>
      </c>
      <c r="L29" s="66">
        <f t="shared" si="39"/>
        <v>1875717.2939610847</v>
      </c>
      <c r="M29" s="66">
        <f t="shared" si="39"/>
        <v>1979923.8102922561</v>
      </c>
      <c r="N29" s="69">
        <f t="shared" si="39"/>
        <v>2084130.3266234274</v>
      </c>
      <c r="P29" s="70">
        <f t="shared" si="6"/>
        <v>0</v>
      </c>
      <c r="Q29" s="67">
        <f t="shared" si="11"/>
        <v>0</v>
      </c>
      <c r="R29" s="67">
        <f t="shared" si="12"/>
        <v>0</v>
      </c>
      <c r="S29" s="67">
        <f t="shared" si="13"/>
        <v>0</v>
      </c>
      <c r="T29" s="67">
        <f t="shared" si="14"/>
        <v>0</v>
      </c>
      <c r="U29" s="67">
        <f t="shared" si="15"/>
        <v>0</v>
      </c>
      <c r="V29" s="67">
        <f t="shared" si="16"/>
        <v>0</v>
      </c>
      <c r="W29" s="67">
        <f t="shared" si="17"/>
        <v>0</v>
      </c>
      <c r="X29" s="67">
        <f t="shared" si="18"/>
        <v>0</v>
      </c>
      <c r="Y29" s="67">
        <f t="shared" si="19"/>
        <v>0</v>
      </c>
      <c r="Z29" s="67">
        <f t="shared" si="20"/>
        <v>0</v>
      </c>
      <c r="AA29" s="67">
        <f t="shared" si="21"/>
        <v>0</v>
      </c>
      <c r="AB29" s="68">
        <f t="shared" si="22"/>
        <v>0</v>
      </c>
      <c r="AD29" s="186">
        <f t="shared" si="8"/>
        <v>833652.13064937096</v>
      </c>
      <c r="AE29" s="67">
        <f t="shared" si="8"/>
        <v>937858.64698054234</v>
      </c>
      <c r="AF29" s="67">
        <f t="shared" si="8"/>
        <v>1042065.1633117137</v>
      </c>
      <c r="AG29" s="67" t="str">
        <f t="shared" si="8"/>
        <v>No</v>
      </c>
      <c r="AH29" s="67" t="str">
        <f t="shared" si="8"/>
        <v>No</v>
      </c>
      <c r="AI29" s="67" t="str">
        <f t="shared" si="8"/>
        <v>No</v>
      </c>
      <c r="AJ29" s="67" t="str">
        <f t="shared" si="8"/>
        <v>No</v>
      </c>
      <c r="AK29" s="67" t="str">
        <f t="shared" si="8"/>
        <v>No</v>
      </c>
      <c r="AL29" s="67" t="str">
        <f t="shared" si="8"/>
        <v>No</v>
      </c>
      <c r="AM29" s="67" t="str">
        <f t="shared" si="8"/>
        <v>No</v>
      </c>
      <c r="AN29" s="67" t="str">
        <f t="shared" si="8"/>
        <v>No</v>
      </c>
      <c r="AO29" s="67" t="str">
        <f t="shared" si="8"/>
        <v>No</v>
      </c>
      <c r="AP29" s="187" t="str">
        <f t="shared" si="8"/>
        <v>No</v>
      </c>
    </row>
    <row r="30" spans="1:42" x14ac:dyDescent="0.2">
      <c r="A30" s="6">
        <f t="shared" si="9"/>
        <v>21</v>
      </c>
      <c r="B30" s="5">
        <f t="shared" ref="B30:N30" si="40">B6*(1.0374)^$A$30</f>
        <v>864830.72033565748</v>
      </c>
      <c r="C30" s="5">
        <f t="shared" si="40"/>
        <v>972934.56037761469</v>
      </c>
      <c r="D30" s="5">
        <f t="shared" si="40"/>
        <v>1081038.4004195719</v>
      </c>
      <c r="E30" s="5">
        <f t="shared" si="40"/>
        <v>1189142.240461529</v>
      </c>
      <c r="F30" s="5">
        <f t="shared" si="40"/>
        <v>1297246.0805034863</v>
      </c>
      <c r="G30" s="5">
        <f t="shared" si="40"/>
        <v>1405349.9205454434</v>
      </c>
      <c r="H30" s="5">
        <f t="shared" si="40"/>
        <v>1513453.7605874008</v>
      </c>
      <c r="I30" s="5">
        <f t="shared" si="40"/>
        <v>1621557.6006293579</v>
      </c>
      <c r="J30" s="5">
        <f t="shared" si="40"/>
        <v>1729661.440671315</v>
      </c>
      <c r="K30" s="5">
        <f t="shared" si="40"/>
        <v>1837765.2807132723</v>
      </c>
      <c r="L30" s="5">
        <f t="shared" si="40"/>
        <v>1945869.1207552294</v>
      </c>
      <c r="M30" s="5">
        <f t="shared" si="40"/>
        <v>2053972.9607971865</v>
      </c>
      <c r="N30" s="5">
        <f t="shared" si="40"/>
        <v>2162076.8008391438</v>
      </c>
      <c r="P30" s="5">
        <f t="shared" si="6"/>
        <v>0</v>
      </c>
      <c r="Q30" s="5">
        <f t="shared" si="11"/>
        <v>0</v>
      </c>
      <c r="R30" s="5">
        <f t="shared" si="12"/>
        <v>0</v>
      </c>
      <c r="S30" s="5">
        <f t="shared" si="13"/>
        <v>0</v>
      </c>
      <c r="T30" s="5">
        <f t="shared" si="14"/>
        <v>0</v>
      </c>
      <c r="U30" s="5">
        <f t="shared" si="15"/>
        <v>0</v>
      </c>
      <c r="V30" s="5">
        <f t="shared" si="16"/>
        <v>0</v>
      </c>
      <c r="W30" s="5">
        <f t="shared" si="17"/>
        <v>0</v>
      </c>
      <c r="X30" s="5">
        <f t="shared" si="18"/>
        <v>0</v>
      </c>
      <c r="Y30" s="5">
        <f t="shared" si="19"/>
        <v>0</v>
      </c>
      <c r="Z30" s="5">
        <f t="shared" si="20"/>
        <v>0</v>
      </c>
      <c r="AA30" s="5">
        <f t="shared" si="21"/>
        <v>0</v>
      </c>
      <c r="AB30" s="5">
        <f t="shared" si="22"/>
        <v>0</v>
      </c>
      <c r="AD30" s="184">
        <f t="shared" si="8"/>
        <v>864830.72033565748</v>
      </c>
      <c r="AE30" s="5">
        <f t="shared" si="8"/>
        <v>972934.56037761469</v>
      </c>
      <c r="AF30" s="5" t="str">
        <f t="shared" si="8"/>
        <v>No</v>
      </c>
      <c r="AG30" s="5" t="str">
        <f t="shared" si="8"/>
        <v>No</v>
      </c>
      <c r="AH30" s="5" t="str">
        <f t="shared" si="8"/>
        <v>No</v>
      </c>
      <c r="AI30" s="5" t="str">
        <f t="shared" si="8"/>
        <v>No</v>
      </c>
      <c r="AJ30" s="5" t="str">
        <f t="shared" si="8"/>
        <v>No</v>
      </c>
      <c r="AK30" s="5" t="str">
        <f t="shared" si="8"/>
        <v>No</v>
      </c>
      <c r="AL30" s="5" t="str">
        <f t="shared" si="8"/>
        <v>No</v>
      </c>
      <c r="AM30" s="5" t="str">
        <f t="shared" si="8"/>
        <v>No</v>
      </c>
      <c r="AN30" s="5" t="str">
        <f t="shared" si="8"/>
        <v>No</v>
      </c>
      <c r="AO30" s="5" t="str">
        <f t="shared" si="8"/>
        <v>No</v>
      </c>
      <c r="AP30" s="185" t="str">
        <f t="shared" si="8"/>
        <v>No</v>
      </c>
    </row>
    <row r="31" spans="1:42" x14ac:dyDescent="0.2">
      <c r="A31" s="6">
        <f t="shared" si="9"/>
        <v>22</v>
      </c>
      <c r="B31" s="5">
        <f t="shared" ref="B31:N31" si="41">B6*(1.0374)^$A$31</f>
        <v>897175.38927621127</v>
      </c>
      <c r="C31" s="5">
        <f t="shared" si="41"/>
        <v>1009322.3129357377</v>
      </c>
      <c r="D31" s="5">
        <f t="shared" si="41"/>
        <v>1121469.2365952642</v>
      </c>
      <c r="E31" s="5">
        <f t="shared" si="41"/>
        <v>1233616.1602547904</v>
      </c>
      <c r="F31" s="5">
        <f t="shared" si="41"/>
        <v>1345763.083914317</v>
      </c>
      <c r="G31" s="5">
        <f t="shared" si="41"/>
        <v>1457910.0075738432</v>
      </c>
      <c r="H31" s="5">
        <f t="shared" si="41"/>
        <v>1570056.9312333697</v>
      </c>
      <c r="I31" s="5">
        <f t="shared" si="41"/>
        <v>1682203.8548928963</v>
      </c>
      <c r="J31" s="5">
        <f t="shared" si="41"/>
        <v>1794350.7785524225</v>
      </c>
      <c r="K31" s="5">
        <f t="shared" si="41"/>
        <v>1906497.702211949</v>
      </c>
      <c r="L31" s="5">
        <f t="shared" si="41"/>
        <v>2018644.6258714753</v>
      </c>
      <c r="M31" s="5">
        <f t="shared" si="41"/>
        <v>2130791.5495310016</v>
      </c>
      <c r="N31" s="5">
        <f t="shared" si="41"/>
        <v>2242938.4731905283</v>
      </c>
      <c r="P31" s="5">
        <f t="shared" si="6"/>
        <v>0</v>
      </c>
      <c r="Q31" s="5">
        <f t="shared" si="11"/>
        <v>0</v>
      </c>
      <c r="R31" s="5">
        <f t="shared" si="12"/>
        <v>0</v>
      </c>
      <c r="S31" s="5">
        <f t="shared" si="13"/>
        <v>0</v>
      </c>
      <c r="T31" s="5">
        <f t="shared" si="14"/>
        <v>0</v>
      </c>
      <c r="U31" s="5">
        <f t="shared" si="15"/>
        <v>0</v>
      </c>
      <c r="V31" s="5">
        <f t="shared" si="16"/>
        <v>0</v>
      </c>
      <c r="W31" s="5">
        <f t="shared" si="17"/>
        <v>0</v>
      </c>
      <c r="X31" s="5">
        <f t="shared" si="18"/>
        <v>0</v>
      </c>
      <c r="Y31" s="5">
        <f t="shared" si="19"/>
        <v>0</v>
      </c>
      <c r="Z31" s="5">
        <f t="shared" si="20"/>
        <v>0</v>
      </c>
      <c r="AA31" s="5">
        <f t="shared" si="21"/>
        <v>0</v>
      </c>
      <c r="AB31" s="5">
        <f t="shared" si="22"/>
        <v>0</v>
      </c>
      <c r="AD31" s="184">
        <f t="shared" si="8"/>
        <v>897175.38927621127</v>
      </c>
      <c r="AE31" s="5">
        <f t="shared" si="8"/>
        <v>1009322.3129357377</v>
      </c>
      <c r="AF31" s="5" t="str">
        <f t="shared" si="8"/>
        <v>No</v>
      </c>
      <c r="AG31" s="5" t="str">
        <f t="shared" si="8"/>
        <v>No</v>
      </c>
      <c r="AH31" s="5" t="str">
        <f t="shared" si="8"/>
        <v>No</v>
      </c>
      <c r="AI31" s="5" t="str">
        <f t="shared" si="8"/>
        <v>No</v>
      </c>
      <c r="AJ31" s="5" t="str">
        <f t="shared" si="8"/>
        <v>No</v>
      </c>
      <c r="AK31" s="5" t="str">
        <f t="shared" si="8"/>
        <v>No</v>
      </c>
      <c r="AL31" s="5" t="str">
        <f t="shared" si="8"/>
        <v>No</v>
      </c>
      <c r="AM31" s="5" t="str">
        <f t="shared" si="8"/>
        <v>No</v>
      </c>
      <c r="AN31" s="5" t="str">
        <f t="shared" si="8"/>
        <v>No</v>
      </c>
      <c r="AO31" s="5" t="str">
        <f t="shared" si="8"/>
        <v>No</v>
      </c>
      <c r="AP31" s="185" t="str">
        <f t="shared" si="8"/>
        <v>No</v>
      </c>
    </row>
    <row r="32" spans="1:42" x14ac:dyDescent="0.2">
      <c r="A32" s="6">
        <f t="shared" si="9"/>
        <v>23</v>
      </c>
      <c r="B32" s="5">
        <f t="shared" ref="B32:N32" si="42">B6*(1.0374)^$A$32</f>
        <v>930729.74883514165</v>
      </c>
      <c r="C32" s="5">
        <f t="shared" si="42"/>
        <v>1047070.9674395344</v>
      </c>
      <c r="D32" s="5">
        <f t="shared" si="42"/>
        <v>1163412.186043927</v>
      </c>
      <c r="E32" s="5">
        <f t="shared" si="42"/>
        <v>1279753.4046483198</v>
      </c>
      <c r="F32" s="5">
        <f t="shared" si="42"/>
        <v>1396094.6232527124</v>
      </c>
      <c r="G32" s="5">
        <f t="shared" si="42"/>
        <v>1512435.8418571053</v>
      </c>
      <c r="H32" s="5">
        <f t="shared" si="42"/>
        <v>1628777.0604614979</v>
      </c>
      <c r="I32" s="5">
        <f t="shared" si="42"/>
        <v>1745118.2790658905</v>
      </c>
      <c r="J32" s="5">
        <f t="shared" si="42"/>
        <v>1861459.4976702833</v>
      </c>
      <c r="K32" s="5">
        <f t="shared" si="42"/>
        <v>1977800.7162746759</v>
      </c>
      <c r="L32" s="5">
        <f t="shared" si="42"/>
        <v>2094141.9348790688</v>
      </c>
      <c r="M32" s="5">
        <f t="shared" si="42"/>
        <v>2210483.1534834616</v>
      </c>
      <c r="N32" s="5">
        <f t="shared" si="42"/>
        <v>2326824.372087854</v>
      </c>
      <c r="P32" s="5">
        <f t="shared" si="6"/>
        <v>0</v>
      </c>
      <c r="Q32" s="5">
        <f t="shared" si="11"/>
        <v>0</v>
      </c>
      <c r="R32" s="5">
        <f t="shared" si="12"/>
        <v>0</v>
      </c>
      <c r="S32" s="5">
        <f t="shared" si="13"/>
        <v>0</v>
      </c>
      <c r="T32" s="5">
        <f t="shared" si="14"/>
        <v>0</v>
      </c>
      <c r="U32" s="5">
        <f t="shared" si="15"/>
        <v>0</v>
      </c>
      <c r="V32" s="5">
        <f t="shared" si="16"/>
        <v>0</v>
      </c>
      <c r="W32" s="5">
        <f t="shared" si="17"/>
        <v>0</v>
      </c>
      <c r="X32" s="5">
        <f t="shared" si="18"/>
        <v>0</v>
      </c>
      <c r="Y32" s="5">
        <f t="shared" si="19"/>
        <v>0</v>
      </c>
      <c r="Z32" s="5">
        <f t="shared" si="20"/>
        <v>0</v>
      </c>
      <c r="AA32" s="5">
        <f t="shared" si="21"/>
        <v>0</v>
      </c>
      <c r="AB32" s="5">
        <f t="shared" si="22"/>
        <v>0</v>
      </c>
      <c r="AD32" s="184">
        <f t="shared" si="8"/>
        <v>930729.74883514165</v>
      </c>
      <c r="AE32" s="5">
        <f t="shared" si="8"/>
        <v>1047070.9674395344</v>
      </c>
      <c r="AF32" s="5" t="str">
        <f t="shared" si="8"/>
        <v>No</v>
      </c>
      <c r="AG32" s="5" t="str">
        <f t="shared" si="8"/>
        <v>No</v>
      </c>
      <c r="AH32" s="5" t="str">
        <f t="shared" si="8"/>
        <v>No</v>
      </c>
      <c r="AI32" s="5" t="str">
        <f t="shared" si="8"/>
        <v>No</v>
      </c>
      <c r="AJ32" s="5" t="str">
        <f t="shared" si="8"/>
        <v>No</v>
      </c>
      <c r="AK32" s="5" t="str">
        <f t="shared" si="8"/>
        <v>No</v>
      </c>
      <c r="AL32" s="5" t="str">
        <f t="shared" si="8"/>
        <v>No</v>
      </c>
      <c r="AM32" s="5" t="str">
        <f t="shared" si="8"/>
        <v>No</v>
      </c>
      <c r="AN32" s="5" t="str">
        <f t="shared" si="8"/>
        <v>No</v>
      </c>
      <c r="AO32" s="5" t="str">
        <f t="shared" si="8"/>
        <v>No</v>
      </c>
      <c r="AP32" s="185" t="str">
        <f t="shared" si="8"/>
        <v>No</v>
      </c>
    </row>
    <row r="33" spans="1:42" x14ac:dyDescent="0.2">
      <c r="A33" s="6">
        <f t="shared" si="9"/>
        <v>24</v>
      </c>
      <c r="B33" s="5">
        <f t="shared" ref="B33:N33" si="43">B6*(1.0374)^$A$33</f>
        <v>965539.04144157632</v>
      </c>
      <c r="C33" s="5">
        <f t="shared" si="43"/>
        <v>1086231.4216217734</v>
      </c>
      <c r="D33" s="5">
        <f t="shared" si="43"/>
        <v>1206923.8018019702</v>
      </c>
      <c r="E33" s="5">
        <f t="shared" si="43"/>
        <v>1327616.1819821673</v>
      </c>
      <c r="F33" s="5">
        <f t="shared" si="43"/>
        <v>1448308.5621623644</v>
      </c>
      <c r="G33" s="5">
        <f t="shared" si="43"/>
        <v>1569000.9423425614</v>
      </c>
      <c r="H33" s="5">
        <f t="shared" si="43"/>
        <v>1689693.3225227585</v>
      </c>
      <c r="I33" s="5">
        <f t="shared" si="43"/>
        <v>1810385.7027029556</v>
      </c>
      <c r="J33" s="5">
        <f t="shared" si="43"/>
        <v>1931078.0828831526</v>
      </c>
      <c r="K33" s="5">
        <f t="shared" si="43"/>
        <v>2051770.4630633495</v>
      </c>
      <c r="L33" s="5">
        <f t="shared" si="43"/>
        <v>2172462.8432435468</v>
      </c>
      <c r="M33" s="5">
        <f t="shared" si="43"/>
        <v>2293155.2234237436</v>
      </c>
      <c r="N33" s="5">
        <f t="shared" si="43"/>
        <v>2413847.6036039405</v>
      </c>
      <c r="P33" s="5">
        <f t="shared" si="6"/>
        <v>0</v>
      </c>
      <c r="Q33" s="5">
        <f t="shared" si="11"/>
        <v>0</v>
      </c>
      <c r="R33" s="5">
        <f t="shared" si="12"/>
        <v>0</v>
      </c>
      <c r="S33" s="5">
        <f t="shared" si="13"/>
        <v>0</v>
      </c>
      <c r="T33" s="5">
        <f t="shared" si="14"/>
        <v>0</v>
      </c>
      <c r="U33" s="5">
        <f t="shared" si="15"/>
        <v>0</v>
      </c>
      <c r="V33" s="5">
        <f t="shared" si="16"/>
        <v>0</v>
      </c>
      <c r="W33" s="5">
        <f t="shared" si="17"/>
        <v>0</v>
      </c>
      <c r="X33" s="5">
        <f t="shared" si="18"/>
        <v>0</v>
      </c>
      <c r="Y33" s="5">
        <f t="shared" si="19"/>
        <v>0</v>
      </c>
      <c r="Z33" s="5">
        <f t="shared" si="20"/>
        <v>0</v>
      </c>
      <c r="AA33" s="5">
        <f t="shared" si="21"/>
        <v>0</v>
      </c>
      <c r="AB33" s="5">
        <f t="shared" si="22"/>
        <v>0</v>
      </c>
      <c r="AD33" s="184">
        <f t="shared" si="8"/>
        <v>965539.04144157632</v>
      </c>
      <c r="AE33" s="5" t="str">
        <f t="shared" si="8"/>
        <v>No</v>
      </c>
      <c r="AF33" s="5" t="str">
        <f t="shared" si="8"/>
        <v>No</v>
      </c>
      <c r="AG33" s="5" t="str">
        <f t="shared" si="8"/>
        <v>No</v>
      </c>
      <c r="AH33" s="5" t="str">
        <f t="shared" si="8"/>
        <v>No</v>
      </c>
      <c r="AI33" s="5" t="str">
        <f t="shared" si="8"/>
        <v>No</v>
      </c>
      <c r="AJ33" s="5" t="str">
        <f t="shared" si="8"/>
        <v>No</v>
      </c>
      <c r="AK33" s="5" t="str">
        <f t="shared" si="8"/>
        <v>No</v>
      </c>
      <c r="AL33" s="5" t="str">
        <f t="shared" si="8"/>
        <v>No</v>
      </c>
      <c r="AM33" s="5" t="str">
        <f t="shared" si="8"/>
        <v>No</v>
      </c>
      <c r="AN33" s="5" t="str">
        <f t="shared" si="8"/>
        <v>No</v>
      </c>
      <c r="AO33" s="5" t="str">
        <f t="shared" si="8"/>
        <v>No</v>
      </c>
      <c r="AP33" s="185" t="str">
        <f t="shared" si="8"/>
        <v>No</v>
      </c>
    </row>
    <row r="34" spans="1:42" s="8" customFormat="1" ht="17" thickBot="1" x14ac:dyDescent="0.25">
      <c r="A34" s="65">
        <f t="shared" si="9"/>
        <v>25</v>
      </c>
      <c r="B34" s="66">
        <f t="shared" ref="B34:N34" si="44">B6*(1.0374)^$A$34</f>
        <v>1001650.2015914911</v>
      </c>
      <c r="C34" s="66">
        <f t="shared" si="44"/>
        <v>1126856.4767904275</v>
      </c>
      <c r="D34" s="66">
        <f t="shared" si="44"/>
        <v>1252062.7519893639</v>
      </c>
      <c r="E34" s="66">
        <f t="shared" si="44"/>
        <v>1377269.0271883004</v>
      </c>
      <c r="F34" s="66">
        <f t="shared" si="44"/>
        <v>1502475.3023872366</v>
      </c>
      <c r="G34" s="66">
        <f t="shared" si="44"/>
        <v>1627681.5775861731</v>
      </c>
      <c r="H34" s="66">
        <f t="shared" si="44"/>
        <v>1752887.8527851095</v>
      </c>
      <c r="I34" s="66">
        <f t="shared" si="44"/>
        <v>1878094.1279840458</v>
      </c>
      <c r="J34" s="66">
        <f t="shared" si="44"/>
        <v>2003300.4031829822</v>
      </c>
      <c r="K34" s="66">
        <f t="shared" si="44"/>
        <v>2128506.6783819185</v>
      </c>
      <c r="L34" s="66">
        <f t="shared" si="44"/>
        <v>2253712.9535808549</v>
      </c>
      <c r="M34" s="66">
        <f t="shared" si="44"/>
        <v>2378919.2287797914</v>
      </c>
      <c r="N34" s="69">
        <f t="shared" si="44"/>
        <v>2504125.5039787279</v>
      </c>
      <c r="P34" s="70">
        <f t="shared" si="6"/>
        <v>0</v>
      </c>
      <c r="Q34" s="67">
        <f t="shared" si="11"/>
        <v>0</v>
      </c>
      <c r="R34" s="67">
        <f t="shared" si="12"/>
        <v>0</v>
      </c>
      <c r="S34" s="67">
        <f t="shared" si="13"/>
        <v>0</v>
      </c>
      <c r="T34" s="67">
        <f t="shared" si="14"/>
        <v>0</v>
      </c>
      <c r="U34" s="67">
        <f t="shared" si="15"/>
        <v>0</v>
      </c>
      <c r="V34" s="67">
        <f t="shared" si="16"/>
        <v>0</v>
      </c>
      <c r="W34" s="67">
        <f t="shared" si="17"/>
        <v>0</v>
      </c>
      <c r="X34" s="67">
        <f t="shared" si="18"/>
        <v>0</v>
      </c>
      <c r="Y34" s="67">
        <f t="shared" si="19"/>
        <v>0</v>
      </c>
      <c r="Z34" s="67">
        <f t="shared" si="20"/>
        <v>0</v>
      </c>
      <c r="AA34" s="67">
        <f t="shared" si="21"/>
        <v>0</v>
      </c>
      <c r="AB34" s="68">
        <f t="shared" si="22"/>
        <v>0</v>
      </c>
      <c r="AD34" s="188">
        <f t="shared" si="8"/>
        <v>1001650.2015914911</v>
      </c>
      <c r="AE34" s="189" t="str">
        <f t="shared" si="8"/>
        <v>No</v>
      </c>
      <c r="AF34" s="189" t="str">
        <f t="shared" si="8"/>
        <v>No</v>
      </c>
      <c r="AG34" s="189" t="str">
        <f t="shared" si="8"/>
        <v>No</v>
      </c>
      <c r="AH34" s="189" t="str">
        <f t="shared" si="8"/>
        <v>No</v>
      </c>
      <c r="AI34" s="189" t="str">
        <f t="shared" si="8"/>
        <v>No</v>
      </c>
      <c r="AJ34" s="189" t="str">
        <f t="shared" si="8"/>
        <v>No</v>
      </c>
      <c r="AK34" s="189" t="str">
        <f t="shared" si="8"/>
        <v>No</v>
      </c>
      <c r="AL34" s="189" t="str">
        <f t="shared" si="8"/>
        <v>No</v>
      </c>
      <c r="AM34" s="189" t="str">
        <f t="shared" si="8"/>
        <v>No</v>
      </c>
      <c r="AN34" s="189" t="str">
        <f t="shared" si="8"/>
        <v>No</v>
      </c>
      <c r="AO34" s="189" t="str">
        <f t="shared" si="8"/>
        <v>No</v>
      </c>
      <c r="AP34" s="190" t="str">
        <f t="shared" si="8"/>
        <v>No</v>
      </c>
    </row>
    <row r="36" spans="1:42" ht="17" thickBot="1" x14ac:dyDescent="0.25">
      <c r="A36" s="6" t="s">
        <v>45</v>
      </c>
      <c r="P36" s="5" t="s">
        <v>49</v>
      </c>
      <c r="AD36" s="5" t="s">
        <v>50</v>
      </c>
    </row>
    <row r="37" spans="1:42" x14ac:dyDescent="0.2">
      <c r="A37" s="6">
        <v>1</v>
      </c>
      <c r="B37" s="5">
        <f>12*B7*$A$37</f>
        <v>39043.367508001393</v>
      </c>
      <c r="C37" s="5">
        <f t="shared" ref="C37:N37" si="45">12*C7*$A$37</f>
        <v>45349.707376169856</v>
      </c>
      <c r="D37" s="5">
        <f t="shared" si="45"/>
        <v>51656.047244338319</v>
      </c>
      <c r="E37" s="5">
        <f t="shared" si="45"/>
        <v>57962.387112506796</v>
      </c>
      <c r="F37" s="5">
        <f t="shared" si="45"/>
        <v>64268.726980675274</v>
      </c>
      <c r="G37" s="5">
        <f t="shared" si="45"/>
        <v>70575.066848843737</v>
      </c>
      <c r="H37" s="5">
        <f t="shared" si="45"/>
        <v>76881.406717012229</v>
      </c>
      <c r="I37" s="5">
        <f t="shared" si="45"/>
        <v>83187.746585180677</v>
      </c>
      <c r="J37" s="5">
        <f t="shared" si="45"/>
        <v>89494.086453349155</v>
      </c>
      <c r="K37" s="5">
        <f t="shared" si="45"/>
        <v>95800.426321517618</v>
      </c>
      <c r="L37" s="5">
        <f t="shared" si="45"/>
        <v>102106.76618968608</v>
      </c>
      <c r="M37" s="5">
        <f t="shared" si="45"/>
        <v>108413.10605785457</v>
      </c>
      <c r="N37" s="5">
        <f t="shared" si="45"/>
        <v>114719.44592602302</v>
      </c>
      <c r="P37" s="5">
        <f t="shared" ref="P37:P61" si="46">B37+$F$4</f>
        <v>168261.93436623766</v>
      </c>
      <c r="Q37" s="5">
        <f t="shared" ref="Q37:AB37" si="47">C37+$F$4</f>
        <v>174568.27423440613</v>
      </c>
      <c r="R37" s="5">
        <f t="shared" si="47"/>
        <v>180874.61410257459</v>
      </c>
      <c r="S37" s="5">
        <f t="shared" si="47"/>
        <v>187180.95397074305</v>
      </c>
      <c r="T37" s="5">
        <f t="shared" si="47"/>
        <v>193487.29383891154</v>
      </c>
      <c r="U37" s="5">
        <f t="shared" si="47"/>
        <v>199793.63370708001</v>
      </c>
      <c r="V37" s="5">
        <f t="shared" si="47"/>
        <v>206099.9735752485</v>
      </c>
      <c r="W37" s="5">
        <f t="shared" si="47"/>
        <v>212406.31344341696</v>
      </c>
      <c r="X37" s="5">
        <f t="shared" si="47"/>
        <v>218712.65331158543</v>
      </c>
      <c r="Y37" s="5">
        <f t="shared" si="47"/>
        <v>225018.99317975389</v>
      </c>
      <c r="Z37" s="5">
        <f t="shared" si="47"/>
        <v>231325.33304792235</v>
      </c>
      <c r="AA37" s="5">
        <f t="shared" si="47"/>
        <v>237631.67291609084</v>
      </c>
      <c r="AB37" s="5">
        <f t="shared" si="47"/>
        <v>243938.01278425928</v>
      </c>
      <c r="AD37" s="181">
        <f>AD10-P37</f>
        <v>-43391.113593333284</v>
      </c>
      <c r="AE37" s="182">
        <f>AE10-Q37</f>
        <v>-34088.600864888635</v>
      </c>
      <c r="AF37" s="182">
        <f t="shared" ref="AF37:AP52" si="48">AF10-R37</f>
        <v>-24786.088136444101</v>
      </c>
      <c r="AG37" s="182">
        <f t="shared" si="48"/>
        <v>-15483.575407999568</v>
      </c>
      <c r="AH37" s="182">
        <f t="shared" si="48"/>
        <v>-6181.062679554947</v>
      </c>
      <c r="AI37" s="182">
        <f t="shared" si="48"/>
        <v>3121.4500488897029</v>
      </c>
      <c r="AJ37" s="182">
        <f t="shared" si="48"/>
        <v>12423.962777334149</v>
      </c>
      <c r="AK37" s="182">
        <f t="shared" si="48"/>
        <v>21726.475505778799</v>
      </c>
      <c r="AL37" s="182">
        <f t="shared" si="48"/>
        <v>31028.988234223332</v>
      </c>
      <c r="AM37" s="182">
        <f t="shared" si="48"/>
        <v>40331.500962667982</v>
      </c>
      <c r="AN37" s="182">
        <f t="shared" si="48"/>
        <v>49634.013691112632</v>
      </c>
      <c r="AO37" s="182">
        <f t="shared" si="48"/>
        <v>58936.52641955702</v>
      </c>
      <c r="AP37" s="183">
        <f t="shared" si="48"/>
        <v>68239.039148001699</v>
      </c>
    </row>
    <row r="38" spans="1:42" x14ac:dyDescent="0.2">
      <c r="A38" s="6">
        <f>A37+1</f>
        <v>2</v>
      </c>
      <c r="B38" s="5">
        <f>12*B7*$A$38</f>
        <v>78086.735016002785</v>
      </c>
      <c r="C38" s="5">
        <f t="shared" ref="C38:N38" si="49">12*C7*$A$38</f>
        <v>90699.414752339711</v>
      </c>
      <c r="D38" s="5">
        <f t="shared" si="49"/>
        <v>103312.09448867664</v>
      </c>
      <c r="E38" s="5">
        <f t="shared" si="49"/>
        <v>115924.77422501359</v>
      </c>
      <c r="F38" s="5">
        <f t="shared" si="49"/>
        <v>128537.45396135055</v>
      </c>
      <c r="G38" s="5">
        <f t="shared" si="49"/>
        <v>141150.13369768747</v>
      </c>
      <c r="H38" s="5">
        <f t="shared" si="49"/>
        <v>153762.81343402446</v>
      </c>
      <c r="I38" s="5">
        <f t="shared" si="49"/>
        <v>166375.49317036135</v>
      </c>
      <c r="J38" s="5">
        <f t="shared" si="49"/>
        <v>178988.17290669831</v>
      </c>
      <c r="K38" s="5">
        <f t="shared" si="49"/>
        <v>191600.85264303524</v>
      </c>
      <c r="L38" s="5">
        <f t="shared" si="49"/>
        <v>204213.53237937216</v>
      </c>
      <c r="M38" s="5">
        <f>12*M7*$A$38</f>
        <v>216826.21211570915</v>
      </c>
      <c r="N38" s="5">
        <f t="shared" si="49"/>
        <v>229438.89185204604</v>
      </c>
      <c r="P38" s="5">
        <f t="shared" si="46"/>
        <v>207305.30187423906</v>
      </c>
      <c r="Q38" s="5">
        <f t="shared" ref="Q38:Q61" si="50">C38+$F$4</f>
        <v>219917.98161057598</v>
      </c>
      <c r="R38" s="5">
        <f t="shared" ref="R38:R61" si="51">D38+$F$4</f>
        <v>232530.66134691291</v>
      </c>
      <c r="S38" s="5">
        <f t="shared" ref="S38:S61" si="52">E38+$F$4</f>
        <v>245143.34108324986</v>
      </c>
      <c r="T38" s="5">
        <f t="shared" ref="T38:T61" si="53">F38+$F$4</f>
        <v>257756.02081958682</v>
      </c>
      <c r="U38" s="5">
        <f t="shared" ref="U38:U61" si="54">G38+$F$4</f>
        <v>270368.70055592374</v>
      </c>
      <c r="V38" s="5">
        <f t="shared" ref="V38:V61" si="55">H38+$F$4</f>
        <v>282981.38029226073</v>
      </c>
      <c r="W38" s="5">
        <f t="shared" ref="W38:W61" si="56">I38+$F$4</f>
        <v>295594.0600285976</v>
      </c>
      <c r="X38" s="5">
        <f t="shared" ref="X38:X61" si="57">J38+$F$4</f>
        <v>308206.73976493458</v>
      </c>
      <c r="Y38" s="5">
        <f t="shared" ref="Y38:Y61" si="58">K38+$F$4</f>
        <v>320819.41950127151</v>
      </c>
      <c r="Z38" s="5">
        <f t="shared" ref="Z38:Z61" si="59">L38+$F$4</f>
        <v>333432.09923760843</v>
      </c>
      <c r="AA38" s="5">
        <f t="shared" ref="AA38:AA61" si="60">M38+$F$4</f>
        <v>346044.77897394542</v>
      </c>
      <c r="AB38" s="5">
        <f t="shared" ref="AB38:AB61" si="61">N38+$F$4</f>
        <v>358657.45871028234</v>
      </c>
      <c r="AD38" s="184">
        <f>AD11-P38</f>
        <v>-36603.908423383255</v>
      </c>
      <c r="AE38" s="5">
        <f t="shared" ref="AE38:AP61" si="62">AE11-Q38</f>
        <v>-27878.913978363038</v>
      </c>
      <c r="AF38" s="5">
        <f t="shared" si="48"/>
        <v>-19153.919533343054</v>
      </c>
      <c r="AG38" s="5">
        <f t="shared" si="48"/>
        <v>-10428.925088323042</v>
      </c>
      <c r="AH38" s="5">
        <f t="shared" si="48"/>
        <v>-1703.9306433030288</v>
      </c>
      <c r="AI38" s="5">
        <f t="shared" si="48"/>
        <v>7021.0638017170713</v>
      </c>
      <c r="AJ38" s="5">
        <f t="shared" si="48"/>
        <v>15746.058246736997</v>
      </c>
      <c r="AK38" s="5">
        <f t="shared" si="48"/>
        <v>24471.052691757155</v>
      </c>
      <c r="AL38" s="5">
        <f t="shared" si="48"/>
        <v>33196.047136777022</v>
      </c>
      <c r="AM38" s="5">
        <f t="shared" si="48"/>
        <v>41921.041581797239</v>
      </c>
      <c r="AN38" s="5">
        <f t="shared" si="48"/>
        <v>50646.036026817455</v>
      </c>
      <c r="AO38" s="5">
        <f t="shared" si="48"/>
        <v>59371.030471837264</v>
      </c>
      <c r="AP38" s="185">
        <f t="shared" si="48"/>
        <v>68096.024916857365</v>
      </c>
    </row>
    <row r="39" spans="1:42" x14ac:dyDescent="0.2">
      <c r="A39" s="6">
        <f t="shared" ref="A39:A61" si="63">A38+1</f>
        <v>3</v>
      </c>
      <c r="B39" s="5">
        <f>12*B7*$A$39</f>
        <v>117130.10252400418</v>
      </c>
      <c r="C39" s="5">
        <f t="shared" ref="C39:N39" si="64">12*C7*$A$39</f>
        <v>136049.12212850957</v>
      </c>
      <c r="D39" s="5">
        <f t="shared" si="64"/>
        <v>154968.14173301496</v>
      </c>
      <c r="E39" s="5">
        <f t="shared" si="64"/>
        <v>173887.1613375204</v>
      </c>
      <c r="F39" s="5">
        <f t="shared" si="64"/>
        <v>192806.18094202582</v>
      </c>
      <c r="G39" s="5">
        <f t="shared" si="64"/>
        <v>211725.20054653121</v>
      </c>
      <c r="H39" s="5">
        <f t="shared" si="64"/>
        <v>230644.22015103669</v>
      </c>
      <c r="I39" s="5">
        <f t="shared" si="64"/>
        <v>249563.23975554202</v>
      </c>
      <c r="J39" s="5">
        <f t="shared" si="64"/>
        <v>268482.25936004746</v>
      </c>
      <c r="K39" s="5">
        <f t="shared" si="64"/>
        <v>287401.27896455285</v>
      </c>
      <c r="L39" s="5">
        <f t="shared" si="64"/>
        <v>306320.29856905824</v>
      </c>
      <c r="M39" s="5">
        <f t="shared" si="64"/>
        <v>325239.31817356369</v>
      </c>
      <c r="N39" s="5">
        <f t="shared" si="64"/>
        <v>344158.33777806908</v>
      </c>
      <c r="P39" s="5">
        <f t="shared" si="46"/>
        <v>246348.66938224045</v>
      </c>
      <c r="Q39" s="5">
        <f t="shared" si="50"/>
        <v>265267.68898674584</v>
      </c>
      <c r="R39" s="5">
        <f t="shared" si="51"/>
        <v>284186.70859125123</v>
      </c>
      <c r="S39" s="5">
        <f t="shared" si="52"/>
        <v>303105.72819575667</v>
      </c>
      <c r="T39" s="5">
        <f t="shared" si="53"/>
        <v>322024.74780026206</v>
      </c>
      <c r="U39" s="5">
        <f t="shared" si="54"/>
        <v>340943.76740476745</v>
      </c>
      <c r="V39" s="5">
        <f t="shared" si="55"/>
        <v>359862.78700927296</v>
      </c>
      <c r="W39" s="5">
        <f t="shared" si="56"/>
        <v>378781.80661377829</v>
      </c>
      <c r="X39" s="5">
        <f t="shared" si="57"/>
        <v>397700.82621828374</v>
      </c>
      <c r="Y39" s="5">
        <f t="shared" si="58"/>
        <v>416619.84582278912</v>
      </c>
      <c r="Z39" s="5">
        <f t="shared" si="59"/>
        <v>435538.86542729451</v>
      </c>
      <c r="AA39" s="5">
        <f t="shared" si="60"/>
        <v>454457.88503179996</v>
      </c>
      <c r="AB39" s="5">
        <f t="shared" si="61"/>
        <v>473376.90463630535</v>
      </c>
      <c r="AD39" s="184">
        <f t="shared" ref="AD39:AD60" si="65">AD12-P39</f>
        <v>-28830.67003153282</v>
      </c>
      <c r="AE39" s="5">
        <f t="shared" si="62"/>
        <v>-20559.939717199624</v>
      </c>
      <c r="AF39" s="5">
        <f t="shared" si="48"/>
        <v>-12289.209402866662</v>
      </c>
      <c r="AG39" s="5">
        <f t="shared" si="48"/>
        <v>-4018.4790885336115</v>
      </c>
      <c r="AH39" s="5">
        <f t="shared" si="48"/>
        <v>4252.2512257993221</v>
      </c>
      <c r="AI39" s="5">
        <f t="shared" si="48"/>
        <v>12522.981540132489</v>
      </c>
      <c r="AJ39" s="5">
        <f t="shared" si="48"/>
        <v>20793.711854465248</v>
      </c>
      <c r="AK39" s="5">
        <f t="shared" si="48"/>
        <v>29064.44216879853</v>
      </c>
      <c r="AL39" s="5">
        <f t="shared" si="48"/>
        <v>37335.172483131522</v>
      </c>
      <c r="AM39" s="5">
        <f t="shared" si="48"/>
        <v>45605.902797464631</v>
      </c>
      <c r="AN39" s="5">
        <f t="shared" si="48"/>
        <v>53876.633111797913</v>
      </c>
      <c r="AO39" s="5">
        <f t="shared" si="48"/>
        <v>62147.363426130672</v>
      </c>
      <c r="AP39" s="185">
        <f t="shared" si="48"/>
        <v>70418.093740463781</v>
      </c>
    </row>
    <row r="40" spans="1:42" x14ac:dyDescent="0.2">
      <c r="A40" s="6">
        <f t="shared" si="63"/>
        <v>4</v>
      </c>
      <c r="B40" s="5">
        <f>12*B7*$A$40</f>
        <v>156173.47003200557</v>
      </c>
      <c r="C40" s="5">
        <f t="shared" ref="C40:N40" si="66">12*C7*$A$40</f>
        <v>181398.82950467942</v>
      </c>
      <c r="D40" s="5">
        <f t="shared" si="66"/>
        <v>206624.18897735327</v>
      </c>
      <c r="E40" s="5">
        <f t="shared" si="66"/>
        <v>231849.54845002719</v>
      </c>
      <c r="F40" s="5">
        <f t="shared" si="66"/>
        <v>257074.9079227011</v>
      </c>
      <c r="G40" s="5">
        <f t="shared" si="66"/>
        <v>282300.26739537495</v>
      </c>
      <c r="H40" s="5">
        <f t="shared" si="66"/>
        <v>307525.62686804892</v>
      </c>
      <c r="I40" s="5">
        <f t="shared" si="66"/>
        <v>332750.98634072271</v>
      </c>
      <c r="J40" s="5">
        <f t="shared" si="66"/>
        <v>357976.34581339662</v>
      </c>
      <c r="K40" s="5">
        <f t="shared" si="66"/>
        <v>383201.70528607047</v>
      </c>
      <c r="L40" s="5">
        <f t="shared" si="66"/>
        <v>408427.06475874432</v>
      </c>
      <c r="M40" s="5">
        <f t="shared" si="66"/>
        <v>433652.42423141829</v>
      </c>
      <c r="N40" s="5">
        <f t="shared" si="66"/>
        <v>458877.78370409209</v>
      </c>
      <c r="P40" s="5">
        <f t="shared" si="46"/>
        <v>285392.03689024184</v>
      </c>
      <c r="Q40" s="5">
        <f t="shared" si="50"/>
        <v>310617.39636291569</v>
      </c>
      <c r="R40" s="5">
        <f t="shared" si="51"/>
        <v>335842.75583558955</v>
      </c>
      <c r="S40" s="5">
        <f t="shared" si="52"/>
        <v>361068.11530826346</v>
      </c>
      <c r="T40" s="5">
        <f t="shared" si="53"/>
        <v>386293.47478093737</v>
      </c>
      <c r="U40" s="5">
        <f t="shared" si="54"/>
        <v>411518.83425361122</v>
      </c>
      <c r="V40" s="5">
        <f t="shared" si="55"/>
        <v>436744.19372628519</v>
      </c>
      <c r="W40" s="5">
        <f t="shared" si="56"/>
        <v>461969.55319895898</v>
      </c>
      <c r="X40" s="5">
        <f t="shared" si="57"/>
        <v>487194.91267163289</v>
      </c>
      <c r="Y40" s="5">
        <f t="shared" si="58"/>
        <v>512420.27214430674</v>
      </c>
      <c r="Z40" s="5">
        <f t="shared" si="59"/>
        <v>537645.63161698054</v>
      </c>
      <c r="AA40" s="5">
        <f t="shared" si="60"/>
        <v>562870.99108965462</v>
      </c>
      <c r="AB40" s="5">
        <f t="shared" si="61"/>
        <v>588096.35056232836</v>
      </c>
      <c r="AD40" s="184">
        <f t="shared" si="65"/>
        <v>-20044.262820246397</v>
      </c>
      <c r="AE40" s="5">
        <f t="shared" si="62"/>
        <v>-12101.150534170622</v>
      </c>
      <c r="AF40" s="5">
        <f t="shared" si="48"/>
        <v>-4158.0382480951375</v>
      </c>
      <c r="AG40" s="5">
        <f t="shared" si="48"/>
        <v>3785.0740379804047</v>
      </c>
      <c r="AH40" s="5">
        <f t="shared" si="48"/>
        <v>11728.186324055889</v>
      </c>
      <c r="AI40" s="5">
        <f t="shared" si="48"/>
        <v>19671.298610131431</v>
      </c>
      <c r="AJ40" s="5">
        <f t="shared" si="48"/>
        <v>27614.41089620674</v>
      </c>
      <c r="AK40" s="5">
        <f t="shared" si="48"/>
        <v>35557.523182282515</v>
      </c>
      <c r="AL40" s="5">
        <f t="shared" si="48"/>
        <v>43500.635468357999</v>
      </c>
      <c r="AM40" s="5">
        <f t="shared" si="48"/>
        <v>51443.747754433716</v>
      </c>
      <c r="AN40" s="5">
        <f t="shared" si="48"/>
        <v>59386.860040509608</v>
      </c>
      <c r="AO40" s="5">
        <f t="shared" si="48"/>
        <v>67329.972326584626</v>
      </c>
      <c r="AP40" s="185">
        <f t="shared" si="48"/>
        <v>75273.084612660459</v>
      </c>
    </row>
    <row r="41" spans="1:42" s="9" customFormat="1" x14ac:dyDescent="0.2">
      <c r="A41" s="64">
        <f t="shared" si="63"/>
        <v>5</v>
      </c>
      <c r="B41" s="62">
        <f>12*B7*$A$41</f>
        <v>195216.83754000696</v>
      </c>
      <c r="C41" s="62">
        <f t="shared" ref="C41:N41" si="67">12*C7*$A$41</f>
        <v>226748.53688084928</v>
      </c>
      <c r="D41" s="62">
        <f t="shared" si="67"/>
        <v>258280.23622169159</v>
      </c>
      <c r="E41" s="62">
        <f t="shared" si="67"/>
        <v>289811.93556253397</v>
      </c>
      <c r="F41" s="62">
        <f t="shared" si="67"/>
        <v>321343.63490337634</v>
      </c>
      <c r="G41" s="62">
        <f t="shared" si="67"/>
        <v>352875.33424421865</v>
      </c>
      <c r="H41" s="62">
        <f t="shared" si="67"/>
        <v>384407.03358506114</v>
      </c>
      <c r="I41" s="62">
        <f t="shared" si="67"/>
        <v>415938.7329259034</v>
      </c>
      <c r="J41" s="62">
        <f t="shared" si="67"/>
        <v>447470.43226674577</v>
      </c>
      <c r="K41" s="62">
        <f t="shared" si="67"/>
        <v>479002.13160758809</v>
      </c>
      <c r="L41" s="62">
        <f t="shared" si="67"/>
        <v>510533.8309484304</v>
      </c>
      <c r="M41" s="62">
        <f t="shared" si="67"/>
        <v>542065.53028927289</v>
      </c>
      <c r="N41" s="63">
        <f t="shared" si="67"/>
        <v>573597.22963011509</v>
      </c>
      <c r="P41" s="61">
        <f t="shared" si="46"/>
        <v>324435.40439824323</v>
      </c>
      <c r="Q41" s="62">
        <f t="shared" si="50"/>
        <v>355967.10373908555</v>
      </c>
      <c r="R41" s="62">
        <f t="shared" si="51"/>
        <v>387498.80307992786</v>
      </c>
      <c r="S41" s="62">
        <f t="shared" si="52"/>
        <v>419030.50242077024</v>
      </c>
      <c r="T41" s="62">
        <f t="shared" si="53"/>
        <v>450562.20176161261</v>
      </c>
      <c r="U41" s="62">
        <f t="shared" si="54"/>
        <v>482093.90110245493</v>
      </c>
      <c r="V41" s="62">
        <f t="shared" si="55"/>
        <v>513625.60044329742</v>
      </c>
      <c r="W41" s="62">
        <f t="shared" si="56"/>
        <v>545157.29978413973</v>
      </c>
      <c r="X41" s="62">
        <f t="shared" si="57"/>
        <v>576688.99912498205</v>
      </c>
      <c r="Y41" s="62">
        <f t="shared" si="58"/>
        <v>608220.69846582436</v>
      </c>
      <c r="Z41" s="62">
        <f t="shared" si="59"/>
        <v>639752.39780666668</v>
      </c>
      <c r="AA41" s="62">
        <f t="shared" si="60"/>
        <v>671284.09714750922</v>
      </c>
      <c r="AB41" s="63">
        <f t="shared" si="61"/>
        <v>702815.79648835142</v>
      </c>
      <c r="AD41" s="191">
        <f t="shared" si="65"/>
        <v>-10216.666682596027</v>
      </c>
      <c r="AE41" s="62">
        <f t="shared" si="62"/>
        <v>-2471.0238089822815</v>
      </c>
      <c r="AF41" s="62">
        <f t="shared" si="48"/>
        <v>5274.6190646312898</v>
      </c>
      <c r="AG41" s="62">
        <f t="shared" si="48"/>
        <v>13020.261938244686</v>
      </c>
      <c r="AH41" s="62">
        <f t="shared" si="48"/>
        <v>20765.904811858141</v>
      </c>
      <c r="AI41" s="62">
        <f t="shared" si="48"/>
        <v>28511.547685471829</v>
      </c>
      <c r="AJ41" s="62">
        <f t="shared" si="48"/>
        <v>36257.190559085109</v>
      </c>
      <c r="AK41" s="62">
        <f t="shared" si="48"/>
        <v>44002.833432698739</v>
      </c>
      <c r="AL41" s="62">
        <f t="shared" si="48"/>
        <v>51748.476306312368</v>
      </c>
      <c r="AM41" s="62">
        <f t="shared" si="48"/>
        <v>59494.119179926114</v>
      </c>
      <c r="AN41" s="62">
        <f t="shared" si="48"/>
        <v>67239.76205353986</v>
      </c>
      <c r="AO41" s="62">
        <f t="shared" si="48"/>
        <v>74985.404927152907</v>
      </c>
      <c r="AP41" s="192">
        <f t="shared" si="48"/>
        <v>82731.047800766886</v>
      </c>
    </row>
    <row r="42" spans="1:42" x14ac:dyDescent="0.2">
      <c r="A42" s="6">
        <f t="shared" si="63"/>
        <v>6</v>
      </c>
      <c r="B42" s="5">
        <f>12*B7*$A$42</f>
        <v>234260.20504800836</v>
      </c>
      <c r="C42" s="5">
        <f t="shared" ref="C42:M42" si="68">12*C7*$A$42</f>
        <v>272098.24425701913</v>
      </c>
      <c r="D42" s="5">
        <f t="shared" si="68"/>
        <v>309936.28346602991</v>
      </c>
      <c r="E42" s="5">
        <f t="shared" si="68"/>
        <v>347774.32267504081</v>
      </c>
      <c r="F42" s="5">
        <f t="shared" si="68"/>
        <v>385612.36188405164</v>
      </c>
      <c r="G42" s="5">
        <f t="shared" si="68"/>
        <v>423450.40109306242</v>
      </c>
      <c r="H42" s="5">
        <f t="shared" si="68"/>
        <v>461288.44030207337</v>
      </c>
      <c r="I42" s="5">
        <f t="shared" si="68"/>
        <v>499126.47951108404</v>
      </c>
      <c r="J42" s="5">
        <f t="shared" si="68"/>
        <v>536964.51872009493</v>
      </c>
      <c r="K42" s="5">
        <f t="shared" si="68"/>
        <v>574802.55792910571</v>
      </c>
      <c r="L42" s="5">
        <f t="shared" si="68"/>
        <v>612640.59713811649</v>
      </c>
      <c r="M42" s="5">
        <f t="shared" si="68"/>
        <v>650478.63634712738</v>
      </c>
      <c r="N42" s="5">
        <f>12*N7*$A$42</f>
        <v>688316.67555613816</v>
      </c>
      <c r="P42" s="5">
        <f t="shared" si="46"/>
        <v>363478.77190624463</v>
      </c>
      <c r="Q42" s="5">
        <f t="shared" si="50"/>
        <v>401316.8111152554</v>
      </c>
      <c r="R42" s="5">
        <f t="shared" si="51"/>
        <v>439154.85032426618</v>
      </c>
      <c r="S42" s="5">
        <f t="shared" si="52"/>
        <v>476992.88953327708</v>
      </c>
      <c r="T42" s="5">
        <f t="shared" si="53"/>
        <v>514830.92874228791</v>
      </c>
      <c r="U42" s="5">
        <f t="shared" si="54"/>
        <v>552668.96795129869</v>
      </c>
      <c r="V42" s="5">
        <f t="shared" si="55"/>
        <v>590507.0071603097</v>
      </c>
      <c r="W42" s="5">
        <f t="shared" si="56"/>
        <v>628345.04636932025</v>
      </c>
      <c r="X42" s="5">
        <f t="shared" si="57"/>
        <v>666183.08557833126</v>
      </c>
      <c r="Y42" s="5">
        <f t="shared" si="58"/>
        <v>704021.12478734204</v>
      </c>
      <c r="Z42" s="5">
        <f t="shared" si="59"/>
        <v>741859.16399635281</v>
      </c>
      <c r="AA42" s="5">
        <f t="shared" si="60"/>
        <v>779697.20320536359</v>
      </c>
      <c r="AB42" s="5">
        <f t="shared" si="61"/>
        <v>817535.24241437437</v>
      </c>
      <c r="AD42" s="184">
        <f t="shared" si="65"/>
        <v>681.05433396768058</v>
      </c>
      <c r="AE42" s="5">
        <f t="shared" si="62"/>
        <v>8362.9934049834847</v>
      </c>
      <c r="AF42" s="5">
        <f t="shared" si="48"/>
        <v>16044.932475999172</v>
      </c>
      <c r="AG42" s="5">
        <f t="shared" si="48"/>
        <v>23726.87154701486</v>
      </c>
      <c r="AH42" s="5">
        <f t="shared" si="48"/>
        <v>31408.810618030489</v>
      </c>
      <c r="AI42" s="5">
        <f t="shared" si="48"/>
        <v>39090.749689046293</v>
      </c>
      <c r="AJ42" s="5">
        <f t="shared" si="48"/>
        <v>46772.688760061632</v>
      </c>
      <c r="AK42" s="5">
        <f t="shared" si="48"/>
        <v>54454.627831077669</v>
      </c>
      <c r="AL42" s="5">
        <f t="shared" si="48"/>
        <v>62136.566902093356</v>
      </c>
      <c r="AM42" s="5">
        <f t="shared" si="48"/>
        <v>69818.505973109161</v>
      </c>
      <c r="AN42" s="5">
        <f t="shared" si="48"/>
        <v>77500.445044124965</v>
      </c>
      <c r="AO42" s="5">
        <f t="shared" si="48"/>
        <v>85182.384115140652</v>
      </c>
      <c r="AP42" s="185">
        <f t="shared" si="48"/>
        <v>92864.32318615634</v>
      </c>
    </row>
    <row r="43" spans="1:42" x14ac:dyDescent="0.2">
      <c r="A43" s="6">
        <f t="shared" si="63"/>
        <v>7</v>
      </c>
      <c r="B43" s="5">
        <f>12*B7*$A$43</f>
        <v>273303.57255600975</v>
      </c>
      <c r="C43" s="5">
        <f t="shared" ref="C43:N43" si="69">12*C7*$A$43</f>
        <v>317447.95163318899</v>
      </c>
      <c r="D43" s="5">
        <f t="shared" si="69"/>
        <v>361592.33071036823</v>
      </c>
      <c r="E43" s="5">
        <f t="shared" si="69"/>
        <v>405736.70978754759</v>
      </c>
      <c r="F43" s="5">
        <f t="shared" si="69"/>
        <v>449881.08886472695</v>
      </c>
      <c r="G43" s="5">
        <f t="shared" si="69"/>
        <v>494025.46794190619</v>
      </c>
      <c r="H43" s="5">
        <f t="shared" si="69"/>
        <v>538169.84701908566</v>
      </c>
      <c r="I43" s="5">
        <f t="shared" si="69"/>
        <v>582314.22609626479</v>
      </c>
      <c r="J43" s="5">
        <f t="shared" si="69"/>
        <v>626458.60517344414</v>
      </c>
      <c r="K43" s="5">
        <f t="shared" si="69"/>
        <v>670602.98425062327</v>
      </c>
      <c r="L43" s="5">
        <f t="shared" si="69"/>
        <v>714747.36332780262</v>
      </c>
      <c r="M43" s="5">
        <f t="shared" si="69"/>
        <v>758891.74240498198</v>
      </c>
      <c r="N43" s="5">
        <f t="shared" si="69"/>
        <v>803036.12148216111</v>
      </c>
      <c r="P43" s="5">
        <f t="shared" si="46"/>
        <v>402522.13941424602</v>
      </c>
      <c r="Q43" s="5">
        <f t="shared" si="50"/>
        <v>446666.51849142526</v>
      </c>
      <c r="R43" s="5">
        <f t="shared" si="51"/>
        <v>490810.8975686045</v>
      </c>
      <c r="S43" s="5">
        <f t="shared" si="52"/>
        <v>534955.2766457838</v>
      </c>
      <c r="T43" s="5">
        <f t="shared" si="53"/>
        <v>579099.65572296316</v>
      </c>
      <c r="U43" s="5">
        <f t="shared" si="54"/>
        <v>623244.03480014252</v>
      </c>
      <c r="V43" s="5">
        <f t="shared" si="55"/>
        <v>667388.41387732187</v>
      </c>
      <c r="W43" s="5">
        <f t="shared" si="56"/>
        <v>711532.792954501</v>
      </c>
      <c r="X43" s="5">
        <f t="shared" si="57"/>
        <v>755677.17203168035</v>
      </c>
      <c r="Y43" s="5">
        <f t="shared" si="58"/>
        <v>799821.55110885948</v>
      </c>
      <c r="Z43" s="5">
        <f t="shared" si="59"/>
        <v>843965.93018603884</v>
      </c>
      <c r="AA43" s="5">
        <f t="shared" si="60"/>
        <v>888110.30926321819</v>
      </c>
      <c r="AB43" s="5">
        <f t="shared" si="61"/>
        <v>932254.68834039732</v>
      </c>
      <c r="AD43" s="184">
        <f t="shared" si="65"/>
        <v>12678.784512476588</v>
      </c>
      <c r="AE43" s="5">
        <f t="shared" si="62"/>
        <v>20434.520926137862</v>
      </c>
      <c r="AF43" s="5">
        <f t="shared" si="48"/>
        <v>28190.257339798787</v>
      </c>
      <c r="AG43" s="5">
        <f t="shared" si="48"/>
        <v>35945.99375345977</v>
      </c>
      <c r="AH43" s="5">
        <f t="shared" si="48"/>
        <v>43701.730167120695</v>
      </c>
      <c r="AI43" s="5">
        <f t="shared" si="48"/>
        <v>51457.466580781736</v>
      </c>
      <c r="AJ43" s="5">
        <f t="shared" si="48"/>
        <v>59213.202994442545</v>
      </c>
      <c r="AK43" s="5">
        <f t="shared" si="48"/>
        <v>66968.939408103703</v>
      </c>
      <c r="AL43" s="5">
        <f t="shared" si="48"/>
        <v>74724.67582176486</v>
      </c>
      <c r="AM43" s="5">
        <f t="shared" si="48"/>
        <v>82480.412235426134</v>
      </c>
      <c r="AN43" s="5">
        <f t="shared" si="48"/>
        <v>90236.148649087409</v>
      </c>
      <c r="AO43" s="5">
        <f t="shared" si="48"/>
        <v>97991.885062747868</v>
      </c>
      <c r="AP43" s="185">
        <f t="shared" si="48"/>
        <v>105747.62147640926</v>
      </c>
    </row>
    <row r="44" spans="1:42" x14ac:dyDescent="0.2">
      <c r="A44" s="6">
        <f t="shared" si="63"/>
        <v>8</v>
      </c>
      <c r="B44" s="5">
        <f>12*B7*$A$44</f>
        <v>312346.94006401114</v>
      </c>
      <c r="C44" s="5">
        <f t="shared" ref="C44:N44" si="70">12*C7*$A$44</f>
        <v>362797.65900935885</v>
      </c>
      <c r="D44" s="5">
        <f t="shared" si="70"/>
        <v>413248.37795470655</v>
      </c>
      <c r="E44" s="5">
        <f t="shared" si="70"/>
        <v>463699.09690005437</v>
      </c>
      <c r="F44" s="5">
        <f t="shared" si="70"/>
        <v>514149.81584540219</v>
      </c>
      <c r="G44" s="5">
        <f t="shared" si="70"/>
        <v>564600.53479074989</v>
      </c>
      <c r="H44" s="5">
        <f t="shared" si="70"/>
        <v>615051.25373609783</v>
      </c>
      <c r="I44" s="5">
        <f t="shared" si="70"/>
        <v>665501.97268144542</v>
      </c>
      <c r="J44" s="5">
        <f t="shared" si="70"/>
        <v>715952.69162679324</v>
      </c>
      <c r="K44" s="5">
        <f t="shared" si="70"/>
        <v>766403.41057214094</v>
      </c>
      <c r="L44" s="5">
        <f t="shared" si="70"/>
        <v>816854.12951748865</v>
      </c>
      <c r="M44" s="5">
        <f t="shared" si="70"/>
        <v>867304.84846283658</v>
      </c>
      <c r="N44" s="5">
        <f t="shared" si="70"/>
        <v>917755.56740818417</v>
      </c>
      <c r="P44" s="5">
        <f t="shared" si="46"/>
        <v>441565.50692224741</v>
      </c>
      <c r="Q44" s="5">
        <f t="shared" si="50"/>
        <v>492016.22586759512</v>
      </c>
      <c r="R44" s="5">
        <f t="shared" si="51"/>
        <v>542466.94481294276</v>
      </c>
      <c r="S44" s="5">
        <f t="shared" si="52"/>
        <v>592917.6637582907</v>
      </c>
      <c r="T44" s="5">
        <f t="shared" si="53"/>
        <v>643368.3827036384</v>
      </c>
      <c r="U44" s="5">
        <f t="shared" si="54"/>
        <v>693819.10164898611</v>
      </c>
      <c r="V44" s="5">
        <f t="shared" si="55"/>
        <v>744269.82059433404</v>
      </c>
      <c r="W44" s="5">
        <f t="shared" si="56"/>
        <v>794720.53953968175</v>
      </c>
      <c r="X44" s="5">
        <f t="shared" si="57"/>
        <v>845171.25848502945</v>
      </c>
      <c r="Y44" s="5">
        <f t="shared" si="58"/>
        <v>895621.97743037716</v>
      </c>
      <c r="Z44" s="5">
        <f t="shared" si="59"/>
        <v>946072.69637572486</v>
      </c>
      <c r="AA44" s="5">
        <f t="shared" si="60"/>
        <v>996523.4153210728</v>
      </c>
      <c r="AB44" s="5">
        <f t="shared" si="61"/>
        <v>1046974.1342664205</v>
      </c>
      <c r="AD44" s="184">
        <f t="shared" si="65"/>
        <v>25807.390142585558</v>
      </c>
      <c r="AE44" s="5">
        <f t="shared" si="62"/>
        <v>33778.283330342092</v>
      </c>
      <c r="AF44" s="5">
        <f t="shared" si="48"/>
        <v>41749.176518098451</v>
      </c>
      <c r="AG44" s="5">
        <f t="shared" si="48"/>
        <v>49720.069705854636</v>
      </c>
      <c r="AH44" s="5">
        <f t="shared" si="48"/>
        <v>57690.962893611053</v>
      </c>
      <c r="AI44" s="5">
        <f t="shared" si="48"/>
        <v>65661.85608136747</v>
      </c>
      <c r="AJ44" s="5">
        <f t="shared" si="48"/>
        <v>73632.749269123422</v>
      </c>
      <c r="AK44" s="5">
        <f t="shared" si="48"/>
        <v>81603.642456879956</v>
      </c>
      <c r="AL44" s="5">
        <f t="shared" si="48"/>
        <v>89574.535644636489</v>
      </c>
      <c r="AM44" s="5">
        <f t="shared" si="48"/>
        <v>97545.428832393023</v>
      </c>
      <c r="AN44" s="5">
        <f t="shared" si="48"/>
        <v>105516.32202014956</v>
      </c>
      <c r="AO44" s="5">
        <f t="shared" si="48"/>
        <v>113487.21520790551</v>
      </c>
      <c r="AP44" s="185">
        <f t="shared" si="48"/>
        <v>121458.10839566193</v>
      </c>
    </row>
    <row r="45" spans="1:42" x14ac:dyDescent="0.2">
      <c r="A45" s="6">
        <f t="shared" si="63"/>
        <v>9</v>
      </c>
      <c r="B45" s="5">
        <f>12*B7*$A$45</f>
        <v>351390.30757201253</v>
      </c>
      <c r="C45" s="5">
        <f t="shared" ref="C45:N45" si="71">12*C7*$A$45</f>
        <v>408147.3663855287</v>
      </c>
      <c r="D45" s="5">
        <f t="shared" si="71"/>
        <v>464904.42519904487</v>
      </c>
      <c r="E45" s="5">
        <f t="shared" si="71"/>
        <v>521661.48401256115</v>
      </c>
      <c r="F45" s="5">
        <f t="shared" si="71"/>
        <v>578418.54282607744</v>
      </c>
      <c r="G45" s="5">
        <f t="shared" si="71"/>
        <v>635175.6016395936</v>
      </c>
      <c r="H45" s="5">
        <f t="shared" si="71"/>
        <v>691932.66045311</v>
      </c>
      <c r="I45" s="5">
        <f t="shared" si="71"/>
        <v>748689.71926662605</v>
      </c>
      <c r="J45" s="5">
        <f t="shared" si="71"/>
        <v>805446.77808014234</v>
      </c>
      <c r="K45" s="5">
        <f t="shared" si="71"/>
        <v>862203.83689365862</v>
      </c>
      <c r="L45" s="5">
        <f t="shared" si="71"/>
        <v>918960.89570717467</v>
      </c>
      <c r="M45" s="5">
        <f t="shared" si="71"/>
        <v>975717.95452069119</v>
      </c>
      <c r="N45" s="5">
        <f t="shared" si="71"/>
        <v>1032475.0133342072</v>
      </c>
      <c r="P45" s="5">
        <f t="shared" si="46"/>
        <v>480608.8744302488</v>
      </c>
      <c r="Q45" s="5">
        <f t="shared" si="50"/>
        <v>537365.93324376503</v>
      </c>
      <c r="R45" s="5">
        <f t="shared" si="51"/>
        <v>594122.99205728108</v>
      </c>
      <c r="S45" s="5">
        <f t="shared" si="52"/>
        <v>650880.05087079736</v>
      </c>
      <c r="T45" s="5">
        <f t="shared" si="53"/>
        <v>707637.10968431365</v>
      </c>
      <c r="U45" s="5">
        <f t="shared" si="54"/>
        <v>764394.16849782993</v>
      </c>
      <c r="V45" s="5">
        <f t="shared" si="55"/>
        <v>821151.22731134621</v>
      </c>
      <c r="W45" s="5">
        <f t="shared" si="56"/>
        <v>877908.28612486226</v>
      </c>
      <c r="X45" s="5">
        <f t="shared" si="57"/>
        <v>934665.34493837855</v>
      </c>
      <c r="Y45" s="5">
        <f t="shared" si="58"/>
        <v>991422.40375189483</v>
      </c>
      <c r="Z45" s="5">
        <f t="shared" si="59"/>
        <v>1048179.4625654109</v>
      </c>
      <c r="AA45" s="5">
        <f t="shared" si="60"/>
        <v>1104936.5213789274</v>
      </c>
      <c r="AB45" s="5">
        <f t="shared" si="61"/>
        <v>1161693.5801924434</v>
      </c>
      <c r="AD45" s="184">
        <f t="shared" si="65"/>
        <v>40098.754432227521</v>
      </c>
      <c r="AE45" s="5">
        <f t="shared" si="62"/>
        <v>48430.149226521025</v>
      </c>
      <c r="AF45" s="5">
        <f t="shared" si="48"/>
        <v>56761.544020814472</v>
      </c>
      <c r="AG45" s="5">
        <f t="shared" si="48"/>
        <v>65092.938815107686</v>
      </c>
      <c r="AH45" s="5">
        <f t="shared" si="48"/>
        <v>73424.333609400899</v>
      </c>
      <c r="AI45" s="5">
        <f t="shared" si="48"/>
        <v>81755.728403694229</v>
      </c>
      <c r="AJ45" s="5">
        <f t="shared" si="48"/>
        <v>90087.12319798721</v>
      </c>
      <c r="AK45" s="5">
        <f t="shared" si="48"/>
        <v>98418.517992280773</v>
      </c>
      <c r="AL45" s="5">
        <f t="shared" si="48"/>
        <v>106749.9127865741</v>
      </c>
      <c r="AM45" s="5">
        <f t="shared" si="48"/>
        <v>115081.30758086755</v>
      </c>
      <c r="AN45" s="5">
        <f t="shared" si="48"/>
        <v>123412.70237516123</v>
      </c>
      <c r="AO45" s="5">
        <f t="shared" si="48"/>
        <v>131744.09716945374</v>
      </c>
      <c r="AP45" s="185">
        <f t="shared" si="48"/>
        <v>140075.49196374766</v>
      </c>
    </row>
    <row r="46" spans="1:42" s="9" customFormat="1" x14ac:dyDescent="0.2">
      <c r="A46" s="64">
        <f t="shared" si="63"/>
        <v>10</v>
      </c>
      <c r="B46" s="62">
        <f>12*B7*$A$46</f>
        <v>390433.67508001393</v>
      </c>
      <c r="C46" s="62">
        <f t="shared" ref="C46:N46" si="72">12*C7*$A$46</f>
        <v>453497.07376169856</v>
      </c>
      <c r="D46" s="62">
        <f t="shared" si="72"/>
        <v>516560.47244338319</v>
      </c>
      <c r="E46" s="62">
        <f t="shared" si="72"/>
        <v>579623.87112506793</v>
      </c>
      <c r="F46" s="62">
        <f t="shared" si="72"/>
        <v>642687.26980675268</v>
      </c>
      <c r="G46" s="62">
        <f t="shared" si="72"/>
        <v>705750.66848843731</v>
      </c>
      <c r="H46" s="62">
        <f t="shared" si="72"/>
        <v>768814.06717012229</v>
      </c>
      <c r="I46" s="62">
        <f t="shared" si="72"/>
        <v>831877.4658518068</v>
      </c>
      <c r="J46" s="62">
        <f t="shared" si="72"/>
        <v>894940.86453349155</v>
      </c>
      <c r="K46" s="62">
        <f t="shared" si="72"/>
        <v>958004.26321517618</v>
      </c>
      <c r="L46" s="62">
        <f t="shared" si="72"/>
        <v>1021067.6618968608</v>
      </c>
      <c r="M46" s="62">
        <f t="shared" si="72"/>
        <v>1084131.0605785458</v>
      </c>
      <c r="N46" s="63">
        <f t="shared" si="72"/>
        <v>1147194.4592602302</v>
      </c>
      <c r="P46" s="61">
        <f t="shared" si="46"/>
        <v>519652.2419382502</v>
      </c>
      <c r="Q46" s="62">
        <f t="shared" si="50"/>
        <v>582715.64061993477</v>
      </c>
      <c r="R46" s="62">
        <f t="shared" si="51"/>
        <v>645779.0393016194</v>
      </c>
      <c r="S46" s="62">
        <f t="shared" si="52"/>
        <v>708842.43798330426</v>
      </c>
      <c r="T46" s="62">
        <f t="shared" si="53"/>
        <v>771905.83666498889</v>
      </c>
      <c r="U46" s="62">
        <f t="shared" si="54"/>
        <v>834969.23534667352</v>
      </c>
      <c r="V46" s="62">
        <f t="shared" si="55"/>
        <v>898032.63402835862</v>
      </c>
      <c r="W46" s="62">
        <f t="shared" si="56"/>
        <v>961096.03271004301</v>
      </c>
      <c r="X46" s="62">
        <f t="shared" si="57"/>
        <v>1024159.4313917279</v>
      </c>
      <c r="Y46" s="62">
        <f t="shared" si="58"/>
        <v>1087222.8300734125</v>
      </c>
      <c r="Z46" s="62">
        <f t="shared" si="59"/>
        <v>1150286.2287550971</v>
      </c>
      <c r="AA46" s="62">
        <f t="shared" si="60"/>
        <v>1213349.627436782</v>
      </c>
      <c r="AB46" s="63">
        <f t="shared" si="61"/>
        <v>1276413.0261184664</v>
      </c>
      <c r="AD46" s="191">
        <f t="shared" si="65"/>
        <v>55585.813700673927</v>
      </c>
      <c r="AE46" s="62">
        <f t="shared" si="62"/>
        <v>64427.171973855002</v>
      </c>
      <c r="AF46" s="62">
        <f t="shared" si="48"/>
        <v>73268.530247035786</v>
      </c>
      <c r="AG46" s="62">
        <f t="shared" si="48"/>
        <v>82109.888520216453</v>
      </c>
      <c r="AH46" s="62">
        <f t="shared" si="48"/>
        <v>90951.246793397353</v>
      </c>
      <c r="AI46" s="62">
        <f t="shared" si="48"/>
        <v>99792.605066578137</v>
      </c>
      <c r="AJ46" s="62">
        <f t="shared" si="48"/>
        <v>108633.96333975845</v>
      </c>
      <c r="AK46" s="62">
        <f t="shared" si="48"/>
        <v>117475.32161293947</v>
      </c>
      <c r="AL46" s="62">
        <f t="shared" si="48"/>
        <v>126316.67988612037</v>
      </c>
      <c r="AM46" s="62">
        <f t="shared" si="48"/>
        <v>135158.0381593015</v>
      </c>
      <c r="AN46" s="62">
        <f t="shared" si="48"/>
        <v>143999.3964324824</v>
      </c>
      <c r="AO46" s="62">
        <f t="shared" si="48"/>
        <v>152840.75470566284</v>
      </c>
      <c r="AP46" s="192">
        <f t="shared" si="48"/>
        <v>161682.11297884397</v>
      </c>
    </row>
    <row r="47" spans="1:42" x14ac:dyDescent="0.2">
      <c r="A47" s="6">
        <f t="shared" si="63"/>
        <v>11</v>
      </c>
      <c r="B47" s="5">
        <f>12*B7*$A$47</f>
        <v>429477.04258801532</v>
      </c>
      <c r="C47" s="5">
        <f t="shared" ref="C47:N47" si="73">12*C7*$A$47</f>
        <v>498846.78113786841</v>
      </c>
      <c r="D47" s="5">
        <f t="shared" si="73"/>
        <v>568216.51968772151</v>
      </c>
      <c r="E47" s="5">
        <f t="shared" si="73"/>
        <v>637586.25823757472</v>
      </c>
      <c r="F47" s="5">
        <f t="shared" si="73"/>
        <v>706955.99678742804</v>
      </c>
      <c r="G47" s="5">
        <f t="shared" si="73"/>
        <v>776325.73533728113</v>
      </c>
      <c r="H47" s="5">
        <f t="shared" si="73"/>
        <v>845695.47388713458</v>
      </c>
      <c r="I47" s="5">
        <f t="shared" si="73"/>
        <v>915065.21243698744</v>
      </c>
      <c r="J47" s="5">
        <f t="shared" si="73"/>
        <v>984434.95098684076</v>
      </c>
      <c r="K47" s="5">
        <f t="shared" si="73"/>
        <v>1053804.6895366937</v>
      </c>
      <c r="L47" s="5">
        <f t="shared" si="73"/>
        <v>1123174.4280865469</v>
      </c>
      <c r="M47" s="5">
        <f t="shared" si="73"/>
        <v>1192544.1666364004</v>
      </c>
      <c r="N47" s="5">
        <f t="shared" si="73"/>
        <v>1261913.9051862531</v>
      </c>
      <c r="P47" s="5">
        <f t="shared" si="46"/>
        <v>558695.60944625153</v>
      </c>
      <c r="Q47" s="5">
        <f t="shared" si="50"/>
        <v>628065.34799610474</v>
      </c>
      <c r="R47" s="5">
        <f t="shared" si="51"/>
        <v>697435.08654595772</v>
      </c>
      <c r="S47" s="5">
        <f t="shared" si="52"/>
        <v>766804.82509581093</v>
      </c>
      <c r="T47" s="5">
        <f t="shared" si="53"/>
        <v>836174.56364566437</v>
      </c>
      <c r="U47" s="5">
        <f t="shared" si="54"/>
        <v>905544.30219551735</v>
      </c>
      <c r="V47" s="5">
        <f t="shared" si="55"/>
        <v>974914.04074537079</v>
      </c>
      <c r="W47" s="5">
        <f t="shared" si="56"/>
        <v>1044283.7792952238</v>
      </c>
      <c r="X47" s="5">
        <f t="shared" si="57"/>
        <v>1113653.517845077</v>
      </c>
      <c r="Y47" s="5">
        <f t="shared" si="58"/>
        <v>1183023.25639493</v>
      </c>
      <c r="Z47" s="5">
        <f t="shared" si="59"/>
        <v>1252392.9949447832</v>
      </c>
      <c r="AA47" s="5">
        <f t="shared" si="60"/>
        <v>1321762.7334946366</v>
      </c>
      <c r="AB47" s="5">
        <f t="shared" si="61"/>
        <v>1391132.4720444893</v>
      </c>
      <c r="AD47" s="184">
        <f t="shared" si="65"/>
        <v>40362.113741159206</v>
      </c>
      <c r="AE47" s="5">
        <f t="shared" si="62"/>
        <v>45874.590589732397</v>
      </c>
      <c r="AF47" s="5">
        <f t="shared" si="48"/>
        <v>51387.067438305705</v>
      </c>
      <c r="AG47" s="5">
        <f t="shared" si="48"/>
        <v>56899.544286878896</v>
      </c>
      <c r="AH47" s="5">
        <f t="shared" si="48"/>
        <v>62412.021135451738</v>
      </c>
      <c r="AI47" s="5">
        <f t="shared" si="48"/>
        <v>67924.497984025162</v>
      </c>
      <c r="AJ47" s="5">
        <f t="shared" si="48"/>
        <v>73436.974832598004</v>
      </c>
      <c r="AK47" s="5">
        <f t="shared" si="48"/>
        <v>78949.451681171311</v>
      </c>
      <c r="AL47" s="5">
        <f t="shared" si="48"/>
        <v>84461.928529744502</v>
      </c>
      <c r="AM47" s="5">
        <f t="shared" si="48"/>
        <v>89974.405378317926</v>
      </c>
      <c r="AN47" s="5">
        <f t="shared" si="48"/>
        <v>95486.882226891117</v>
      </c>
      <c r="AO47" s="5">
        <f t="shared" si="48"/>
        <v>100999.35907546384</v>
      </c>
      <c r="AP47" s="185">
        <f t="shared" si="48"/>
        <v>106511.8359240375</v>
      </c>
    </row>
    <row r="48" spans="1:42" x14ac:dyDescent="0.2">
      <c r="A48" s="6">
        <f t="shared" si="63"/>
        <v>12</v>
      </c>
      <c r="B48" s="5">
        <f>12*B7*$A$48</f>
        <v>468520.41009601671</v>
      </c>
      <c r="C48" s="5">
        <f t="shared" ref="C48:N48" si="74">12*C7*$A$48</f>
        <v>544196.48851403827</v>
      </c>
      <c r="D48" s="5">
        <f t="shared" si="74"/>
        <v>619872.56693205982</v>
      </c>
      <c r="E48" s="5">
        <f t="shared" si="74"/>
        <v>695548.64535008161</v>
      </c>
      <c r="F48" s="5">
        <f t="shared" si="74"/>
        <v>771224.72376810329</v>
      </c>
      <c r="G48" s="5">
        <f t="shared" si="74"/>
        <v>846900.80218612484</v>
      </c>
      <c r="H48" s="5">
        <f t="shared" si="74"/>
        <v>922576.88060414675</v>
      </c>
      <c r="I48" s="5">
        <f t="shared" si="74"/>
        <v>998252.95902216807</v>
      </c>
      <c r="J48" s="5">
        <f t="shared" si="74"/>
        <v>1073929.0374401899</v>
      </c>
      <c r="K48" s="5">
        <f t="shared" si="74"/>
        <v>1149605.1158582114</v>
      </c>
      <c r="L48" s="5">
        <f t="shared" si="74"/>
        <v>1225281.194276233</v>
      </c>
      <c r="M48" s="5">
        <f t="shared" si="74"/>
        <v>1300957.2726942548</v>
      </c>
      <c r="N48" s="5">
        <f t="shared" si="74"/>
        <v>1376633.3511122763</v>
      </c>
      <c r="P48" s="5">
        <f t="shared" si="46"/>
        <v>597738.97695425292</v>
      </c>
      <c r="Q48" s="5">
        <f t="shared" si="50"/>
        <v>673415.05537227448</v>
      </c>
      <c r="R48" s="5">
        <f t="shared" si="51"/>
        <v>749091.13379029604</v>
      </c>
      <c r="S48" s="5">
        <f t="shared" si="52"/>
        <v>824767.21220831783</v>
      </c>
      <c r="T48" s="5">
        <f t="shared" si="53"/>
        <v>900443.29062633961</v>
      </c>
      <c r="U48" s="5">
        <f t="shared" si="54"/>
        <v>976119.36904436117</v>
      </c>
      <c r="V48" s="5">
        <f t="shared" si="55"/>
        <v>1051795.447462383</v>
      </c>
      <c r="W48" s="5">
        <f t="shared" si="56"/>
        <v>1127471.5258804043</v>
      </c>
      <c r="X48" s="5">
        <f t="shared" si="57"/>
        <v>1203147.6042984261</v>
      </c>
      <c r="Y48" s="5">
        <f t="shared" si="58"/>
        <v>1278823.6827164476</v>
      </c>
      <c r="Z48" s="5">
        <f t="shared" si="59"/>
        <v>1354499.7611344692</v>
      </c>
      <c r="AA48" s="5">
        <f t="shared" si="60"/>
        <v>1430175.839552491</v>
      </c>
      <c r="AB48" s="5">
        <f t="shared" si="61"/>
        <v>1505851.9179705125</v>
      </c>
      <c r="AD48" s="184">
        <f t="shared" si="65"/>
        <v>23723.505080367089</v>
      </c>
      <c r="AE48" s="5">
        <f t="shared" si="62"/>
        <v>25730.23691667302</v>
      </c>
      <c r="AF48" s="5">
        <f t="shared" si="48"/>
        <v>27736.968752979068</v>
      </c>
      <c r="AG48" s="5">
        <f t="shared" si="48"/>
        <v>29743.700589284766</v>
      </c>
      <c r="AH48" s="5">
        <f t="shared" si="48"/>
        <v>31750.432425590465</v>
      </c>
      <c r="AI48" s="5">
        <f t="shared" si="48"/>
        <v>33757.164261896396</v>
      </c>
      <c r="AJ48" s="5">
        <f t="shared" si="48"/>
        <v>35763.896098202094</v>
      </c>
      <c r="AK48" s="5">
        <f t="shared" si="48"/>
        <v>37770.627934508258</v>
      </c>
      <c r="AL48" s="5">
        <f t="shared" si="48"/>
        <v>39777.359770813957</v>
      </c>
      <c r="AM48" s="5">
        <f t="shared" si="48"/>
        <v>41784.091607119888</v>
      </c>
      <c r="AN48" s="5">
        <f t="shared" si="48"/>
        <v>43790.823443425819</v>
      </c>
      <c r="AO48" s="5">
        <f t="shared" si="48"/>
        <v>45797.55527973175</v>
      </c>
      <c r="AP48" s="185">
        <f t="shared" si="48"/>
        <v>47804.287116037682</v>
      </c>
    </row>
    <row r="49" spans="1:42" x14ac:dyDescent="0.2">
      <c r="A49" s="6">
        <f t="shared" si="63"/>
        <v>13</v>
      </c>
      <c r="B49" s="5">
        <f>12*B7*$A$49</f>
        <v>507563.77760401811</v>
      </c>
      <c r="C49" s="5">
        <f t="shared" ref="C49:M49" si="75">12*C7*$A$49</f>
        <v>589546.19589020812</v>
      </c>
      <c r="D49" s="5">
        <f t="shared" si="75"/>
        <v>671528.61417639814</v>
      </c>
      <c r="E49" s="5">
        <f t="shared" si="75"/>
        <v>753511.03246258839</v>
      </c>
      <c r="F49" s="5">
        <f t="shared" si="75"/>
        <v>835493.45074877853</v>
      </c>
      <c r="G49" s="5">
        <f t="shared" si="75"/>
        <v>917475.86903496855</v>
      </c>
      <c r="H49" s="5">
        <f t="shared" si="75"/>
        <v>999458.28732115892</v>
      </c>
      <c r="I49" s="5">
        <f t="shared" si="75"/>
        <v>1081440.7056073488</v>
      </c>
      <c r="J49" s="5">
        <f t="shared" si="75"/>
        <v>1163423.123893539</v>
      </c>
      <c r="K49" s="5">
        <f t="shared" si="75"/>
        <v>1245405.5421797291</v>
      </c>
      <c r="L49" s="5">
        <f t="shared" si="75"/>
        <v>1327387.960465919</v>
      </c>
      <c r="M49" s="5">
        <f t="shared" si="75"/>
        <v>1409370.3787521094</v>
      </c>
      <c r="N49" s="5">
        <f>12*N7*$A$49</f>
        <v>1491352.7970382993</v>
      </c>
      <c r="P49" s="5">
        <f t="shared" si="46"/>
        <v>636782.34446225432</v>
      </c>
      <c r="Q49" s="5">
        <f t="shared" si="50"/>
        <v>718764.76274844445</v>
      </c>
      <c r="R49" s="5">
        <f t="shared" si="51"/>
        <v>800747.18103463436</v>
      </c>
      <c r="S49" s="5">
        <f t="shared" si="52"/>
        <v>882729.59932082472</v>
      </c>
      <c r="T49" s="5">
        <f t="shared" si="53"/>
        <v>964712.01760701486</v>
      </c>
      <c r="U49" s="5">
        <f t="shared" si="54"/>
        <v>1046694.4358932048</v>
      </c>
      <c r="V49" s="5">
        <f t="shared" si="55"/>
        <v>1128676.8541793951</v>
      </c>
      <c r="W49" s="5">
        <f t="shared" si="56"/>
        <v>1210659.272465585</v>
      </c>
      <c r="X49" s="5">
        <f t="shared" si="57"/>
        <v>1292641.6907517752</v>
      </c>
      <c r="Y49" s="5">
        <f t="shared" si="58"/>
        <v>1374624.1090379653</v>
      </c>
      <c r="Z49" s="5">
        <f t="shared" si="59"/>
        <v>1456606.5273241552</v>
      </c>
      <c r="AA49" s="5">
        <f t="shared" si="60"/>
        <v>1538588.9456103456</v>
      </c>
      <c r="AB49" s="5">
        <f t="shared" si="61"/>
        <v>1620571.3638965355</v>
      </c>
      <c r="AD49" s="184">
        <f t="shared" si="65"/>
        <v>7922.8344004605897</v>
      </c>
      <c r="AE49" s="5">
        <f t="shared" si="62"/>
        <v>6528.5634721098468</v>
      </c>
      <c r="AF49" s="5">
        <f t="shared" si="48"/>
        <v>5134.2925437593367</v>
      </c>
      <c r="AG49" s="5">
        <f t="shared" si="48"/>
        <v>3740.021615408361</v>
      </c>
      <c r="AH49" s="5">
        <f t="shared" si="48"/>
        <v>2345.7506870575016</v>
      </c>
      <c r="AI49" s="5">
        <f t="shared" si="48"/>
        <v>951.47975870699156</v>
      </c>
      <c r="AJ49" s="5">
        <f t="shared" si="48"/>
        <v>-442.79116964386776</v>
      </c>
      <c r="AK49" s="5">
        <f t="shared" si="48"/>
        <v>-1837.0620979946107</v>
      </c>
      <c r="AL49" s="5">
        <f t="shared" si="48"/>
        <v>-3231.3330263453536</v>
      </c>
      <c r="AM49" s="5">
        <f t="shared" si="48"/>
        <v>-4625.6039546960965</v>
      </c>
      <c r="AN49" s="5">
        <f t="shared" si="48"/>
        <v>-6019.8748830466066</v>
      </c>
      <c r="AO49" s="5">
        <f t="shared" si="48"/>
        <v>-7414.1458113975823</v>
      </c>
      <c r="AP49" s="185">
        <f t="shared" si="48"/>
        <v>-8808.4167397480924</v>
      </c>
    </row>
    <row r="50" spans="1:42" x14ac:dyDescent="0.2">
      <c r="A50" s="6">
        <f t="shared" si="63"/>
        <v>14</v>
      </c>
      <c r="B50" s="5">
        <f>12*B7*$A$50</f>
        <v>546607.1451120195</v>
      </c>
      <c r="C50" s="5">
        <f t="shared" ref="C50:N50" si="76">12*C7*$A$50</f>
        <v>634895.90326637798</v>
      </c>
      <c r="D50" s="5">
        <f t="shared" si="76"/>
        <v>723184.66142073646</v>
      </c>
      <c r="E50" s="5">
        <f t="shared" si="76"/>
        <v>811473.41957509518</v>
      </c>
      <c r="F50" s="5">
        <f t="shared" si="76"/>
        <v>899762.17772945389</v>
      </c>
      <c r="G50" s="5">
        <f t="shared" si="76"/>
        <v>988050.93588381237</v>
      </c>
      <c r="H50" s="5">
        <f t="shared" si="76"/>
        <v>1076339.6940381713</v>
      </c>
      <c r="I50" s="5">
        <f t="shared" si="76"/>
        <v>1164628.4521925296</v>
      </c>
      <c r="J50" s="5">
        <f t="shared" si="76"/>
        <v>1252917.2103468883</v>
      </c>
      <c r="K50" s="5">
        <f t="shared" si="76"/>
        <v>1341205.9685012465</v>
      </c>
      <c r="L50" s="5">
        <f t="shared" si="76"/>
        <v>1429494.7266556052</v>
      </c>
      <c r="M50" s="5">
        <f t="shared" si="76"/>
        <v>1517783.484809964</v>
      </c>
      <c r="N50" s="5">
        <f t="shared" si="76"/>
        <v>1606072.2429643222</v>
      </c>
      <c r="P50" s="5">
        <f t="shared" si="46"/>
        <v>675825.71197025571</v>
      </c>
      <c r="Q50" s="5">
        <f t="shared" si="50"/>
        <v>764114.47012461419</v>
      </c>
      <c r="R50" s="5">
        <f t="shared" si="51"/>
        <v>852403.22827897267</v>
      </c>
      <c r="S50" s="5">
        <f t="shared" si="52"/>
        <v>940691.98643333139</v>
      </c>
      <c r="T50" s="5">
        <f t="shared" si="53"/>
        <v>1028980.7445876901</v>
      </c>
      <c r="U50" s="5">
        <f t="shared" si="54"/>
        <v>1117269.5027420486</v>
      </c>
      <c r="V50" s="5">
        <f t="shared" si="55"/>
        <v>1205558.2608964075</v>
      </c>
      <c r="W50" s="5">
        <f t="shared" si="56"/>
        <v>1293847.0190507658</v>
      </c>
      <c r="X50" s="5">
        <f t="shared" si="57"/>
        <v>1382135.7772051245</v>
      </c>
      <c r="Y50" s="5">
        <f t="shared" si="58"/>
        <v>1470424.5353594827</v>
      </c>
      <c r="Z50" s="5">
        <f t="shared" si="59"/>
        <v>1558713.2935138415</v>
      </c>
      <c r="AA50" s="5">
        <f t="shared" si="60"/>
        <v>1647002.0516682002</v>
      </c>
      <c r="AB50" s="5">
        <f t="shared" si="61"/>
        <v>1735290.8098225584</v>
      </c>
      <c r="AD50" s="184">
        <f t="shared" si="65"/>
        <v>-7008.5594180751359</v>
      </c>
      <c r="AE50" s="5">
        <f t="shared" si="62"/>
        <v>-11695.173503411119</v>
      </c>
      <c r="AF50" s="5">
        <f t="shared" si="48"/>
        <v>-16381.787588746985</v>
      </c>
      <c r="AG50" s="5">
        <f t="shared" si="48"/>
        <v>-21068.401674083201</v>
      </c>
      <c r="AH50" s="5">
        <f t="shared" si="48"/>
        <v>-25755.015759419301</v>
      </c>
      <c r="AI50" s="5">
        <f t="shared" si="48"/>
        <v>-30441.629844755167</v>
      </c>
      <c r="AJ50" s="5">
        <f t="shared" si="48"/>
        <v>-35128.243930091616</v>
      </c>
      <c r="AK50" s="5">
        <f t="shared" si="48"/>
        <v>-39814.858015427366</v>
      </c>
      <c r="AL50" s="5">
        <f t="shared" si="48"/>
        <v>-44501.472100763349</v>
      </c>
      <c r="AM50" s="5">
        <f t="shared" si="48"/>
        <v>-49188.086186099099</v>
      </c>
      <c r="AN50" s="5">
        <f t="shared" si="48"/>
        <v>-53874.700271435315</v>
      </c>
      <c r="AO50" s="5">
        <f t="shared" si="48"/>
        <v>-58561.314356771531</v>
      </c>
      <c r="AP50" s="185">
        <f t="shared" si="48"/>
        <v>-63247.928442107048</v>
      </c>
    </row>
    <row r="51" spans="1:42" s="9" customFormat="1" x14ac:dyDescent="0.2">
      <c r="A51" s="64">
        <f t="shared" si="63"/>
        <v>15</v>
      </c>
      <c r="B51" s="62">
        <f>12*B7*$A$51</f>
        <v>585650.51262002089</v>
      </c>
      <c r="C51" s="62">
        <f t="shared" ref="C51:N51" si="77">12*C7*$A$51</f>
        <v>680245.61064254784</v>
      </c>
      <c r="D51" s="62">
        <f t="shared" si="77"/>
        <v>774840.70866507478</v>
      </c>
      <c r="E51" s="62">
        <f t="shared" si="77"/>
        <v>869435.80668760196</v>
      </c>
      <c r="F51" s="62">
        <f t="shared" si="77"/>
        <v>964030.90471012914</v>
      </c>
      <c r="G51" s="62">
        <f t="shared" si="77"/>
        <v>1058626.002732656</v>
      </c>
      <c r="H51" s="62">
        <f t="shared" si="77"/>
        <v>1153221.1007551835</v>
      </c>
      <c r="I51" s="62">
        <f t="shared" si="77"/>
        <v>1247816.1987777101</v>
      </c>
      <c r="J51" s="62">
        <f t="shared" si="77"/>
        <v>1342411.2968002374</v>
      </c>
      <c r="K51" s="62">
        <f t="shared" si="77"/>
        <v>1437006.3948227642</v>
      </c>
      <c r="L51" s="62">
        <f t="shared" si="77"/>
        <v>1531601.4928452913</v>
      </c>
      <c r="M51" s="62">
        <f t="shared" si="77"/>
        <v>1626196.5908678186</v>
      </c>
      <c r="N51" s="63">
        <f t="shared" si="77"/>
        <v>1720791.6888903454</v>
      </c>
      <c r="P51" s="61">
        <f t="shared" si="46"/>
        <v>714869.0794782571</v>
      </c>
      <c r="Q51" s="62">
        <f t="shared" si="50"/>
        <v>809464.17750078416</v>
      </c>
      <c r="R51" s="62">
        <f t="shared" si="51"/>
        <v>904059.27552331099</v>
      </c>
      <c r="S51" s="62">
        <f t="shared" si="52"/>
        <v>998654.37354583829</v>
      </c>
      <c r="T51" s="62">
        <f t="shared" si="53"/>
        <v>1093249.4715683653</v>
      </c>
      <c r="U51" s="62">
        <f t="shared" si="54"/>
        <v>1187844.5695908922</v>
      </c>
      <c r="V51" s="62">
        <f t="shared" si="55"/>
        <v>1282439.6676134197</v>
      </c>
      <c r="W51" s="62">
        <f t="shared" si="56"/>
        <v>1377034.7656359463</v>
      </c>
      <c r="X51" s="62">
        <f t="shared" si="57"/>
        <v>1471629.8636584736</v>
      </c>
      <c r="Y51" s="62">
        <f t="shared" si="58"/>
        <v>1566224.9616810004</v>
      </c>
      <c r="Z51" s="62">
        <f t="shared" si="59"/>
        <v>1660820.0597035275</v>
      </c>
      <c r="AA51" s="62">
        <f t="shared" si="60"/>
        <v>1755415.1577260548</v>
      </c>
      <c r="AB51" s="63">
        <f t="shared" si="61"/>
        <v>1850010.2557485816</v>
      </c>
      <c r="AD51" s="191">
        <f t="shared" si="65"/>
        <v>-21038.16542062501</v>
      </c>
      <c r="AE51" s="62">
        <f t="shared" si="62"/>
        <v>-28904.399185948074</v>
      </c>
      <c r="AF51" s="62">
        <f t="shared" si="48"/>
        <v>-36770.632951270905</v>
      </c>
      <c r="AG51" s="62">
        <f t="shared" si="48"/>
        <v>-44636.866716594202</v>
      </c>
      <c r="AH51" s="62">
        <f t="shared" si="48"/>
        <v>-52503.100481917267</v>
      </c>
      <c r="AI51" s="62">
        <f t="shared" si="48"/>
        <v>-60369.334247240098</v>
      </c>
      <c r="AJ51" s="62">
        <f t="shared" si="48"/>
        <v>-68235.568012563512</v>
      </c>
      <c r="AK51" s="62">
        <f t="shared" si="48"/>
        <v>-76101.801777886227</v>
      </c>
      <c r="AL51" s="62">
        <f t="shared" si="48"/>
        <v>-83968.035543209407</v>
      </c>
      <c r="AM51" s="62">
        <f t="shared" si="48"/>
        <v>-91834.269308532355</v>
      </c>
      <c r="AN51" s="62">
        <f t="shared" si="48"/>
        <v>-99700.503073855303</v>
      </c>
      <c r="AO51" s="62">
        <f t="shared" si="48"/>
        <v>-107566.73683917872</v>
      </c>
      <c r="AP51" s="192">
        <f t="shared" si="48"/>
        <v>-115432.97060450143</v>
      </c>
    </row>
    <row r="52" spans="1:42" x14ac:dyDescent="0.2">
      <c r="A52" s="6">
        <f t="shared" si="63"/>
        <v>16</v>
      </c>
      <c r="B52" s="5">
        <f>12*B7*$A$52</f>
        <v>624693.88012802228</v>
      </c>
      <c r="C52" s="5">
        <f t="shared" ref="C52:N52" si="78">12*C7*$A$52</f>
        <v>725595.31801871769</v>
      </c>
      <c r="D52" s="5">
        <f t="shared" si="78"/>
        <v>826496.7559094131</v>
      </c>
      <c r="E52" s="5">
        <f t="shared" si="78"/>
        <v>927398.19380010874</v>
      </c>
      <c r="F52" s="5">
        <f t="shared" si="78"/>
        <v>1028299.6316908044</v>
      </c>
      <c r="G52" s="5">
        <f t="shared" si="78"/>
        <v>1129201.0695814998</v>
      </c>
      <c r="H52" s="5">
        <f t="shared" si="78"/>
        <v>1230102.5074721957</v>
      </c>
      <c r="I52" s="5">
        <f t="shared" si="78"/>
        <v>1331003.9453628908</v>
      </c>
      <c r="J52" s="5">
        <f t="shared" si="78"/>
        <v>1431905.3832535865</v>
      </c>
      <c r="K52" s="5">
        <f t="shared" si="78"/>
        <v>1532806.8211442819</v>
      </c>
      <c r="L52" s="5">
        <f t="shared" si="78"/>
        <v>1633708.2590349773</v>
      </c>
      <c r="M52" s="5">
        <f t="shared" si="78"/>
        <v>1734609.6969256732</v>
      </c>
      <c r="N52" s="5">
        <f t="shared" si="78"/>
        <v>1835511.1348163683</v>
      </c>
      <c r="P52" s="5">
        <f t="shared" si="46"/>
        <v>753912.4469862585</v>
      </c>
      <c r="Q52" s="5">
        <f t="shared" si="50"/>
        <v>854813.8848769539</v>
      </c>
      <c r="R52" s="5">
        <f t="shared" si="51"/>
        <v>955715.32276764931</v>
      </c>
      <c r="S52" s="5">
        <f t="shared" si="52"/>
        <v>1056616.760658345</v>
      </c>
      <c r="T52" s="5">
        <f t="shared" si="53"/>
        <v>1157518.1985490406</v>
      </c>
      <c r="U52" s="5">
        <f t="shared" si="54"/>
        <v>1258419.636439736</v>
      </c>
      <c r="V52" s="5">
        <f t="shared" si="55"/>
        <v>1359321.0743304319</v>
      </c>
      <c r="W52" s="5">
        <f t="shared" si="56"/>
        <v>1460222.512221127</v>
      </c>
      <c r="X52" s="5">
        <f t="shared" si="57"/>
        <v>1561123.9501118227</v>
      </c>
      <c r="Y52" s="5">
        <f t="shared" si="58"/>
        <v>1662025.3880025181</v>
      </c>
      <c r="Z52" s="5">
        <f t="shared" si="59"/>
        <v>1762926.8258932135</v>
      </c>
      <c r="AA52" s="5">
        <f t="shared" si="60"/>
        <v>1863828.2637839094</v>
      </c>
      <c r="AB52" s="5">
        <f t="shared" si="61"/>
        <v>1964729.7016746046</v>
      </c>
      <c r="AD52" s="184">
        <f t="shared" si="65"/>
        <v>-34132.256742870668</v>
      </c>
      <c r="AE52" s="5">
        <f t="shared" si="62"/>
        <v>-45061.170853142627</v>
      </c>
      <c r="AF52" s="5">
        <f t="shared" si="48"/>
        <v>-55990.084963414585</v>
      </c>
      <c r="AG52" s="5">
        <f t="shared" si="48"/>
        <v>-66918.999073686777</v>
      </c>
      <c r="AH52" s="5">
        <f t="shared" si="48"/>
        <v>-77847.913183958968</v>
      </c>
      <c r="AI52" s="5">
        <f t="shared" si="48"/>
        <v>-88776.827294230927</v>
      </c>
      <c r="AJ52" s="5">
        <f t="shared" si="48"/>
        <v>-99705.741404503118</v>
      </c>
      <c r="AK52" s="5">
        <f t="shared" si="48"/>
        <v>-110634.65551477484</v>
      </c>
      <c r="AL52" s="5">
        <f t="shared" si="48"/>
        <v>-121563.56962504704</v>
      </c>
      <c r="AM52" s="5" t="e">
        <f t="shared" si="48"/>
        <v>#VALUE!</v>
      </c>
      <c r="AN52" s="5" t="e">
        <f t="shared" si="48"/>
        <v>#VALUE!</v>
      </c>
      <c r="AO52" s="5" t="e">
        <f t="shared" si="48"/>
        <v>#VALUE!</v>
      </c>
      <c r="AP52" s="185" t="e">
        <f t="shared" si="48"/>
        <v>#VALUE!</v>
      </c>
    </row>
    <row r="53" spans="1:42" x14ac:dyDescent="0.2">
      <c r="A53" s="6">
        <f t="shared" si="63"/>
        <v>17</v>
      </c>
      <c r="B53" s="5">
        <f>12*B7*$A$53</f>
        <v>663737.24763602368</v>
      </c>
      <c r="C53" s="5">
        <f t="shared" ref="C53:N53" si="79">12*C7*$A$53</f>
        <v>770945.02539488755</v>
      </c>
      <c r="D53" s="5">
        <f t="shared" si="79"/>
        <v>878152.80315375142</v>
      </c>
      <c r="E53" s="5">
        <f t="shared" si="79"/>
        <v>985360.58091261552</v>
      </c>
      <c r="F53" s="5">
        <f t="shared" si="79"/>
        <v>1092568.3586714796</v>
      </c>
      <c r="G53" s="5">
        <f t="shared" si="79"/>
        <v>1199776.1364303436</v>
      </c>
      <c r="H53" s="5">
        <f t="shared" si="79"/>
        <v>1306983.9141892078</v>
      </c>
      <c r="I53" s="5">
        <f t="shared" si="79"/>
        <v>1414191.6919480716</v>
      </c>
      <c r="J53" s="5">
        <f t="shared" si="79"/>
        <v>1521399.4697069356</v>
      </c>
      <c r="K53" s="5">
        <f t="shared" si="79"/>
        <v>1628607.2474657996</v>
      </c>
      <c r="L53" s="5">
        <f t="shared" si="79"/>
        <v>1735815.0252246633</v>
      </c>
      <c r="M53" s="5">
        <f t="shared" si="79"/>
        <v>1843022.8029835278</v>
      </c>
      <c r="N53" s="5">
        <f t="shared" si="79"/>
        <v>1950230.5807423913</v>
      </c>
      <c r="P53" s="5">
        <f t="shared" si="46"/>
        <v>792955.81449425989</v>
      </c>
      <c r="Q53" s="5">
        <f t="shared" si="50"/>
        <v>900163.59225312388</v>
      </c>
      <c r="R53" s="5">
        <f t="shared" si="51"/>
        <v>1007371.3700119876</v>
      </c>
      <c r="S53" s="5">
        <f t="shared" si="52"/>
        <v>1114579.1477708519</v>
      </c>
      <c r="T53" s="5">
        <f t="shared" si="53"/>
        <v>1221786.9255297158</v>
      </c>
      <c r="U53" s="5">
        <f t="shared" si="54"/>
        <v>1328994.7032885798</v>
      </c>
      <c r="V53" s="5">
        <f t="shared" si="55"/>
        <v>1436202.481047444</v>
      </c>
      <c r="W53" s="5">
        <f t="shared" si="56"/>
        <v>1543410.2588063078</v>
      </c>
      <c r="X53" s="5">
        <f t="shared" si="57"/>
        <v>1650618.0365651718</v>
      </c>
      <c r="Y53" s="5">
        <f t="shared" si="58"/>
        <v>1757825.8143240358</v>
      </c>
      <c r="Z53" s="5">
        <f t="shared" si="59"/>
        <v>1865033.5920828995</v>
      </c>
      <c r="AA53" s="5">
        <f t="shared" si="60"/>
        <v>1972241.369841764</v>
      </c>
      <c r="AB53" s="5">
        <f t="shared" si="61"/>
        <v>2079449.1476006275</v>
      </c>
      <c r="AD53" s="184">
        <f t="shared" si="65"/>
        <v>-46255.845135769341</v>
      </c>
      <c r="AE53" s="5">
        <f t="shared" si="62"/>
        <v>-60126.126724821981</v>
      </c>
      <c r="AF53" s="5">
        <f t="shared" si="62"/>
        <v>-73996.408313874505</v>
      </c>
      <c r="AG53" s="5">
        <f t="shared" si="62"/>
        <v>-87866.689902927377</v>
      </c>
      <c r="AH53" s="5">
        <f t="shared" si="62"/>
        <v>-101736.97149198013</v>
      </c>
      <c r="AI53" s="5">
        <f t="shared" si="62"/>
        <v>-115607.25308103277</v>
      </c>
      <c r="AJ53" s="5" t="e">
        <f t="shared" si="62"/>
        <v>#VALUE!</v>
      </c>
      <c r="AK53" s="5" t="e">
        <f t="shared" si="62"/>
        <v>#VALUE!</v>
      </c>
      <c r="AL53" s="5" t="e">
        <f t="shared" si="62"/>
        <v>#VALUE!</v>
      </c>
      <c r="AM53" s="5" t="e">
        <f t="shared" si="62"/>
        <v>#VALUE!</v>
      </c>
      <c r="AN53" s="5" t="e">
        <f t="shared" si="62"/>
        <v>#VALUE!</v>
      </c>
      <c r="AO53" s="5" t="e">
        <f t="shared" si="62"/>
        <v>#VALUE!</v>
      </c>
      <c r="AP53" s="185" t="e">
        <f t="shared" si="62"/>
        <v>#VALUE!</v>
      </c>
    </row>
    <row r="54" spans="1:42" x14ac:dyDescent="0.2">
      <c r="A54" s="6">
        <f t="shared" si="63"/>
        <v>18</v>
      </c>
      <c r="B54" s="5">
        <f>12*B7*$A$54</f>
        <v>702780.61514402507</v>
      </c>
      <c r="C54" s="5">
        <f t="shared" ref="C54:N54" si="80">12*C7*$A$54</f>
        <v>816294.7327710574</v>
      </c>
      <c r="D54" s="5">
        <f t="shared" si="80"/>
        <v>929808.85039808974</v>
      </c>
      <c r="E54" s="5">
        <f t="shared" si="80"/>
        <v>1043322.9680251223</v>
      </c>
      <c r="F54" s="5">
        <f t="shared" si="80"/>
        <v>1156837.0856521549</v>
      </c>
      <c r="G54" s="5">
        <f t="shared" si="80"/>
        <v>1270351.2032791872</v>
      </c>
      <c r="H54" s="5">
        <f t="shared" si="80"/>
        <v>1383865.32090622</v>
      </c>
      <c r="I54" s="5">
        <f t="shared" si="80"/>
        <v>1497379.4385332521</v>
      </c>
      <c r="J54" s="5">
        <f t="shared" si="80"/>
        <v>1610893.5561602847</v>
      </c>
      <c r="K54" s="5">
        <f t="shared" si="80"/>
        <v>1724407.6737873172</v>
      </c>
      <c r="L54" s="5">
        <f t="shared" si="80"/>
        <v>1837921.7914143493</v>
      </c>
      <c r="M54" s="5">
        <f t="shared" si="80"/>
        <v>1951435.9090413824</v>
      </c>
      <c r="N54" s="5">
        <f t="shared" si="80"/>
        <v>2064950.0266684145</v>
      </c>
      <c r="P54" s="5">
        <f t="shared" si="46"/>
        <v>831999.18200226128</v>
      </c>
      <c r="Q54" s="5">
        <f t="shared" si="50"/>
        <v>945513.29962929361</v>
      </c>
      <c r="R54" s="5">
        <f t="shared" si="51"/>
        <v>1059027.4172563259</v>
      </c>
      <c r="S54" s="5">
        <f t="shared" si="52"/>
        <v>1172541.5348833585</v>
      </c>
      <c r="T54" s="5">
        <f t="shared" si="53"/>
        <v>1286055.6525103911</v>
      </c>
      <c r="U54" s="5">
        <f t="shared" si="54"/>
        <v>1399569.7701374234</v>
      </c>
      <c r="V54" s="5">
        <f t="shared" si="55"/>
        <v>1513083.8877644562</v>
      </c>
      <c r="W54" s="5">
        <f t="shared" si="56"/>
        <v>1626598.0053914883</v>
      </c>
      <c r="X54" s="5">
        <f t="shared" si="57"/>
        <v>1740112.1230185209</v>
      </c>
      <c r="Y54" s="5">
        <f t="shared" si="58"/>
        <v>1853626.2406455535</v>
      </c>
      <c r="Z54" s="5">
        <f t="shared" si="59"/>
        <v>1967140.3582725856</v>
      </c>
      <c r="AA54" s="5">
        <f t="shared" si="60"/>
        <v>2080654.4758996186</v>
      </c>
      <c r="AB54" s="5">
        <f t="shared" si="61"/>
        <v>2194168.5935266507</v>
      </c>
      <c r="AD54" s="184">
        <f t="shared" si="65"/>
        <v>-57372.633789763087</v>
      </c>
      <c r="AE54" s="5">
        <f t="shared" si="62"/>
        <v>-74058.432890233118</v>
      </c>
      <c r="AF54" s="5">
        <f t="shared" si="62"/>
        <v>-90744.231990703265</v>
      </c>
      <c r="AG54" s="5">
        <f t="shared" si="62"/>
        <v>-107430.03109117341</v>
      </c>
      <c r="AH54" s="5">
        <f t="shared" si="62"/>
        <v>-124115.83019164391</v>
      </c>
      <c r="AI54" s="5" t="e">
        <f t="shared" si="62"/>
        <v>#VALUE!</v>
      </c>
      <c r="AJ54" s="5" t="e">
        <f t="shared" si="62"/>
        <v>#VALUE!</v>
      </c>
      <c r="AK54" s="5" t="e">
        <f t="shared" si="62"/>
        <v>#VALUE!</v>
      </c>
      <c r="AL54" s="5" t="e">
        <f t="shared" si="62"/>
        <v>#VALUE!</v>
      </c>
      <c r="AM54" s="5" t="e">
        <f t="shared" si="62"/>
        <v>#VALUE!</v>
      </c>
      <c r="AN54" s="5" t="e">
        <f t="shared" si="62"/>
        <v>#VALUE!</v>
      </c>
      <c r="AO54" s="5" t="e">
        <f t="shared" si="62"/>
        <v>#VALUE!</v>
      </c>
      <c r="AP54" s="185" t="e">
        <f t="shared" si="62"/>
        <v>#VALUE!</v>
      </c>
    </row>
    <row r="55" spans="1:42" x14ac:dyDescent="0.2">
      <c r="A55" s="6">
        <f t="shared" si="63"/>
        <v>19</v>
      </c>
      <c r="B55" s="5">
        <f>12*B7*$A$55</f>
        <v>741823.98265202646</v>
      </c>
      <c r="C55" s="5">
        <f t="shared" ref="C55:N55" si="81">12*C7*$A$55</f>
        <v>861644.44014722726</v>
      </c>
      <c r="D55" s="5">
        <f t="shared" si="81"/>
        <v>981464.89764242806</v>
      </c>
      <c r="E55" s="5">
        <f t="shared" si="81"/>
        <v>1101285.3551376292</v>
      </c>
      <c r="F55" s="5">
        <f t="shared" si="81"/>
        <v>1221105.8126328301</v>
      </c>
      <c r="G55" s="5">
        <f t="shared" si="81"/>
        <v>1340926.270128031</v>
      </c>
      <c r="H55" s="5">
        <f t="shared" si="81"/>
        <v>1460746.7276232324</v>
      </c>
      <c r="I55" s="5">
        <f t="shared" si="81"/>
        <v>1580567.1851184329</v>
      </c>
      <c r="J55" s="5">
        <f t="shared" si="81"/>
        <v>1700387.642613634</v>
      </c>
      <c r="K55" s="5">
        <f t="shared" si="81"/>
        <v>1820208.1001088347</v>
      </c>
      <c r="L55" s="5">
        <f t="shared" si="81"/>
        <v>1940028.5576040356</v>
      </c>
      <c r="M55" s="5">
        <f t="shared" si="81"/>
        <v>2059849.015099237</v>
      </c>
      <c r="N55" s="5">
        <f t="shared" si="81"/>
        <v>2179669.4725944372</v>
      </c>
      <c r="P55" s="5">
        <f t="shared" si="46"/>
        <v>871042.54951026267</v>
      </c>
      <c r="Q55" s="5">
        <f t="shared" si="50"/>
        <v>990863.00700546359</v>
      </c>
      <c r="R55" s="5">
        <f t="shared" si="51"/>
        <v>1110683.4645006643</v>
      </c>
      <c r="S55" s="5">
        <f t="shared" si="52"/>
        <v>1230503.9219958654</v>
      </c>
      <c r="T55" s="5">
        <f t="shared" si="53"/>
        <v>1350324.3794910663</v>
      </c>
      <c r="U55" s="5">
        <f t="shared" si="54"/>
        <v>1470144.8369862672</v>
      </c>
      <c r="V55" s="5">
        <f t="shared" si="55"/>
        <v>1589965.2944814686</v>
      </c>
      <c r="W55" s="5">
        <f t="shared" si="56"/>
        <v>1709785.7519766691</v>
      </c>
      <c r="X55" s="5">
        <f t="shared" si="57"/>
        <v>1829606.2094718702</v>
      </c>
      <c r="Y55" s="5">
        <f t="shared" si="58"/>
        <v>1949426.6669670709</v>
      </c>
      <c r="Z55" s="5">
        <f t="shared" si="59"/>
        <v>2069247.1244622718</v>
      </c>
      <c r="AA55" s="5">
        <f t="shared" si="60"/>
        <v>2189067.5819574734</v>
      </c>
      <c r="AB55" s="5">
        <f t="shared" si="61"/>
        <v>2308888.0394526734</v>
      </c>
      <c r="AD55" s="184">
        <f t="shared" si="65"/>
        <v>-67444.968394617084</v>
      </c>
      <c r="AE55" s="5">
        <f t="shared" si="62"/>
        <v>-86815.728250362212</v>
      </c>
      <c r="AF55" s="5">
        <f t="shared" si="62"/>
        <v>-106186.48810610722</v>
      </c>
      <c r="AG55" s="5">
        <f t="shared" si="62"/>
        <v>-125557.2479618527</v>
      </c>
      <c r="AH55" s="5" t="e">
        <f t="shared" si="62"/>
        <v>#VALUE!</v>
      </c>
      <c r="AI55" s="5" t="e">
        <f t="shared" si="62"/>
        <v>#VALUE!</v>
      </c>
      <c r="AJ55" s="5" t="e">
        <f t="shared" si="62"/>
        <v>#VALUE!</v>
      </c>
      <c r="AK55" s="5" t="e">
        <f t="shared" si="62"/>
        <v>#VALUE!</v>
      </c>
      <c r="AL55" s="5" t="e">
        <f t="shared" si="62"/>
        <v>#VALUE!</v>
      </c>
      <c r="AM55" s="5" t="e">
        <f t="shared" si="62"/>
        <v>#VALUE!</v>
      </c>
      <c r="AN55" s="5" t="e">
        <f t="shared" si="62"/>
        <v>#VALUE!</v>
      </c>
      <c r="AO55" s="5" t="e">
        <f t="shared" si="62"/>
        <v>#VALUE!</v>
      </c>
      <c r="AP55" s="185" t="e">
        <f t="shared" si="62"/>
        <v>#VALUE!</v>
      </c>
    </row>
    <row r="56" spans="1:42" s="9" customFormat="1" x14ac:dyDescent="0.2">
      <c r="A56" s="64">
        <f t="shared" si="63"/>
        <v>20</v>
      </c>
      <c r="B56" s="62">
        <f>12*B7*$A$56</f>
        <v>780867.35016002785</v>
      </c>
      <c r="C56" s="62">
        <f t="shared" ref="C56:N56" si="82">12*C7*$A$56</f>
        <v>906994.14752339711</v>
      </c>
      <c r="D56" s="62">
        <f t="shared" si="82"/>
        <v>1033120.9448867664</v>
      </c>
      <c r="E56" s="62">
        <f t="shared" si="82"/>
        <v>1159247.7422501359</v>
      </c>
      <c r="F56" s="62">
        <f t="shared" si="82"/>
        <v>1285374.5396135054</v>
      </c>
      <c r="G56" s="62">
        <f t="shared" si="82"/>
        <v>1411501.3369768746</v>
      </c>
      <c r="H56" s="62">
        <f t="shared" si="82"/>
        <v>1537628.1343402446</v>
      </c>
      <c r="I56" s="62">
        <f t="shared" si="82"/>
        <v>1663754.9317036136</v>
      </c>
      <c r="J56" s="62">
        <f t="shared" si="82"/>
        <v>1789881.7290669831</v>
      </c>
      <c r="K56" s="62">
        <f t="shared" si="82"/>
        <v>1916008.5264303524</v>
      </c>
      <c r="L56" s="62">
        <f t="shared" si="82"/>
        <v>2042135.3237937216</v>
      </c>
      <c r="M56" s="62">
        <f t="shared" si="82"/>
        <v>2168262.1211570916</v>
      </c>
      <c r="N56" s="63">
        <f t="shared" si="82"/>
        <v>2294388.9185204604</v>
      </c>
      <c r="P56" s="61">
        <f t="shared" si="46"/>
        <v>910085.91701826407</v>
      </c>
      <c r="Q56" s="62">
        <f t="shared" si="50"/>
        <v>1036212.7143816333</v>
      </c>
      <c r="R56" s="62">
        <f t="shared" si="51"/>
        <v>1162339.5117450026</v>
      </c>
      <c r="S56" s="62">
        <f t="shared" si="52"/>
        <v>1288466.3091083721</v>
      </c>
      <c r="T56" s="62">
        <f t="shared" si="53"/>
        <v>1414593.1064717416</v>
      </c>
      <c r="U56" s="62">
        <f t="shared" si="54"/>
        <v>1540719.9038351108</v>
      </c>
      <c r="V56" s="62">
        <f t="shared" si="55"/>
        <v>1666846.7011984808</v>
      </c>
      <c r="W56" s="62">
        <f t="shared" si="56"/>
        <v>1792973.4985618498</v>
      </c>
      <c r="X56" s="62">
        <f t="shared" si="57"/>
        <v>1919100.2959252193</v>
      </c>
      <c r="Y56" s="62">
        <f t="shared" si="58"/>
        <v>2045227.0932885886</v>
      </c>
      <c r="Z56" s="62">
        <f t="shared" si="59"/>
        <v>2171353.8906519581</v>
      </c>
      <c r="AA56" s="62">
        <f t="shared" si="60"/>
        <v>2297480.6880153278</v>
      </c>
      <c r="AB56" s="63">
        <f t="shared" si="61"/>
        <v>2423607.4853786966</v>
      </c>
      <c r="AD56" s="191">
        <f t="shared" si="65"/>
        <v>-76433.78636889311</v>
      </c>
      <c r="AE56" s="62">
        <f t="shared" si="62"/>
        <v>-98354.067401090986</v>
      </c>
      <c r="AF56" s="62">
        <f t="shared" si="62"/>
        <v>-120274.34843328886</v>
      </c>
      <c r="AG56" s="62" t="e">
        <f t="shared" si="62"/>
        <v>#VALUE!</v>
      </c>
      <c r="AH56" s="62" t="e">
        <f t="shared" si="62"/>
        <v>#VALUE!</v>
      </c>
      <c r="AI56" s="62" t="e">
        <f t="shared" si="62"/>
        <v>#VALUE!</v>
      </c>
      <c r="AJ56" s="62" t="e">
        <f t="shared" si="62"/>
        <v>#VALUE!</v>
      </c>
      <c r="AK56" s="62" t="e">
        <f t="shared" si="62"/>
        <v>#VALUE!</v>
      </c>
      <c r="AL56" s="62" t="e">
        <f t="shared" si="62"/>
        <v>#VALUE!</v>
      </c>
      <c r="AM56" s="62" t="e">
        <f t="shared" si="62"/>
        <v>#VALUE!</v>
      </c>
      <c r="AN56" s="62" t="e">
        <f t="shared" si="62"/>
        <v>#VALUE!</v>
      </c>
      <c r="AO56" s="62" t="e">
        <f t="shared" si="62"/>
        <v>#VALUE!</v>
      </c>
      <c r="AP56" s="192" t="e">
        <f t="shared" si="62"/>
        <v>#VALUE!</v>
      </c>
    </row>
    <row r="57" spans="1:42" x14ac:dyDescent="0.2">
      <c r="A57" s="6">
        <f t="shared" si="63"/>
        <v>21</v>
      </c>
      <c r="B57" s="5">
        <f>12*B7*$A$57</f>
        <v>819910.71766802925</v>
      </c>
      <c r="C57" s="5">
        <f t="shared" ref="C57:N57" si="83">12*C7*$A$57</f>
        <v>952343.85489956697</v>
      </c>
      <c r="D57" s="5">
        <f t="shared" si="83"/>
        <v>1084776.9921311047</v>
      </c>
      <c r="E57" s="5">
        <f t="shared" si="83"/>
        <v>1217210.1293626428</v>
      </c>
      <c r="F57" s="5">
        <f t="shared" si="83"/>
        <v>1349643.2665941808</v>
      </c>
      <c r="G57" s="5">
        <f t="shared" si="83"/>
        <v>1482076.4038257184</v>
      </c>
      <c r="H57" s="5">
        <f t="shared" si="83"/>
        <v>1614509.5410572567</v>
      </c>
      <c r="I57" s="5">
        <f t="shared" si="83"/>
        <v>1746942.6782887941</v>
      </c>
      <c r="J57" s="5">
        <f t="shared" si="83"/>
        <v>1879375.8155203322</v>
      </c>
      <c r="K57" s="5">
        <f t="shared" si="83"/>
        <v>2011808.95275187</v>
      </c>
      <c r="L57" s="5">
        <f t="shared" si="83"/>
        <v>2144242.0899834079</v>
      </c>
      <c r="M57" s="5">
        <f t="shared" si="83"/>
        <v>2276675.2272149459</v>
      </c>
      <c r="N57" s="5">
        <f t="shared" si="83"/>
        <v>2409108.3644464836</v>
      </c>
      <c r="P57" s="5">
        <f t="shared" si="46"/>
        <v>949129.28452626546</v>
      </c>
      <c r="Q57" s="5">
        <f t="shared" si="50"/>
        <v>1081562.4217578033</v>
      </c>
      <c r="R57" s="5">
        <f t="shared" si="51"/>
        <v>1213995.5589893409</v>
      </c>
      <c r="S57" s="5">
        <f t="shared" si="52"/>
        <v>1346428.696220879</v>
      </c>
      <c r="T57" s="5">
        <f t="shared" si="53"/>
        <v>1478861.833452417</v>
      </c>
      <c r="U57" s="5">
        <f t="shared" si="54"/>
        <v>1611294.9706839547</v>
      </c>
      <c r="V57" s="5">
        <f t="shared" si="55"/>
        <v>1743728.107915493</v>
      </c>
      <c r="W57" s="5">
        <f t="shared" si="56"/>
        <v>1876161.2451470303</v>
      </c>
      <c r="X57" s="5">
        <f t="shared" si="57"/>
        <v>2008594.3823785684</v>
      </c>
      <c r="Y57" s="5">
        <f t="shared" si="58"/>
        <v>2141027.5196101065</v>
      </c>
      <c r="Z57" s="5">
        <f t="shared" si="59"/>
        <v>2273460.6568416441</v>
      </c>
      <c r="AA57" s="5">
        <f t="shared" si="60"/>
        <v>2405893.7940731822</v>
      </c>
      <c r="AB57" s="5">
        <f t="shared" si="61"/>
        <v>2538326.9313047198</v>
      </c>
      <c r="AD57" s="184">
        <f t="shared" si="65"/>
        <v>-84298.564190607984</v>
      </c>
      <c r="AE57" s="5">
        <f t="shared" si="62"/>
        <v>-108627.86138018861</v>
      </c>
      <c r="AF57" s="5" t="e">
        <f t="shared" si="62"/>
        <v>#VALUE!</v>
      </c>
      <c r="AG57" s="5" t="e">
        <f t="shared" si="62"/>
        <v>#VALUE!</v>
      </c>
      <c r="AH57" s="5" t="e">
        <f t="shared" si="62"/>
        <v>#VALUE!</v>
      </c>
      <c r="AI57" s="5" t="e">
        <f t="shared" si="62"/>
        <v>#VALUE!</v>
      </c>
      <c r="AJ57" s="5" t="e">
        <f t="shared" si="62"/>
        <v>#VALUE!</v>
      </c>
      <c r="AK57" s="5" t="e">
        <f t="shared" si="62"/>
        <v>#VALUE!</v>
      </c>
      <c r="AL57" s="5" t="e">
        <f t="shared" si="62"/>
        <v>#VALUE!</v>
      </c>
      <c r="AM57" s="5" t="e">
        <f t="shared" si="62"/>
        <v>#VALUE!</v>
      </c>
      <c r="AN57" s="5" t="e">
        <f t="shared" si="62"/>
        <v>#VALUE!</v>
      </c>
      <c r="AO57" s="5" t="e">
        <f t="shared" si="62"/>
        <v>#VALUE!</v>
      </c>
      <c r="AP57" s="185" t="e">
        <f t="shared" si="62"/>
        <v>#VALUE!</v>
      </c>
    </row>
    <row r="58" spans="1:42" x14ac:dyDescent="0.2">
      <c r="A58" s="6">
        <f t="shared" si="63"/>
        <v>22</v>
      </c>
      <c r="B58" s="5">
        <f>12*B7*$A$58</f>
        <v>858954.08517603064</v>
      </c>
      <c r="C58" s="5">
        <f t="shared" ref="C58:N58" si="84">12*C7*$A$58</f>
        <v>997693.56227573683</v>
      </c>
      <c r="D58" s="5">
        <f t="shared" si="84"/>
        <v>1136433.039375443</v>
      </c>
      <c r="E58" s="5">
        <f t="shared" si="84"/>
        <v>1275172.5164751494</v>
      </c>
      <c r="F58" s="5">
        <f t="shared" si="84"/>
        <v>1413911.9935748561</v>
      </c>
      <c r="G58" s="5">
        <f t="shared" si="84"/>
        <v>1552651.4706745623</v>
      </c>
      <c r="H58" s="5">
        <f t="shared" si="84"/>
        <v>1691390.9477742692</v>
      </c>
      <c r="I58" s="5">
        <f t="shared" si="84"/>
        <v>1830130.4248739749</v>
      </c>
      <c r="J58" s="5">
        <f t="shared" si="84"/>
        <v>1968869.9019736815</v>
      </c>
      <c r="K58" s="5">
        <f t="shared" si="84"/>
        <v>2107609.3790733875</v>
      </c>
      <c r="L58" s="5">
        <f t="shared" si="84"/>
        <v>2246348.8561730939</v>
      </c>
      <c r="M58" s="5">
        <f t="shared" si="84"/>
        <v>2385088.3332728008</v>
      </c>
      <c r="N58" s="5">
        <f t="shared" si="84"/>
        <v>2523827.8103725063</v>
      </c>
      <c r="P58" s="5">
        <f t="shared" si="46"/>
        <v>988172.65203426685</v>
      </c>
      <c r="Q58" s="5">
        <f t="shared" si="50"/>
        <v>1126912.129133973</v>
      </c>
      <c r="R58" s="5">
        <f t="shared" si="51"/>
        <v>1265651.6062336792</v>
      </c>
      <c r="S58" s="5">
        <f t="shared" si="52"/>
        <v>1404391.0833333856</v>
      </c>
      <c r="T58" s="5">
        <f t="shared" si="53"/>
        <v>1543130.5604330923</v>
      </c>
      <c r="U58" s="5">
        <f t="shared" si="54"/>
        <v>1681870.0375327985</v>
      </c>
      <c r="V58" s="5">
        <f t="shared" si="55"/>
        <v>1820609.5146325054</v>
      </c>
      <c r="W58" s="5">
        <f t="shared" si="56"/>
        <v>1959348.9917322111</v>
      </c>
      <c r="X58" s="5">
        <f t="shared" si="57"/>
        <v>2098088.4688319177</v>
      </c>
      <c r="Y58" s="5">
        <f t="shared" si="58"/>
        <v>2236827.9459316237</v>
      </c>
      <c r="Z58" s="5">
        <f t="shared" si="59"/>
        <v>2375567.4230313301</v>
      </c>
      <c r="AA58" s="5">
        <f t="shared" si="60"/>
        <v>2514306.900131037</v>
      </c>
      <c r="AB58" s="5">
        <f t="shared" si="61"/>
        <v>2653046.3772307425</v>
      </c>
      <c r="AD58" s="184">
        <f t="shared" si="65"/>
        <v>-90997.262758055585</v>
      </c>
      <c r="AE58" s="5">
        <f t="shared" si="62"/>
        <v>-117589.81619823538</v>
      </c>
      <c r="AF58" s="5" t="e">
        <f t="shared" si="62"/>
        <v>#VALUE!</v>
      </c>
      <c r="AG58" s="5" t="e">
        <f t="shared" si="62"/>
        <v>#VALUE!</v>
      </c>
      <c r="AH58" s="5" t="e">
        <f t="shared" si="62"/>
        <v>#VALUE!</v>
      </c>
      <c r="AI58" s="5" t="e">
        <f t="shared" si="62"/>
        <v>#VALUE!</v>
      </c>
      <c r="AJ58" s="5" t="e">
        <f t="shared" si="62"/>
        <v>#VALUE!</v>
      </c>
      <c r="AK58" s="5" t="e">
        <f t="shared" si="62"/>
        <v>#VALUE!</v>
      </c>
      <c r="AL58" s="5" t="e">
        <f t="shared" si="62"/>
        <v>#VALUE!</v>
      </c>
      <c r="AM58" s="5" t="e">
        <f t="shared" si="62"/>
        <v>#VALUE!</v>
      </c>
      <c r="AN58" s="5" t="e">
        <f t="shared" si="62"/>
        <v>#VALUE!</v>
      </c>
      <c r="AO58" s="5" t="e">
        <f t="shared" si="62"/>
        <v>#VALUE!</v>
      </c>
      <c r="AP58" s="185" t="e">
        <f t="shared" si="62"/>
        <v>#VALUE!</v>
      </c>
    </row>
    <row r="59" spans="1:42" x14ac:dyDescent="0.2">
      <c r="A59" s="6">
        <f t="shared" si="63"/>
        <v>23</v>
      </c>
      <c r="B59" s="5">
        <f>12*B7*$A$59</f>
        <v>897997.45268403203</v>
      </c>
      <c r="C59" s="5">
        <f t="shared" ref="C59:N59" si="85">12*C7*$A$59</f>
        <v>1043043.2696519067</v>
      </c>
      <c r="D59" s="5">
        <f t="shared" si="85"/>
        <v>1188089.0866197813</v>
      </c>
      <c r="E59" s="5">
        <f t="shared" si="85"/>
        <v>1333134.9035876563</v>
      </c>
      <c r="F59" s="5">
        <f t="shared" si="85"/>
        <v>1478180.7205555313</v>
      </c>
      <c r="G59" s="5">
        <f t="shared" si="85"/>
        <v>1623226.5375234059</v>
      </c>
      <c r="H59" s="5">
        <f t="shared" si="85"/>
        <v>1768272.3544912813</v>
      </c>
      <c r="I59" s="5">
        <f t="shared" si="85"/>
        <v>1913318.1714591556</v>
      </c>
      <c r="J59" s="5">
        <f t="shared" si="85"/>
        <v>2058363.9884270306</v>
      </c>
      <c r="K59" s="5">
        <f t="shared" si="85"/>
        <v>2203409.8053949052</v>
      </c>
      <c r="L59" s="5">
        <f t="shared" si="85"/>
        <v>2348455.6223627799</v>
      </c>
      <c r="M59" s="5">
        <f t="shared" si="85"/>
        <v>2493501.4393306552</v>
      </c>
      <c r="N59" s="5">
        <f t="shared" si="85"/>
        <v>2638547.2562985294</v>
      </c>
      <c r="P59" s="5">
        <f t="shared" si="46"/>
        <v>1027216.0195422682</v>
      </c>
      <c r="Q59" s="5">
        <f t="shared" si="50"/>
        <v>1172261.836510143</v>
      </c>
      <c r="R59" s="5">
        <f t="shared" si="51"/>
        <v>1317307.6534780175</v>
      </c>
      <c r="S59" s="5">
        <f t="shared" si="52"/>
        <v>1462353.4704458925</v>
      </c>
      <c r="T59" s="5">
        <f t="shared" si="53"/>
        <v>1607399.2874137675</v>
      </c>
      <c r="U59" s="5">
        <f t="shared" si="54"/>
        <v>1752445.1043816421</v>
      </c>
      <c r="V59" s="5">
        <f t="shared" si="55"/>
        <v>1897490.9213495175</v>
      </c>
      <c r="W59" s="5">
        <f t="shared" si="56"/>
        <v>2042536.7383173918</v>
      </c>
      <c r="X59" s="5">
        <f t="shared" si="57"/>
        <v>2187582.5552852671</v>
      </c>
      <c r="Y59" s="5">
        <f t="shared" si="58"/>
        <v>2332628.3722531414</v>
      </c>
      <c r="Z59" s="5">
        <f t="shared" si="59"/>
        <v>2477674.1892210161</v>
      </c>
      <c r="AA59" s="5">
        <f t="shared" si="60"/>
        <v>2622720.0061888914</v>
      </c>
      <c r="AB59" s="5">
        <f t="shared" si="61"/>
        <v>2767765.8231567657</v>
      </c>
      <c r="AD59" s="184">
        <f t="shared" si="65"/>
        <v>-96486.27070712659</v>
      </c>
      <c r="AE59" s="5">
        <f t="shared" si="62"/>
        <v>-125190.86907060863</v>
      </c>
      <c r="AF59" s="5" t="e">
        <f t="shared" si="62"/>
        <v>#VALUE!</v>
      </c>
      <c r="AG59" s="5" t="e">
        <f t="shared" si="62"/>
        <v>#VALUE!</v>
      </c>
      <c r="AH59" s="5" t="e">
        <f t="shared" si="62"/>
        <v>#VALUE!</v>
      </c>
      <c r="AI59" s="5" t="e">
        <f t="shared" si="62"/>
        <v>#VALUE!</v>
      </c>
      <c r="AJ59" s="5" t="e">
        <f t="shared" si="62"/>
        <v>#VALUE!</v>
      </c>
      <c r="AK59" s="5" t="e">
        <f t="shared" si="62"/>
        <v>#VALUE!</v>
      </c>
      <c r="AL59" s="5" t="e">
        <f t="shared" si="62"/>
        <v>#VALUE!</v>
      </c>
      <c r="AM59" s="5" t="e">
        <f t="shared" si="62"/>
        <v>#VALUE!</v>
      </c>
      <c r="AN59" s="5" t="e">
        <f t="shared" si="62"/>
        <v>#VALUE!</v>
      </c>
      <c r="AO59" s="5" t="e">
        <f t="shared" si="62"/>
        <v>#VALUE!</v>
      </c>
      <c r="AP59" s="185" t="e">
        <f t="shared" si="62"/>
        <v>#VALUE!</v>
      </c>
    </row>
    <row r="60" spans="1:42" x14ac:dyDescent="0.2">
      <c r="A60" s="6">
        <f t="shared" si="63"/>
        <v>24</v>
      </c>
      <c r="B60" s="5">
        <f>12*B7*$A$60</f>
        <v>937040.82019203342</v>
      </c>
      <c r="C60" s="5">
        <f t="shared" ref="C60:N60" si="86">12*C7*$A$60</f>
        <v>1088392.9770280765</v>
      </c>
      <c r="D60" s="5">
        <f t="shared" si="86"/>
        <v>1239745.1338641196</v>
      </c>
      <c r="E60" s="5">
        <f t="shared" si="86"/>
        <v>1391097.2907001632</v>
      </c>
      <c r="F60" s="5">
        <f t="shared" si="86"/>
        <v>1542449.4475362066</v>
      </c>
      <c r="G60" s="5">
        <f t="shared" si="86"/>
        <v>1693801.6043722497</v>
      </c>
      <c r="H60" s="5">
        <f t="shared" si="86"/>
        <v>1845153.7612082935</v>
      </c>
      <c r="I60" s="5">
        <f t="shared" si="86"/>
        <v>1996505.9180443361</v>
      </c>
      <c r="J60" s="5">
        <f t="shared" si="86"/>
        <v>2147858.0748803797</v>
      </c>
      <c r="K60" s="5">
        <f t="shared" si="86"/>
        <v>2299210.2317164228</v>
      </c>
      <c r="L60" s="5">
        <f t="shared" si="86"/>
        <v>2450562.3885524659</v>
      </c>
      <c r="M60" s="5">
        <f t="shared" si="86"/>
        <v>2601914.5453885095</v>
      </c>
      <c r="N60" s="5">
        <f t="shared" si="86"/>
        <v>2753266.7022245526</v>
      </c>
      <c r="P60" s="5">
        <f t="shared" si="46"/>
        <v>1066259.3870502696</v>
      </c>
      <c r="Q60" s="5">
        <f t="shared" si="50"/>
        <v>1217611.5438863127</v>
      </c>
      <c r="R60" s="5">
        <f t="shared" si="51"/>
        <v>1368963.7007223559</v>
      </c>
      <c r="S60" s="5">
        <f t="shared" si="52"/>
        <v>1520315.8575583994</v>
      </c>
      <c r="T60" s="5">
        <f t="shared" si="53"/>
        <v>1671668.0143944428</v>
      </c>
      <c r="U60" s="5">
        <f t="shared" si="54"/>
        <v>1823020.1712304859</v>
      </c>
      <c r="V60" s="5">
        <f t="shared" si="55"/>
        <v>1974372.3280665297</v>
      </c>
      <c r="W60" s="5">
        <f t="shared" si="56"/>
        <v>2125724.4849025724</v>
      </c>
      <c r="X60" s="5">
        <f t="shared" si="57"/>
        <v>2277076.6417386159</v>
      </c>
      <c r="Y60" s="5">
        <f t="shared" si="58"/>
        <v>2428428.798574659</v>
      </c>
      <c r="Z60" s="5">
        <f t="shared" si="59"/>
        <v>2579780.9554107022</v>
      </c>
      <c r="AA60" s="5">
        <f t="shared" si="60"/>
        <v>2731133.1122467457</v>
      </c>
      <c r="AB60" s="5">
        <f t="shared" si="61"/>
        <v>2882485.2690827888</v>
      </c>
      <c r="AD60" s="184">
        <f t="shared" si="65"/>
        <v>-100720.34560869331</v>
      </c>
      <c r="AE60" s="5" t="e">
        <f t="shared" si="62"/>
        <v>#VALUE!</v>
      </c>
      <c r="AF60" s="5" t="e">
        <f t="shared" si="62"/>
        <v>#VALUE!</v>
      </c>
      <c r="AG60" s="5" t="e">
        <f t="shared" si="62"/>
        <v>#VALUE!</v>
      </c>
      <c r="AH60" s="5" t="e">
        <f t="shared" si="62"/>
        <v>#VALUE!</v>
      </c>
      <c r="AI60" s="5" t="e">
        <f t="shared" si="62"/>
        <v>#VALUE!</v>
      </c>
      <c r="AJ60" s="5" t="e">
        <f t="shared" si="62"/>
        <v>#VALUE!</v>
      </c>
      <c r="AK60" s="5" t="e">
        <f t="shared" si="62"/>
        <v>#VALUE!</v>
      </c>
      <c r="AL60" s="5" t="e">
        <f t="shared" si="62"/>
        <v>#VALUE!</v>
      </c>
      <c r="AM60" s="5" t="e">
        <f t="shared" si="62"/>
        <v>#VALUE!</v>
      </c>
      <c r="AN60" s="5" t="e">
        <f t="shared" si="62"/>
        <v>#VALUE!</v>
      </c>
      <c r="AO60" s="5" t="e">
        <f t="shared" si="62"/>
        <v>#VALUE!</v>
      </c>
      <c r="AP60" s="185" t="e">
        <f t="shared" si="62"/>
        <v>#VALUE!</v>
      </c>
    </row>
    <row r="61" spans="1:42" s="9" customFormat="1" ht="17" thickBot="1" x14ac:dyDescent="0.25">
      <c r="A61" s="64">
        <f t="shared" si="63"/>
        <v>25</v>
      </c>
      <c r="B61" s="62">
        <f>12*B7*$A$61</f>
        <v>976084.18770003482</v>
      </c>
      <c r="C61" s="62">
        <f t="shared" ref="C61:N61" si="87">12*C7*$A$61</f>
        <v>1133742.6844042465</v>
      </c>
      <c r="D61" s="62">
        <f t="shared" si="87"/>
        <v>1291401.181108458</v>
      </c>
      <c r="E61" s="62">
        <f t="shared" si="87"/>
        <v>1449059.6778126699</v>
      </c>
      <c r="F61" s="62">
        <f t="shared" si="87"/>
        <v>1606718.1745168818</v>
      </c>
      <c r="G61" s="62">
        <f t="shared" si="87"/>
        <v>1764376.6712210935</v>
      </c>
      <c r="H61" s="62">
        <f t="shared" si="87"/>
        <v>1922035.1679253057</v>
      </c>
      <c r="I61" s="62">
        <f t="shared" si="87"/>
        <v>2079693.6646295169</v>
      </c>
      <c r="J61" s="62">
        <f t="shared" si="87"/>
        <v>2237352.161333729</v>
      </c>
      <c r="K61" s="62">
        <f t="shared" si="87"/>
        <v>2395010.6580379405</v>
      </c>
      <c r="L61" s="62">
        <f t="shared" si="87"/>
        <v>2552669.154742152</v>
      </c>
      <c r="M61" s="62">
        <f t="shared" si="87"/>
        <v>2710327.6514463644</v>
      </c>
      <c r="N61" s="63">
        <f t="shared" si="87"/>
        <v>2867986.1481505753</v>
      </c>
      <c r="P61" s="61">
        <f t="shared" si="46"/>
        <v>1105302.754558271</v>
      </c>
      <c r="Q61" s="62">
        <f t="shared" si="50"/>
        <v>1262961.2512624827</v>
      </c>
      <c r="R61" s="62">
        <f t="shared" si="51"/>
        <v>1420619.7479666942</v>
      </c>
      <c r="S61" s="62">
        <f t="shared" si="52"/>
        <v>1578278.2446709061</v>
      </c>
      <c r="T61" s="62">
        <f t="shared" si="53"/>
        <v>1735936.741375118</v>
      </c>
      <c r="U61" s="62">
        <f t="shared" si="54"/>
        <v>1893595.2380793297</v>
      </c>
      <c r="V61" s="62">
        <f t="shared" si="55"/>
        <v>2051253.7347835419</v>
      </c>
      <c r="W61" s="62">
        <f t="shared" si="56"/>
        <v>2208912.2314877533</v>
      </c>
      <c r="X61" s="62">
        <f t="shared" si="57"/>
        <v>2366570.7281919653</v>
      </c>
      <c r="Y61" s="62">
        <f t="shared" si="58"/>
        <v>2524229.2248961767</v>
      </c>
      <c r="Z61" s="62">
        <f t="shared" si="59"/>
        <v>2681887.7216003882</v>
      </c>
      <c r="AA61" s="62">
        <f t="shared" si="60"/>
        <v>2839546.2183046006</v>
      </c>
      <c r="AB61" s="63">
        <f t="shared" si="61"/>
        <v>2997204.7150088116</v>
      </c>
      <c r="AD61" s="193">
        <f>AD34-P61</f>
        <v>-103652.55296677991</v>
      </c>
      <c r="AE61" s="194" t="e">
        <f t="shared" si="62"/>
        <v>#VALUE!</v>
      </c>
      <c r="AF61" s="194" t="e">
        <f t="shared" si="62"/>
        <v>#VALUE!</v>
      </c>
      <c r="AG61" s="194" t="e">
        <f t="shared" si="62"/>
        <v>#VALUE!</v>
      </c>
      <c r="AH61" s="194" t="e">
        <f t="shared" si="62"/>
        <v>#VALUE!</v>
      </c>
      <c r="AI61" s="194" t="e">
        <f t="shared" si="62"/>
        <v>#VALUE!</v>
      </c>
      <c r="AJ61" s="194" t="e">
        <f t="shared" si="62"/>
        <v>#VALUE!</v>
      </c>
      <c r="AK61" s="194" t="e">
        <f t="shared" si="62"/>
        <v>#VALUE!</v>
      </c>
      <c r="AL61" s="194" t="e">
        <f t="shared" si="62"/>
        <v>#VALUE!</v>
      </c>
      <c r="AM61" s="194" t="e">
        <f t="shared" si="62"/>
        <v>#VALUE!</v>
      </c>
      <c r="AN61" s="194" t="e">
        <f t="shared" si="62"/>
        <v>#VALUE!</v>
      </c>
      <c r="AO61" s="194" t="e">
        <f t="shared" si="62"/>
        <v>#VALUE!</v>
      </c>
      <c r="AP61" s="195" t="e">
        <f t="shared" si="62"/>
        <v>#VALUE!</v>
      </c>
    </row>
  </sheetData>
  <conditionalFormatting sqref="B7:N7">
    <cfRule type="cellIs" dxfId="5" priority="1" operator="lessThanOrEqual">
      <formula>$H$1</formula>
    </cfRule>
    <cfRule type="cellIs" dxfId="4" priority="3" operator="greaterThan">
      <formula>($F$1)/36</formula>
    </cfRule>
  </conditionalFormatting>
  <conditionalFormatting sqref="AD10:AP34">
    <cfRule type="cellIs" dxfId="3" priority="6" stopIfTrue="1" operator="lessThan">
      <formula>$F$4</formula>
    </cfRule>
  </conditionalFormatting>
  <conditionalFormatting sqref="AD37:AP61">
    <cfRule type="cellIs" dxfId="2" priority="2" operator="greaterThan">
      <formula>0</formula>
    </cfRule>
  </conditionalFormatting>
  <dataValidations count="1">
    <dataValidation type="list" allowBlank="1" showInputMessage="1" showErrorMessage="1" sqref="B3" xr:uid="{8407DA0B-13DF-0C4E-BD6B-4D566E09198E}">
      <formula1>$C$3:$F$3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249205-1F68-604D-8E20-E46F462E8E48}">
          <x14:formula1>
            <xm:f>Finances!$B$1:$L$1</xm:f>
          </x14:formula1>
          <xm:sqref>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CD38-5B1B-A547-AD70-6C776C25E269}">
  <dimension ref="A1:O81"/>
  <sheetViews>
    <sheetView zoomScale="83" zoomScaleNormal="86" workbookViewId="0">
      <selection activeCell="B5" sqref="B5"/>
    </sheetView>
  </sheetViews>
  <sheetFormatPr baseColWidth="10" defaultRowHeight="16" x14ac:dyDescent="0.2"/>
  <cols>
    <col min="1" max="1" width="38" style="6" bestFit="1" customWidth="1"/>
    <col min="2" max="3" width="15.83203125" bestFit="1" customWidth="1"/>
    <col min="4" max="4" width="25.33203125" bestFit="1" customWidth="1"/>
    <col min="5" max="5" width="30.6640625" bestFit="1" customWidth="1"/>
    <col min="6" max="8" width="15.83203125" bestFit="1" customWidth="1"/>
    <col min="9" max="9" width="20.83203125" bestFit="1" customWidth="1"/>
    <col min="10" max="14" width="15.83203125" bestFit="1" customWidth="1"/>
  </cols>
  <sheetData>
    <row r="1" spans="1:14" x14ac:dyDescent="0.2">
      <c r="A1" s="6" t="s">
        <v>20</v>
      </c>
      <c r="B1" s="4">
        <f>Home!B1</f>
        <v>1.33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idden="1" x14ac:dyDescent="0.2">
      <c r="A2" s="6" t="s">
        <v>42</v>
      </c>
      <c r="B2" s="5">
        <v>400000</v>
      </c>
      <c r="C2" s="5">
        <v>450000</v>
      </c>
      <c r="D2" s="5">
        <v>500000</v>
      </c>
      <c r="E2" s="5">
        <v>550000</v>
      </c>
      <c r="F2" s="5">
        <v>600000</v>
      </c>
      <c r="G2" s="5">
        <v>650000</v>
      </c>
      <c r="H2" s="5">
        <v>700000</v>
      </c>
      <c r="I2" s="5">
        <v>750000</v>
      </c>
      <c r="J2" s="5">
        <v>800000</v>
      </c>
      <c r="K2" s="5">
        <v>850000</v>
      </c>
      <c r="L2" s="5">
        <v>900000</v>
      </c>
      <c r="M2" s="5">
        <v>950000</v>
      </c>
      <c r="N2" s="5">
        <v>1000000</v>
      </c>
    </row>
    <row r="3" spans="1:14" hidden="1" x14ac:dyDescent="0.2">
      <c r="A3" s="6" t="s">
        <v>44</v>
      </c>
      <c r="B3" s="5">
        <f>(B2*0.8*(1+$B$1/1200)^(12*30))/(360)</f>
        <v>1324.4483261113676</v>
      </c>
      <c r="C3" s="5">
        <f t="shared" ref="C3:N3" si="0">(C2*0.8*(1+$B$1/1200)^(12*30))/(360)</f>
        <v>1490.0043668752885</v>
      </c>
      <c r="D3" s="5">
        <f t="shared" si="0"/>
        <v>1655.5604076392094</v>
      </c>
      <c r="E3" s="5">
        <f t="shared" si="0"/>
        <v>1821.1164484031303</v>
      </c>
      <c r="F3" s="5">
        <f t="shared" si="0"/>
        <v>1986.6724891670515</v>
      </c>
      <c r="G3" s="5">
        <f t="shared" si="0"/>
        <v>2152.2285299309724</v>
      </c>
      <c r="H3" s="5">
        <f t="shared" si="0"/>
        <v>2317.7845706948933</v>
      </c>
      <c r="I3" s="5">
        <f t="shared" si="0"/>
        <v>2483.3406114588142</v>
      </c>
      <c r="J3" s="5">
        <f t="shared" si="0"/>
        <v>2648.8966522227352</v>
      </c>
      <c r="K3" s="5">
        <f t="shared" si="0"/>
        <v>2814.4526929866561</v>
      </c>
      <c r="L3" s="5">
        <f t="shared" si="0"/>
        <v>2980.008733750577</v>
      </c>
      <c r="M3" s="5">
        <f t="shared" si="0"/>
        <v>3145.5647745144979</v>
      </c>
      <c r="N3" s="5">
        <f t="shared" si="0"/>
        <v>3311.1208152784188</v>
      </c>
    </row>
    <row r="4" spans="1:14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6" t="s">
        <v>42</v>
      </c>
      <c r="B5" s="5">
        <v>650000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6" t="s">
        <v>44</v>
      </c>
      <c r="B6" s="5">
        <f>PMT($B$1/1200,360,-(1.04*B5-Home!F4))+(Home!B2*B5)/12+200</f>
        <v>2855.272593781076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8" spans="1:14" x14ac:dyDescent="0.2">
      <c r="A8" s="49" t="s">
        <v>27</v>
      </c>
      <c r="B8" s="48">
        <v>85000</v>
      </c>
      <c r="C8" s="48">
        <v>90000</v>
      </c>
      <c r="D8" s="48">
        <v>95000</v>
      </c>
      <c r="E8" s="48">
        <v>100000</v>
      </c>
      <c r="F8" s="48">
        <v>105000</v>
      </c>
      <c r="G8" s="48">
        <v>110000</v>
      </c>
      <c r="H8" s="48">
        <v>115000</v>
      </c>
      <c r="I8" s="48">
        <v>120000</v>
      </c>
      <c r="J8" s="48">
        <v>125000</v>
      </c>
      <c r="K8" s="48">
        <v>130000</v>
      </c>
      <c r="L8" s="48">
        <v>135000</v>
      </c>
      <c r="M8" s="48">
        <v>140000</v>
      </c>
      <c r="N8" s="48">
        <v>145000</v>
      </c>
    </row>
    <row r="9" spans="1:14" hidden="1" x14ac:dyDescent="0.2">
      <c r="A9" s="81" t="s">
        <v>52</v>
      </c>
      <c r="B9" s="76">
        <f>$B78</f>
        <v>71447.732755481848</v>
      </c>
      <c r="C9" s="76">
        <f t="shared" ref="C9:N9" si="1">$B78</f>
        <v>71447.732755481848</v>
      </c>
      <c r="D9" s="76">
        <f t="shared" si="1"/>
        <v>71447.732755481848</v>
      </c>
      <c r="E9" s="76">
        <f t="shared" si="1"/>
        <v>71447.732755481848</v>
      </c>
      <c r="F9" s="76">
        <f t="shared" si="1"/>
        <v>71447.732755481848</v>
      </c>
      <c r="G9" s="76">
        <f t="shared" si="1"/>
        <v>71447.732755481848</v>
      </c>
      <c r="H9" s="76">
        <f t="shared" si="1"/>
        <v>71447.732755481848</v>
      </c>
      <c r="I9" s="76">
        <f t="shared" si="1"/>
        <v>71447.732755481848</v>
      </c>
      <c r="J9" s="76">
        <f t="shared" si="1"/>
        <v>71447.732755481848</v>
      </c>
      <c r="K9" s="76">
        <f t="shared" si="1"/>
        <v>71447.732755481848</v>
      </c>
      <c r="L9" s="76">
        <f t="shared" si="1"/>
        <v>71447.732755481848</v>
      </c>
      <c r="M9" s="76">
        <f t="shared" si="1"/>
        <v>71447.732755481848</v>
      </c>
      <c r="N9" s="76">
        <f t="shared" si="1"/>
        <v>71447.732755481848</v>
      </c>
    </row>
    <row r="10" spans="1:14" x14ac:dyDescent="0.2">
      <c r="A10" s="49" t="s">
        <v>133</v>
      </c>
      <c r="B10" s="5">
        <f>$B79</f>
        <v>83774.324451823573</v>
      </c>
      <c r="C10" s="5">
        <f t="shared" ref="C10:N10" si="2">$B79</f>
        <v>83774.324451823573</v>
      </c>
      <c r="D10" s="5">
        <f t="shared" si="2"/>
        <v>83774.324451823573</v>
      </c>
      <c r="E10" s="5">
        <f t="shared" si="2"/>
        <v>83774.324451823573</v>
      </c>
      <c r="F10" s="5">
        <f t="shared" si="2"/>
        <v>83774.324451823573</v>
      </c>
      <c r="G10" s="5">
        <f t="shared" si="2"/>
        <v>83774.324451823573</v>
      </c>
      <c r="H10" s="5">
        <f t="shared" si="2"/>
        <v>83774.324451823573</v>
      </c>
      <c r="I10" s="5">
        <f t="shared" si="2"/>
        <v>83774.324451823573</v>
      </c>
      <c r="J10" s="5">
        <f t="shared" si="2"/>
        <v>83774.324451823573</v>
      </c>
      <c r="K10" s="5">
        <f t="shared" si="2"/>
        <v>83774.324451823573</v>
      </c>
      <c r="L10" s="5">
        <f t="shared" si="2"/>
        <v>83774.324451823573</v>
      </c>
      <c r="M10" s="5">
        <f t="shared" si="2"/>
        <v>83774.324451823573</v>
      </c>
      <c r="N10" s="5">
        <f t="shared" si="2"/>
        <v>83774.324451823573</v>
      </c>
    </row>
    <row r="11" spans="1:14" hidden="1" x14ac:dyDescent="0.2">
      <c r="A11" s="49" t="s">
        <v>34</v>
      </c>
      <c r="B11" s="4">
        <f>IF(B9&gt;89450, 0.1*22000 + 0.12*(89450-22000)+(B9-89450)*0.22, 0.1*22000 + 0.12*(B9-22000))</f>
        <v>8133.7279306578212</v>
      </c>
      <c r="C11" s="4">
        <f t="shared" ref="C11:N11" si="3">IF(C9&gt;89450, 0.1*22000 + 0.12*(89450-22000)+(C9-89450)*0.22, 0.1*22000 + 0.12*(C9-22000))</f>
        <v>8133.7279306578212</v>
      </c>
      <c r="D11" s="4">
        <f t="shared" si="3"/>
        <v>8133.7279306578212</v>
      </c>
      <c r="E11" s="4">
        <f t="shared" si="3"/>
        <v>8133.7279306578212</v>
      </c>
      <c r="F11" s="4">
        <f t="shared" si="3"/>
        <v>8133.7279306578212</v>
      </c>
      <c r="G11" s="4">
        <f t="shared" si="3"/>
        <v>8133.7279306578212</v>
      </c>
      <c r="H11" s="4">
        <f t="shared" si="3"/>
        <v>8133.7279306578212</v>
      </c>
      <c r="I11" s="4">
        <f t="shared" si="3"/>
        <v>8133.7279306578212</v>
      </c>
      <c r="J11" s="4">
        <f t="shared" si="3"/>
        <v>8133.7279306578212</v>
      </c>
      <c r="K11" s="4">
        <f t="shared" si="3"/>
        <v>8133.7279306578212</v>
      </c>
      <c r="L11" s="4">
        <f t="shared" si="3"/>
        <v>8133.7279306578212</v>
      </c>
      <c r="M11" s="4">
        <f t="shared" si="3"/>
        <v>8133.7279306578212</v>
      </c>
      <c r="N11" s="4">
        <f t="shared" si="3"/>
        <v>8133.7279306578212</v>
      </c>
    </row>
    <row r="12" spans="1:14" x14ac:dyDescent="0.2">
      <c r="A12" s="49" t="s">
        <v>136</v>
      </c>
      <c r="B12" s="4">
        <f>IF(B10&gt;89450, 0.1*22000 + 0.12*(89450-22000)+(B10-89450)*0.22, 0.1*22000 + 0.12*(B10-22000))</f>
        <v>9612.9189342188292</v>
      </c>
      <c r="C12" s="4">
        <f t="shared" ref="C12:N12" si="4">IF(C10&gt;89450, 0.1*22000 + 0.12*(89450-22000)+(C10-89450)*0.22, 0.1*22000 + 0.12*(C10-22000))</f>
        <v>9612.9189342188292</v>
      </c>
      <c r="D12" s="4">
        <f t="shared" si="4"/>
        <v>9612.9189342188292</v>
      </c>
      <c r="E12" s="4">
        <f t="shared" si="4"/>
        <v>9612.9189342188292</v>
      </c>
      <c r="F12" s="4">
        <f t="shared" si="4"/>
        <v>9612.9189342188292</v>
      </c>
      <c r="G12" s="4">
        <f t="shared" si="4"/>
        <v>9612.9189342188292</v>
      </c>
      <c r="H12" s="4">
        <f t="shared" si="4"/>
        <v>9612.9189342188292</v>
      </c>
      <c r="I12" s="4">
        <f t="shared" si="4"/>
        <v>9612.9189342188292</v>
      </c>
      <c r="J12" s="4">
        <f t="shared" si="4"/>
        <v>9612.9189342188292</v>
      </c>
      <c r="K12" s="4">
        <f t="shared" si="4"/>
        <v>9612.9189342188292</v>
      </c>
      <c r="L12" s="4">
        <f t="shared" si="4"/>
        <v>9612.9189342188292</v>
      </c>
      <c r="M12" s="4">
        <f t="shared" si="4"/>
        <v>9612.9189342188292</v>
      </c>
      <c r="N12" s="4">
        <f t="shared" si="4"/>
        <v>9612.9189342188292</v>
      </c>
    </row>
    <row r="13" spans="1:14" hidden="1" x14ac:dyDescent="0.2">
      <c r="A13" s="49" t="s">
        <v>28</v>
      </c>
      <c r="B13" s="4">
        <f xml:space="preserve"> 1202 + (B9-27900)*0.055</f>
        <v>3597.1253015515017</v>
      </c>
      <c r="C13" s="4">
        <f t="shared" ref="C13:N13" si="5" xml:space="preserve"> 1202 + (C9-27900)*0.055</f>
        <v>3597.1253015515017</v>
      </c>
      <c r="D13" s="4">
        <f t="shared" si="5"/>
        <v>3597.1253015515017</v>
      </c>
      <c r="E13" s="4">
        <f t="shared" si="5"/>
        <v>3597.1253015515017</v>
      </c>
      <c r="F13" s="4">
        <f t="shared" si="5"/>
        <v>3597.1253015515017</v>
      </c>
      <c r="G13" s="4">
        <f t="shared" si="5"/>
        <v>3597.1253015515017</v>
      </c>
      <c r="H13" s="4">
        <f t="shared" si="5"/>
        <v>3597.1253015515017</v>
      </c>
      <c r="I13" s="4">
        <f t="shared" si="5"/>
        <v>3597.1253015515017</v>
      </c>
      <c r="J13" s="4">
        <f t="shared" si="5"/>
        <v>3597.1253015515017</v>
      </c>
      <c r="K13" s="4">
        <f t="shared" si="5"/>
        <v>3597.1253015515017</v>
      </c>
      <c r="L13" s="4">
        <f t="shared" si="5"/>
        <v>3597.1253015515017</v>
      </c>
      <c r="M13" s="4">
        <f t="shared" si="5"/>
        <v>3597.1253015515017</v>
      </c>
      <c r="N13" s="4">
        <f t="shared" si="5"/>
        <v>3597.1253015515017</v>
      </c>
    </row>
    <row r="14" spans="1:14" x14ac:dyDescent="0.2">
      <c r="A14" s="49" t="s">
        <v>137</v>
      </c>
      <c r="B14" s="4">
        <f xml:space="preserve"> 1202 + (B10-27900)*0.055</f>
        <v>4275.0878448502972</v>
      </c>
      <c r="C14" s="4">
        <f xml:space="preserve"> 1202 + (C10-27900)*0.055</f>
        <v>4275.0878448502972</v>
      </c>
      <c r="D14" s="4">
        <f t="shared" ref="D14:N14" si="6" xml:space="preserve"> 1202 + (D10-27900)*0.055</f>
        <v>4275.0878448502972</v>
      </c>
      <c r="E14" s="4">
        <f t="shared" si="6"/>
        <v>4275.0878448502972</v>
      </c>
      <c r="F14" s="4">
        <f t="shared" si="6"/>
        <v>4275.0878448502972</v>
      </c>
      <c r="G14" s="4">
        <f t="shared" si="6"/>
        <v>4275.0878448502972</v>
      </c>
      <c r="H14" s="4">
        <f t="shared" si="6"/>
        <v>4275.0878448502972</v>
      </c>
      <c r="I14" s="4">
        <f t="shared" si="6"/>
        <v>4275.0878448502972</v>
      </c>
      <c r="J14" s="4">
        <f t="shared" si="6"/>
        <v>4275.0878448502972</v>
      </c>
      <c r="K14" s="4">
        <f t="shared" si="6"/>
        <v>4275.0878448502972</v>
      </c>
      <c r="L14" s="4">
        <f t="shared" si="6"/>
        <v>4275.0878448502972</v>
      </c>
      <c r="M14" s="4">
        <f t="shared" si="6"/>
        <v>4275.0878448502972</v>
      </c>
      <c r="N14" s="4">
        <f t="shared" si="6"/>
        <v>4275.0878448502972</v>
      </c>
    </row>
    <row r="15" spans="1:14" hidden="1" x14ac:dyDescent="0.2">
      <c r="A15" s="49" t="s">
        <v>35</v>
      </c>
      <c r="B15" s="4">
        <f>B9*0.062</f>
        <v>4429.7594308398748</v>
      </c>
      <c r="C15" s="4">
        <f t="shared" ref="C15:N15" si="7">C9*0.062</f>
        <v>4429.7594308398748</v>
      </c>
      <c r="D15" s="4">
        <f t="shared" si="7"/>
        <v>4429.7594308398748</v>
      </c>
      <c r="E15" s="4">
        <f t="shared" si="7"/>
        <v>4429.7594308398748</v>
      </c>
      <c r="F15" s="4">
        <f t="shared" si="7"/>
        <v>4429.7594308398748</v>
      </c>
      <c r="G15" s="4">
        <f t="shared" si="7"/>
        <v>4429.7594308398748</v>
      </c>
      <c r="H15" s="4">
        <f t="shared" si="7"/>
        <v>4429.7594308398748</v>
      </c>
      <c r="I15" s="4">
        <f t="shared" si="7"/>
        <v>4429.7594308398748</v>
      </c>
      <c r="J15" s="4">
        <f t="shared" si="7"/>
        <v>4429.7594308398748</v>
      </c>
      <c r="K15" s="4">
        <f t="shared" si="7"/>
        <v>4429.7594308398748</v>
      </c>
      <c r="L15" s="4">
        <f t="shared" si="7"/>
        <v>4429.7594308398748</v>
      </c>
      <c r="M15" s="4">
        <f t="shared" si="7"/>
        <v>4429.7594308398748</v>
      </c>
      <c r="N15" s="4">
        <f t="shared" si="7"/>
        <v>4429.7594308398748</v>
      </c>
    </row>
    <row r="16" spans="1:14" x14ac:dyDescent="0.2">
      <c r="A16" s="49" t="s">
        <v>138</v>
      </c>
      <c r="B16" s="4">
        <f>B10*0.062</f>
        <v>5194.0081160130612</v>
      </c>
      <c r="C16" s="4">
        <f t="shared" ref="C16:N16" si="8">C10*0.062</f>
        <v>5194.0081160130612</v>
      </c>
      <c r="D16" s="4">
        <f t="shared" si="8"/>
        <v>5194.0081160130612</v>
      </c>
      <c r="E16" s="4">
        <f t="shared" si="8"/>
        <v>5194.0081160130612</v>
      </c>
      <c r="F16" s="4">
        <f t="shared" si="8"/>
        <v>5194.0081160130612</v>
      </c>
      <c r="G16" s="4">
        <f t="shared" si="8"/>
        <v>5194.0081160130612</v>
      </c>
      <c r="H16" s="4">
        <f t="shared" si="8"/>
        <v>5194.0081160130612</v>
      </c>
      <c r="I16" s="4">
        <f t="shared" si="8"/>
        <v>5194.0081160130612</v>
      </c>
      <c r="J16" s="4">
        <f t="shared" si="8"/>
        <v>5194.0081160130612</v>
      </c>
      <c r="K16" s="4">
        <f t="shared" si="8"/>
        <v>5194.0081160130612</v>
      </c>
      <c r="L16" s="4">
        <f t="shared" si="8"/>
        <v>5194.0081160130612</v>
      </c>
      <c r="M16" s="4">
        <f t="shared" si="8"/>
        <v>5194.0081160130612</v>
      </c>
      <c r="N16" s="4">
        <f t="shared" si="8"/>
        <v>5194.0081160130612</v>
      </c>
    </row>
    <row r="17" spans="1:14" hidden="1" x14ac:dyDescent="0.2">
      <c r="A17" s="49" t="s">
        <v>36</v>
      </c>
      <c r="B17" s="4">
        <f>0.0145*B9</f>
        <v>1035.9921249544868</v>
      </c>
      <c r="C17" s="4">
        <f t="shared" ref="C17:N17" si="9">0.0145*C9</f>
        <v>1035.9921249544868</v>
      </c>
      <c r="D17" s="4">
        <f t="shared" si="9"/>
        <v>1035.9921249544868</v>
      </c>
      <c r="E17" s="4">
        <f t="shared" si="9"/>
        <v>1035.9921249544868</v>
      </c>
      <c r="F17" s="4">
        <f t="shared" si="9"/>
        <v>1035.9921249544868</v>
      </c>
      <c r="G17" s="4">
        <f t="shared" si="9"/>
        <v>1035.9921249544868</v>
      </c>
      <c r="H17" s="4">
        <f t="shared" si="9"/>
        <v>1035.9921249544868</v>
      </c>
      <c r="I17" s="4">
        <f t="shared" si="9"/>
        <v>1035.9921249544868</v>
      </c>
      <c r="J17" s="4">
        <f t="shared" si="9"/>
        <v>1035.9921249544868</v>
      </c>
      <c r="K17" s="4">
        <f t="shared" si="9"/>
        <v>1035.9921249544868</v>
      </c>
      <c r="L17" s="4">
        <f t="shared" si="9"/>
        <v>1035.9921249544868</v>
      </c>
      <c r="M17" s="4">
        <f t="shared" si="9"/>
        <v>1035.9921249544868</v>
      </c>
      <c r="N17" s="4">
        <f t="shared" si="9"/>
        <v>1035.9921249544868</v>
      </c>
    </row>
    <row r="18" spans="1:14" x14ac:dyDescent="0.2">
      <c r="A18" s="49" t="s">
        <v>139</v>
      </c>
      <c r="B18" s="4">
        <f>0.0145*B10</f>
        <v>1214.7277045514418</v>
      </c>
      <c r="C18" s="4">
        <f t="shared" ref="C18:N18" si="10">0.0145*C10</f>
        <v>1214.7277045514418</v>
      </c>
      <c r="D18" s="4">
        <f t="shared" si="10"/>
        <v>1214.7277045514418</v>
      </c>
      <c r="E18" s="4">
        <f t="shared" si="10"/>
        <v>1214.7277045514418</v>
      </c>
      <c r="F18" s="4">
        <f t="shared" si="10"/>
        <v>1214.7277045514418</v>
      </c>
      <c r="G18" s="4">
        <f t="shared" si="10"/>
        <v>1214.7277045514418</v>
      </c>
      <c r="H18" s="4">
        <f t="shared" si="10"/>
        <v>1214.7277045514418</v>
      </c>
      <c r="I18" s="4">
        <f t="shared" si="10"/>
        <v>1214.7277045514418</v>
      </c>
      <c r="J18" s="4">
        <f t="shared" si="10"/>
        <v>1214.7277045514418</v>
      </c>
      <c r="K18" s="4">
        <f t="shared" si="10"/>
        <v>1214.7277045514418</v>
      </c>
      <c r="L18" s="4">
        <f t="shared" si="10"/>
        <v>1214.7277045514418</v>
      </c>
      <c r="M18" s="4">
        <f t="shared" si="10"/>
        <v>1214.7277045514418</v>
      </c>
      <c r="N18" s="4">
        <f t="shared" si="10"/>
        <v>1214.7277045514418</v>
      </c>
    </row>
    <row r="19" spans="1:14" hidden="1" x14ac:dyDescent="0.2">
      <c r="A19" s="49" t="s">
        <v>37</v>
      </c>
      <c r="B19" s="4">
        <f>B9-(B11+B13+B15+B17)</f>
        <v>54251.127967478162</v>
      </c>
      <c r="C19" s="4">
        <f t="shared" ref="C19:N19" si="11">C9-(C11+C13+C15+C17)</f>
        <v>54251.127967478162</v>
      </c>
      <c r="D19" s="4">
        <f t="shared" si="11"/>
        <v>54251.127967478162</v>
      </c>
      <c r="E19" s="4">
        <f t="shared" si="11"/>
        <v>54251.127967478162</v>
      </c>
      <c r="F19" s="4">
        <f t="shared" si="11"/>
        <v>54251.127967478162</v>
      </c>
      <c r="G19" s="4">
        <f t="shared" si="11"/>
        <v>54251.127967478162</v>
      </c>
      <c r="H19" s="4">
        <f t="shared" si="11"/>
        <v>54251.127967478162</v>
      </c>
      <c r="I19" s="4">
        <f t="shared" si="11"/>
        <v>54251.127967478162</v>
      </c>
      <c r="J19" s="4">
        <f t="shared" si="11"/>
        <v>54251.127967478162</v>
      </c>
      <c r="K19" s="4">
        <f t="shared" si="11"/>
        <v>54251.127967478162</v>
      </c>
      <c r="L19" s="4">
        <f t="shared" si="11"/>
        <v>54251.127967478162</v>
      </c>
      <c r="M19" s="4">
        <f t="shared" si="11"/>
        <v>54251.127967478162</v>
      </c>
      <c r="N19" s="4">
        <f t="shared" si="11"/>
        <v>54251.127967478162</v>
      </c>
    </row>
    <row r="20" spans="1:14" x14ac:dyDescent="0.2">
      <c r="A20" s="49" t="s">
        <v>134</v>
      </c>
      <c r="B20" s="4">
        <f>B10-(B12+B14+B16+B18)</f>
        <v>63477.581852189942</v>
      </c>
      <c r="C20" s="4">
        <f t="shared" ref="C20:N20" si="12">C10-(C12+C14+C16+C18)</f>
        <v>63477.581852189942</v>
      </c>
      <c r="D20" s="4">
        <f t="shared" si="12"/>
        <v>63477.581852189942</v>
      </c>
      <c r="E20" s="4">
        <f t="shared" si="12"/>
        <v>63477.581852189942</v>
      </c>
      <c r="F20" s="4">
        <f t="shared" si="12"/>
        <v>63477.581852189942</v>
      </c>
      <c r="G20" s="4">
        <f t="shared" si="12"/>
        <v>63477.581852189942</v>
      </c>
      <c r="H20" s="4">
        <f t="shared" si="12"/>
        <v>63477.581852189942</v>
      </c>
      <c r="I20" s="4">
        <f t="shared" si="12"/>
        <v>63477.581852189942</v>
      </c>
      <c r="J20" s="4">
        <f t="shared" si="12"/>
        <v>63477.581852189942</v>
      </c>
      <c r="K20" s="4">
        <f t="shared" si="12"/>
        <v>63477.581852189942</v>
      </c>
      <c r="L20" s="4">
        <f t="shared" si="12"/>
        <v>63477.581852189942</v>
      </c>
      <c r="M20" s="4">
        <f t="shared" si="12"/>
        <v>63477.581852189942</v>
      </c>
      <c r="N20" s="4">
        <f t="shared" si="12"/>
        <v>63477.581852189942</v>
      </c>
    </row>
    <row r="21" spans="1:14" hidden="1" x14ac:dyDescent="0.2">
      <c r="A21" s="49" t="s">
        <v>22</v>
      </c>
      <c r="B21" s="4">
        <f>B19/12</f>
        <v>4520.9273306231798</v>
      </c>
      <c r="C21" s="4">
        <f t="shared" ref="C21:N21" si="13">C19/12</f>
        <v>4520.9273306231798</v>
      </c>
      <c r="D21" s="4">
        <f t="shared" si="13"/>
        <v>4520.9273306231798</v>
      </c>
      <c r="E21" s="4">
        <f t="shared" si="13"/>
        <v>4520.9273306231798</v>
      </c>
      <c r="F21" s="4">
        <f t="shared" si="13"/>
        <v>4520.9273306231798</v>
      </c>
      <c r="G21" s="4">
        <f t="shared" si="13"/>
        <v>4520.9273306231798</v>
      </c>
      <c r="H21" s="4">
        <f t="shared" si="13"/>
        <v>4520.9273306231798</v>
      </c>
      <c r="I21" s="4">
        <f t="shared" si="13"/>
        <v>4520.9273306231798</v>
      </c>
      <c r="J21" s="4">
        <f t="shared" si="13"/>
        <v>4520.9273306231798</v>
      </c>
      <c r="K21" s="4">
        <f t="shared" si="13"/>
        <v>4520.9273306231798</v>
      </c>
      <c r="L21" s="4">
        <f t="shared" si="13"/>
        <v>4520.9273306231798</v>
      </c>
      <c r="M21" s="4">
        <f t="shared" si="13"/>
        <v>4520.9273306231798</v>
      </c>
      <c r="N21" s="4">
        <f t="shared" si="13"/>
        <v>4520.9273306231798</v>
      </c>
    </row>
    <row r="22" spans="1:14" x14ac:dyDescent="0.2">
      <c r="A22" s="49" t="s">
        <v>135</v>
      </c>
      <c r="B22" s="4">
        <f>B20/12</f>
        <v>5289.7984876824949</v>
      </c>
      <c r="C22" s="4">
        <f t="shared" ref="C22:N22" si="14">C20/12</f>
        <v>5289.7984876824949</v>
      </c>
      <c r="D22" s="4">
        <f t="shared" si="14"/>
        <v>5289.7984876824949</v>
      </c>
      <c r="E22" s="4">
        <f t="shared" si="14"/>
        <v>5289.7984876824949</v>
      </c>
      <c r="F22" s="4">
        <f t="shared" si="14"/>
        <v>5289.7984876824949</v>
      </c>
      <c r="G22" s="4">
        <f t="shared" si="14"/>
        <v>5289.7984876824949</v>
      </c>
      <c r="H22" s="4">
        <f t="shared" si="14"/>
        <v>5289.7984876824949</v>
      </c>
      <c r="I22" s="4">
        <f t="shared" si="14"/>
        <v>5289.7984876824949</v>
      </c>
      <c r="J22" s="4">
        <f t="shared" si="14"/>
        <v>5289.7984876824949</v>
      </c>
      <c r="K22" s="4">
        <f t="shared" si="14"/>
        <v>5289.7984876824949</v>
      </c>
      <c r="L22" s="4">
        <f t="shared" si="14"/>
        <v>5289.7984876824949</v>
      </c>
      <c r="M22" s="4">
        <f t="shared" si="14"/>
        <v>5289.7984876824949</v>
      </c>
      <c r="N22" s="4">
        <f t="shared" si="14"/>
        <v>5289.7984876824949</v>
      </c>
    </row>
    <row r="23" spans="1:14" x14ac:dyDescent="0.2">
      <c r="A23" s="49" t="s">
        <v>29</v>
      </c>
      <c r="B23" s="5">
        <f>$B$68</f>
        <v>2855.272593781076</v>
      </c>
      <c r="C23" s="5">
        <f t="shared" ref="C23:D23" si="15">B23</f>
        <v>2855.272593781076</v>
      </c>
      <c r="D23" s="5">
        <f t="shared" si="15"/>
        <v>2855.272593781076</v>
      </c>
      <c r="E23" s="5">
        <f t="shared" ref="E23:N23" si="16">D23</f>
        <v>2855.272593781076</v>
      </c>
      <c r="F23" s="5">
        <f t="shared" si="16"/>
        <v>2855.272593781076</v>
      </c>
      <c r="G23" s="5">
        <f t="shared" si="16"/>
        <v>2855.272593781076</v>
      </c>
      <c r="H23" s="5">
        <f t="shared" si="16"/>
        <v>2855.272593781076</v>
      </c>
      <c r="I23" s="5">
        <f t="shared" si="16"/>
        <v>2855.272593781076</v>
      </c>
      <c r="J23" s="5">
        <f t="shared" si="16"/>
        <v>2855.272593781076</v>
      </c>
      <c r="K23" s="5">
        <f t="shared" si="16"/>
        <v>2855.272593781076</v>
      </c>
      <c r="L23" s="5">
        <f t="shared" si="16"/>
        <v>2855.272593781076</v>
      </c>
      <c r="M23" s="5">
        <f t="shared" si="16"/>
        <v>2855.272593781076</v>
      </c>
      <c r="N23" s="5">
        <f t="shared" si="16"/>
        <v>2855.272593781076</v>
      </c>
    </row>
    <row r="24" spans="1:14" hidden="1" x14ac:dyDescent="0.2">
      <c r="A24" s="49" t="s">
        <v>103</v>
      </c>
      <c r="B24" s="5">
        <f t="shared" ref="B24:B30" si="17">$B69</f>
        <v>167.76</v>
      </c>
      <c r="C24" s="5">
        <f t="shared" ref="C24:N24" si="18">$B69</f>
        <v>167.76</v>
      </c>
      <c r="D24" s="5">
        <f t="shared" si="18"/>
        <v>167.76</v>
      </c>
      <c r="E24" s="5">
        <f t="shared" si="18"/>
        <v>167.76</v>
      </c>
      <c r="F24" s="5">
        <f t="shared" si="18"/>
        <v>167.76</v>
      </c>
      <c r="G24" s="5">
        <f t="shared" si="18"/>
        <v>167.76</v>
      </c>
      <c r="H24" s="5">
        <f t="shared" si="18"/>
        <v>167.76</v>
      </c>
      <c r="I24" s="5">
        <f t="shared" si="18"/>
        <v>167.76</v>
      </c>
      <c r="J24" s="5">
        <f t="shared" si="18"/>
        <v>167.76</v>
      </c>
      <c r="K24" s="5">
        <f t="shared" si="18"/>
        <v>167.76</v>
      </c>
      <c r="L24" s="5">
        <f t="shared" si="18"/>
        <v>167.76</v>
      </c>
      <c r="M24" s="5">
        <f t="shared" si="18"/>
        <v>167.76</v>
      </c>
      <c r="N24" s="5">
        <f t="shared" si="18"/>
        <v>167.76</v>
      </c>
    </row>
    <row r="25" spans="1:14" hidden="1" x14ac:dyDescent="0.2">
      <c r="A25" s="49" t="s">
        <v>40</v>
      </c>
      <c r="B25" s="4">
        <f t="shared" si="17"/>
        <v>97.89473684210526</v>
      </c>
      <c r="C25" s="4">
        <f t="shared" ref="C25:N25" si="19">$B70</f>
        <v>97.89473684210526</v>
      </c>
      <c r="D25" s="4">
        <f t="shared" si="19"/>
        <v>97.89473684210526</v>
      </c>
      <c r="E25" s="4">
        <f t="shared" si="19"/>
        <v>97.89473684210526</v>
      </c>
      <c r="F25" s="4">
        <f t="shared" si="19"/>
        <v>97.89473684210526</v>
      </c>
      <c r="G25" s="4">
        <f t="shared" si="19"/>
        <v>97.89473684210526</v>
      </c>
      <c r="H25" s="4">
        <f t="shared" si="19"/>
        <v>97.89473684210526</v>
      </c>
      <c r="I25" s="4">
        <f t="shared" si="19"/>
        <v>97.89473684210526</v>
      </c>
      <c r="J25" s="4">
        <f t="shared" si="19"/>
        <v>97.89473684210526</v>
      </c>
      <c r="K25" s="4">
        <f t="shared" si="19"/>
        <v>97.89473684210526</v>
      </c>
      <c r="L25" s="4">
        <f t="shared" si="19"/>
        <v>97.89473684210526</v>
      </c>
      <c r="M25" s="4">
        <f t="shared" si="19"/>
        <v>97.89473684210526</v>
      </c>
      <c r="N25" s="4">
        <f t="shared" si="19"/>
        <v>97.89473684210526</v>
      </c>
    </row>
    <row r="26" spans="1:14" x14ac:dyDescent="0.2">
      <c r="A26" s="49" t="s">
        <v>130</v>
      </c>
      <c r="B26" s="4">
        <f t="shared" si="17"/>
        <v>920.39055555555547</v>
      </c>
      <c r="C26" s="4">
        <f t="shared" ref="C26:N26" si="20">$B71</f>
        <v>920.39055555555547</v>
      </c>
      <c r="D26" s="4">
        <f t="shared" si="20"/>
        <v>920.39055555555547</v>
      </c>
      <c r="E26" s="4">
        <f t="shared" si="20"/>
        <v>920.39055555555547</v>
      </c>
      <c r="F26" s="4">
        <f t="shared" si="20"/>
        <v>920.39055555555547</v>
      </c>
      <c r="G26" s="4">
        <f t="shared" si="20"/>
        <v>920.39055555555547</v>
      </c>
      <c r="H26" s="4">
        <f t="shared" si="20"/>
        <v>920.39055555555547</v>
      </c>
      <c r="I26" s="4">
        <f t="shared" si="20"/>
        <v>920.39055555555547</v>
      </c>
      <c r="J26" s="4">
        <f t="shared" si="20"/>
        <v>920.39055555555547</v>
      </c>
      <c r="K26" s="4">
        <f t="shared" si="20"/>
        <v>920.39055555555547</v>
      </c>
      <c r="L26" s="4">
        <f t="shared" si="20"/>
        <v>920.39055555555547</v>
      </c>
      <c r="M26" s="4">
        <f t="shared" si="20"/>
        <v>920.39055555555547</v>
      </c>
      <c r="N26" s="4">
        <f t="shared" si="20"/>
        <v>920.39055555555547</v>
      </c>
    </row>
    <row r="27" spans="1:14" x14ac:dyDescent="0.2">
      <c r="A27" s="49" t="s">
        <v>131</v>
      </c>
      <c r="B27" s="4">
        <f t="shared" si="17"/>
        <v>114.13533834586465</v>
      </c>
      <c r="C27" s="4">
        <f t="shared" ref="C27:N27" si="21">$B72</f>
        <v>114.13533834586465</v>
      </c>
      <c r="D27" s="4">
        <f t="shared" si="21"/>
        <v>114.13533834586465</v>
      </c>
      <c r="E27" s="4">
        <f t="shared" si="21"/>
        <v>114.13533834586465</v>
      </c>
      <c r="F27" s="4">
        <f t="shared" si="21"/>
        <v>114.13533834586465</v>
      </c>
      <c r="G27" s="4">
        <f t="shared" si="21"/>
        <v>114.13533834586465</v>
      </c>
      <c r="H27" s="4">
        <f t="shared" si="21"/>
        <v>114.13533834586465</v>
      </c>
      <c r="I27" s="4">
        <f t="shared" si="21"/>
        <v>114.13533834586465</v>
      </c>
      <c r="J27" s="4">
        <f t="shared" si="21"/>
        <v>114.13533834586465</v>
      </c>
      <c r="K27" s="4">
        <f t="shared" si="21"/>
        <v>114.13533834586465</v>
      </c>
      <c r="L27" s="4">
        <f t="shared" si="21"/>
        <v>114.13533834586465</v>
      </c>
      <c r="M27" s="4">
        <f t="shared" si="21"/>
        <v>114.13533834586465</v>
      </c>
      <c r="N27" s="4">
        <f t="shared" si="21"/>
        <v>114.13533834586465</v>
      </c>
    </row>
    <row r="28" spans="1:14" x14ac:dyDescent="0.2">
      <c r="A28" s="49" t="s">
        <v>30</v>
      </c>
      <c r="B28" s="6">
        <f t="shared" si="17"/>
        <v>500</v>
      </c>
      <c r="C28" s="6">
        <f t="shared" ref="C28:N28" si="22">$B73</f>
        <v>500</v>
      </c>
      <c r="D28" s="6">
        <f t="shared" si="22"/>
        <v>500</v>
      </c>
      <c r="E28" s="6">
        <f t="shared" si="22"/>
        <v>500</v>
      </c>
      <c r="F28" s="6">
        <f t="shared" si="22"/>
        <v>500</v>
      </c>
      <c r="G28" s="6">
        <f t="shared" si="22"/>
        <v>500</v>
      </c>
      <c r="H28" s="6">
        <f t="shared" si="22"/>
        <v>500</v>
      </c>
      <c r="I28" s="6">
        <f t="shared" si="22"/>
        <v>500</v>
      </c>
      <c r="J28" s="6">
        <f t="shared" si="22"/>
        <v>500</v>
      </c>
      <c r="K28" s="6">
        <f t="shared" si="22"/>
        <v>500</v>
      </c>
      <c r="L28" s="6">
        <f t="shared" si="22"/>
        <v>500</v>
      </c>
      <c r="M28" s="6">
        <f t="shared" si="22"/>
        <v>500</v>
      </c>
      <c r="N28" s="6">
        <f t="shared" si="22"/>
        <v>500</v>
      </c>
    </row>
    <row r="29" spans="1:14" x14ac:dyDescent="0.2">
      <c r="A29" s="49" t="s">
        <v>38</v>
      </c>
      <c r="B29" s="6">
        <f t="shared" si="17"/>
        <v>600</v>
      </c>
      <c r="C29" s="6">
        <f t="shared" ref="C29:N29" si="23">$B74</f>
        <v>600</v>
      </c>
      <c r="D29" s="6">
        <f t="shared" si="23"/>
        <v>600</v>
      </c>
      <c r="E29" s="6">
        <f t="shared" si="23"/>
        <v>600</v>
      </c>
      <c r="F29" s="6">
        <f t="shared" si="23"/>
        <v>600</v>
      </c>
      <c r="G29" s="6">
        <f t="shared" si="23"/>
        <v>600</v>
      </c>
      <c r="H29" s="6">
        <f t="shared" si="23"/>
        <v>600</v>
      </c>
      <c r="I29" s="6">
        <f t="shared" si="23"/>
        <v>600</v>
      </c>
      <c r="J29" s="6">
        <f t="shared" si="23"/>
        <v>600</v>
      </c>
      <c r="K29" s="6">
        <f t="shared" si="23"/>
        <v>600</v>
      </c>
      <c r="L29" s="6">
        <f t="shared" si="23"/>
        <v>600</v>
      </c>
      <c r="M29" s="6">
        <f t="shared" si="23"/>
        <v>600</v>
      </c>
      <c r="N29" s="6">
        <f t="shared" si="23"/>
        <v>600</v>
      </c>
    </row>
    <row r="30" spans="1:14" x14ac:dyDescent="0.2">
      <c r="A30" s="49" t="s">
        <v>31</v>
      </c>
      <c r="B30" s="6">
        <f t="shared" si="17"/>
        <v>300</v>
      </c>
      <c r="C30" s="6">
        <f t="shared" ref="C30:N30" si="24">$B75</f>
        <v>300</v>
      </c>
      <c r="D30" s="6">
        <f t="shared" si="24"/>
        <v>300</v>
      </c>
      <c r="E30" s="6">
        <f t="shared" si="24"/>
        <v>300</v>
      </c>
      <c r="F30" s="6">
        <f t="shared" si="24"/>
        <v>300</v>
      </c>
      <c r="G30" s="6">
        <f t="shared" si="24"/>
        <v>300</v>
      </c>
      <c r="H30" s="6">
        <f t="shared" si="24"/>
        <v>300</v>
      </c>
      <c r="I30" s="6">
        <f t="shared" si="24"/>
        <v>300</v>
      </c>
      <c r="J30" s="6">
        <f t="shared" si="24"/>
        <v>300</v>
      </c>
      <c r="K30" s="6">
        <f t="shared" si="24"/>
        <v>300</v>
      </c>
      <c r="L30" s="6">
        <f t="shared" si="24"/>
        <v>300</v>
      </c>
      <c r="M30" s="6">
        <f t="shared" si="24"/>
        <v>300</v>
      </c>
      <c r="N30" s="6">
        <f t="shared" si="24"/>
        <v>300</v>
      </c>
    </row>
    <row r="31" spans="1:14" hidden="1" x14ac:dyDescent="0.2">
      <c r="A31" s="49" t="s">
        <v>32</v>
      </c>
      <c r="B31" s="4">
        <f>B21-(SUM(B23:B30)-SUM(B26:B27))+(B8-B9)/12</f>
        <v>1129.3556037098451</v>
      </c>
      <c r="C31" s="4">
        <f t="shared" ref="C31:N31" si="25">C21-(SUM(C23:C30)-SUM(C26:C27))+(C8-C9)/12</f>
        <v>1546.0222703765119</v>
      </c>
      <c r="D31" s="4">
        <f t="shared" si="25"/>
        <v>1962.6889370431784</v>
      </c>
      <c r="E31" s="4">
        <f t="shared" si="25"/>
        <v>2379.3556037098451</v>
      </c>
      <c r="F31" s="4">
        <f t="shared" si="25"/>
        <v>2796.0222703765116</v>
      </c>
      <c r="G31" s="4">
        <f t="shared" si="25"/>
        <v>3212.6889370431786</v>
      </c>
      <c r="H31" s="4">
        <f t="shared" si="25"/>
        <v>3629.3556037098451</v>
      </c>
      <c r="I31" s="4">
        <f t="shared" si="25"/>
        <v>4046.0222703765116</v>
      </c>
      <c r="J31" s="4">
        <f t="shared" si="25"/>
        <v>4462.6889370431782</v>
      </c>
      <c r="K31" s="4">
        <f t="shared" si="25"/>
        <v>4879.3556037098451</v>
      </c>
      <c r="L31" s="4">
        <f t="shared" si="25"/>
        <v>5296.0222703765121</v>
      </c>
      <c r="M31" s="4">
        <f t="shared" si="25"/>
        <v>5712.6889370431782</v>
      </c>
      <c r="N31" s="4">
        <f t="shared" si="25"/>
        <v>6129.3556037098451</v>
      </c>
    </row>
    <row r="32" spans="1:14" x14ac:dyDescent="0.2">
      <c r="A32" s="82" t="s">
        <v>140</v>
      </c>
      <c r="B32" s="59">
        <f>B22-(SUM(B23:B30)-SUM(B24:B25))+(B8-B10)/12</f>
        <v>102.13962901470131</v>
      </c>
      <c r="C32" s="59">
        <f t="shared" ref="C32:N32" si="26">C22-(SUM(C23:C30)-SUM(C24:C25))+(C8-C10)/12</f>
        <v>518.80629568136794</v>
      </c>
      <c r="D32" s="59">
        <f>D22-(SUM(D23:D30)-SUM(D24:D25))+(D8-D10)/12</f>
        <v>935.47296234803468</v>
      </c>
      <c r="E32" s="59">
        <f t="shared" si="26"/>
        <v>1352.1396290147013</v>
      </c>
      <c r="F32" s="59">
        <f t="shared" si="26"/>
        <v>1768.8062956813681</v>
      </c>
      <c r="G32" s="59">
        <f t="shared" si="26"/>
        <v>2185.4729623480348</v>
      </c>
      <c r="H32" s="59">
        <f t="shared" si="26"/>
        <v>2602.1396290147013</v>
      </c>
      <c r="I32" s="59">
        <f t="shared" si="26"/>
        <v>3018.8062956813678</v>
      </c>
      <c r="J32" s="59">
        <f t="shared" si="26"/>
        <v>3435.4729623480348</v>
      </c>
      <c r="K32" s="59">
        <f t="shared" si="26"/>
        <v>3852.1396290147013</v>
      </c>
      <c r="L32" s="59">
        <f t="shared" si="26"/>
        <v>4268.8062956813683</v>
      </c>
      <c r="M32" s="59">
        <f t="shared" si="26"/>
        <v>4685.4729623480343</v>
      </c>
      <c r="N32" s="59">
        <f t="shared" si="26"/>
        <v>5102.1396290147013</v>
      </c>
    </row>
    <row r="33" spans="1:15" hidden="1" x14ac:dyDescent="0.2">
      <c r="A33" s="82" t="s">
        <v>33</v>
      </c>
      <c r="B33" s="59">
        <f>MIN(MAX(B31,0),22500/12)</f>
        <v>1129.3556037098451</v>
      </c>
      <c r="C33" s="59">
        <f t="shared" ref="C33:N33" si="27">MIN(MAX(C31,0),22500/12)</f>
        <v>1546.0222703765119</v>
      </c>
      <c r="D33" s="59">
        <f t="shared" si="27"/>
        <v>1875</v>
      </c>
      <c r="E33" s="59">
        <f t="shared" si="27"/>
        <v>1875</v>
      </c>
      <c r="F33" s="59">
        <f>MIN(MAX(F31,0),22500/12)</f>
        <v>1875</v>
      </c>
      <c r="G33" s="59">
        <f t="shared" si="27"/>
        <v>1875</v>
      </c>
      <c r="H33" s="59">
        <f t="shared" si="27"/>
        <v>1875</v>
      </c>
      <c r="I33" s="59">
        <f t="shared" si="27"/>
        <v>1875</v>
      </c>
      <c r="J33" s="59">
        <f t="shared" si="27"/>
        <v>1875</v>
      </c>
      <c r="K33" s="59">
        <f t="shared" si="27"/>
        <v>1875</v>
      </c>
      <c r="L33" s="59">
        <f t="shared" si="27"/>
        <v>1875</v>
      </c>
      <c r="M33" s="59">
        <f t="shared" si="27"/>
        <v>1875</v>
      </c>
      <c r="N33" s="59">
        <f t="shared" si="27"/>
        <v>1875</v>
      </c>
    </row>
    <row r="34" spans="1:15" x14ac:dyDescent="0.2">
      <c r="A34" s="82" t="s">
        <v>141</v>
      </c>
      <c r="B34" s="59">
        <f>MIN(MAX(B32,0),22500/12)</f>
        <v>102.13962901470131</v>
      </c>
      <c r="C34" s="59">
        <f t="shared" ref="C34:N34" si="28">MIN(MAX(C32,0),22500/12)</f>
        <v>518.80629568136794</v>
      </c>
      <c r="D34" s="59">
        <f t="shared" si="28"/>
        <v>935.47296234803468</v>
      </c>
      <c r="E34" s="59">
        <f t="shared" si="28"/>
        <v>1352.1396290147013</v>
      </c>
      <c r="F34" s="59">
        <f t="shared" si="28"/>
        <v>1768.8062956813681</v>
      </c>
      <c r="G34" s="59">
        <f t="shared" si="28"/>
        <v>1875</v>
      </c>
      <c r="H34" s="59">
        <f t="shared" si="28"/>
        <v>1875</v>
      </c>
      <c r="I34" s="59">
        <f t="shared" si="28"/>
        <v>1875</v>
      </c>
      <c r="J34" s="59">
        <f t="shared" si="28"/>
        <v>1875</v>
      </c>
      <c r="K34" s="59">
        <f t="shared" si="28"/>
        <v>1875</v>
      </c>
      <c r="L34" s="59">
        <f t="shared" si="28"/>
        <v>1875</v>
      </c>
      <c r="M34" s="59">
        <f t="shared" si="28"/>
        <v>1875</v>
      </c>
      <c r="N34" s="59">
        <f t="shared" si="28"/>
        <v>1875</v>
      </c>
    </row>
    <row r="35" spans="1:15" x14ac:dyDescent="0.2">
      <c r="A35" s="50" t="s">
        <v>39</v>
      </c>
      <c r="B35" s="40">
        <f>MAX(B31+B33,0)</f>
        <v>2258.7112074196903</v>
      </c>
      <c r="C35" s="40">
        <f t="shared" ref="C35:N35" si="29">MAX(C31+C33,0)</f>
        <v>3092.0445407530237</v>
      </c>
      <c r="D35" s="40">
        <f t="shared" si="29"/>
        <v>3837.6889370431782</v>
      </c>
      <c r="E35" s="40">
        <f t="shared" si="29"/>
        <v>4254.3556037098451</v>
      </c>
      <c r="F35" s="40">
        <f t="shared" si="29"/>
        <v>4671.0222703765121</v>
      </c>
      <c r="G35" s="40">
        <f t="shared" si="29"/>
        <v>5087.6889370431782</v>
      </c>
      <c r="H35" s="40">
        <f t="shared" si="29"/>
        <v>5504.3556037098451</v>
      </c>
      <c r="I35" s="40">
        <f t="shared" si="29"/>
        <v>5921.0222703765121</v>
      </c>
      <c r="J35" s="40">
        <f t="shared" si="29"/>
        <v>6337.6889370431782</v>
      </c>
      <c r="K35" s="40">
        <f t="shared" si="29"/>
        <v>6754.3556037098451</v>
      </c>
      <c r="L35" s="40">
        <f t="shared" si="29"/>
        <v>7171.0222703765121</v>
      </c>
      <c r="M35" s="40">
        <f t="shared" si="29"/>
        <v>7587.6889370431782</v>
      </c>
      <c r="N35" s="40">
        <f t="shared" si="29"/>
        <v>8004.3556037098451</v>
      </c>
    </row>
    <row r="36" spans="1:15" x14ac:dyDescent="0.2">
      <c r="A36" s="83" t="s">
        <v>132</v>
      </c>
      <c r="B36" s="84">
        <f>MAX(B32+B34,0)</f>
        <v>204.27925802940263</v>
      </c>
      <c r="C36" s="84">
        <f t="shared" ref="C36:N36" si="30">MAX(C32+C34,0)</f>
        <v>1037.6125913627359</v>
      </c>
      <c r="D36" s="84">
        <f t="shared" si="30"/>
        <v>1870.9459246960694</v>
      </c>
      <c r="E36" s="84">
        <f>MAX(E32+E34,0)</f>
        <v>2704.2792580294026</v>
      </c>
      <c r="F36" s="84">
        <f t="shared" si="30"/>
        <v>3537.6125913627361</v>
      </c>
      <c r="G36" s="84">
        <f t="shared" si="30"/>
        <v>4060.4729623480348</v>
      </c>
      <c r="H36" s="84">
        <f t="shared" si="30"/>
        <v>4477.1396290147013</v>
      </c>
      <c r="I36" s="84">
        <f t="shared" si="30"/>
        <v>4893.8062956813683</v>
      </c>
      <c r="J36" s="84">
        <f t="shared" si="30"/>
        <v>5310.4729623480343</v>
      </c>
      <c r="K36" s="84">
        <f t="shared" si="30"/>
        <v>5727.1396290147013</v>
      </c>
      <c r="L36" s="84">
        <f t="shared" si="30"/>
        <v>6143.8062956813683</v>
      </c>
      <c r="M36" s="84">
        <f t="shared" si="30"/>
        <v>6560.4729623480343</v>
      </c>
      <c r="N36" s="84">
        <f t="shared" si="30"/>
        <v>6977.1396290147013</v>
      </c>
    </row>
    <row r="37" spans="1:15" x14ac:dyDescent="0.2">
      <c r="B37" s="4"/>
      <c r="C37" s="4"/>
      <c r="D37" s="4"/>
      <c r="E37" s="4"/>
      <c r="F37" s="4"/>
      <c r="G37" s="4"/>
      <c r="H37" s="4"/>
      <c r="I37" s="4"/>
      <c r="J37" s="4"/>
    </row>
    <row r="38" spans="1:15" x14ac:dyDescent="0.2">
      <c r="A38" s="6" t="s">
        <v>143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5" x14ac:dyDescent="0.2">
      <c r="A39" s="90">
        <v>1</v>
      </c>
      <c r="B39" s="91">
        <f>(12*MAX(B$36,0)+B$8*(1.03^(25-$A39)-1))*((0.975*1.06)^$A39)</f>
        <v>93261.851625360825</v>
      </c>
      <c r="C39" s="91">
        <f t="shared" ref="C39:N45" si="31">(12*MAX(C$36,0)+C$8*(1.03^(25-$A39)-1))*((0.975*1.06)^$A39)</f>
        <v>108933.81517049493</v>
      </c>
      <c r="D39" s="91">
        <f t="shared" si="31"/>
        <v>124605.77871562906</v>
      </c>
      <c r="E39" s="91">
        <f t="shared" si="31"/>
        <v>140277.74226076319</v>
      </c>
      <c r="F39" s="91">
        <f t="shared" si="31"/>
        <v>155949.70580589731</v>
      </c>
      <c r="G39" s="91">
        <f t="shared" si="31"/>
        <v>167771.18367199114</v>
      </c>
      <c r="H39" s="91">
        <f t="shared" si="31"/>
        <v>178275.64721712522</v>
      </c>
      <c r="I39" s="91">
        <f t="shared" si="31"/>
        <v>188780.11076225937</v>
      </c>
      <c r="J39" s="91">
        <f t="shared" si="31"/>
        <v>199284.57430739349</v>
      </c>
      <c r="K39" s="91">
        <f t="shared" si="31"/>
        <v>209789.03785252763</v>
      </c>
      <c r="L39" s="91">
        <f t="shared" si="31"/>
        <v>220293.50139766178</v>
      </c>
      <c r="M39" s="91">
        <f t="shared" si="31"/>
        <v>230797.96494279586</v>
      </c>
      <c r="N39" s="92">
        <f t="shared" si="31"/>
        <v>241302.42848793001</v>
      </c>
      <c r="O39" s="6"/>
    </row>
    <row r="40" spans="1:15" x14ac:dyDescent="0.2">
      <c r="A40" s="6">
        <v>2</v>
      </c>
      <c r="B40" s="4">
        <f>(12*MAX(B$36,0)+B$8*(1.03^(25-$A40)-1))*((0.975*1.06)^$A40)</f>
        <v>91010.642909483227</v>
      </c>
      <c r="C40" s="4">
        <f t="shared" si="31"/>
        <v>106891.41248365422</v>
      </c>
      <c r="D40" s="4">
        <f t="shared" si="31"/>
        <v>122772.18205782521</v>
      </c>
      <c r="E40" s="4">
        <f t="shared" si="31"/>
        <v>138652.95163199623</v>
      </c>
      <c r="F40" s="4">
        <f t="shared" si="31"/>
        <v>154533.72120616722</v>
      </c>
      <c r="G40" s="4">
        <f t="shared" si="31"/>
        <v>166435.01383105005</v>
      </c>
      <c r="H40" s="4">
        <f t="shared" si="31"/>
        <v>176975.17215522102</v>
      </c>
      <c r="I40" s="4">
        <f t="shared" si="31"/>
        <v>187515.33047939203</v>
      </c>
      <c r="J40" s="4">
        <f t="shared" si="31"/>
        <v>198055.48880356303</v>
      </c>
      <c r="K40" s="4">
        <f t="shared" si="31"/>
        <v>208595.647127734</v>
      </c>
      <c r="L40" s="4">
        <f t="shared" si="31"/>
        <v>219135.80545190503</v>
      </c>
      <c r="M40" s="4">
        <f t="shared" si="31"/>
        <v>229675.96377607601</v>
      </c>
      <c r="N40" s="4">
        <f t="shared" si="31"/>
        <v>240216.12210024701</v>
      </c>
      <c r="O40" s="6"/>
    </row>
    <row r="41" spans="1:15" x14ac:dyDescent="0.2">
      <c r="A41" s="6">
        <v>3</v>
      </c>
      <c r="B41" s="4">
        <f t="shared" ref="B41:B58" si="32">(12*MAX(B$36,0)+B$8*(1.03^(25-$A41)-1))*((0.975*1.06)^$A41)</f>
        <v>88665.752504916294</v>
      </c>
      <c r="C41" s="4">
        <f t="shared" si="31"/>
        <v>104761.24862793763</v>
      </c>
      <c r="D41" s="4">
        <f t="shared" si="31"/>
        <v>120856.74475095894</v>
      </c>
      <c r="E41" s="4">
        <f t="shared" si="31"/>
        <v>136952.24087398028</v>
      </c>
      <c r="F41" s="4">
        <f t="shared" si="31"/>
        <v>153047.73699700163</v>
      </c>
      <c r="G41" s="4">
        <f t="shared" si="31"/>
        <v>165030.44369293362</v>
      </c>
      <c r="H41" s="4">
        <f t="shared" si="31"/>
        <v>175606.41808907996</v>
      </c>
      <c r="I41" s="4">
        <f t="shared" si="31"/>
        <v>186182.3924852263</v>
      </c>
      <c r="J41" s="4">
        <f t="shared" si="31"/>
        <v>196758.36688137261</v>
      </c>
      <c r="K41" s="4">
        <f t="shared" si="31"/>
        <v>207334.34127751895</v>
      </c>
      <c r="L41" s="4">
        <f t="shared" si="31"/>
        <v>217910.31567366529</v>
      </c>
      <c r="M41" s="4">
        <f t="shared" si="31"/>
        <v>228486.29006981163</v>
      </c>
      <c r="N41" s="4">
        <f t="shared" si="31"/>
        <v>239062.26446595794</v>
      </c>
      <c r="O41" s="6"/>
    </row>
    <row r="42" spans="1:15" x14ac:dyDescent="0.2">
      <c r="A42" s="6">
        <v>4</v>
      </c>
      <c r="B42" s="4">
        <f t="shared" si="32"/>
        <v>86223.980005488469</v>
      </c>
      <c r="C42" s="4">
        <f t="shared" si="31"/>
        <v>102540.3178834344</v>
      </c>
      <c r="D42" s="4">
        <f t="shared" si="31"/>
        <v>118856.65576138035</v>
      </c>
      <c r="E42" s="4">
        <f t="shared" si="31"/>
        <v>135172.99363932628</v>
      </c>
      <c r="F42" s="4">
        <f t="shared" si="31"/>
        <v>151489.33151727219</v>
      </c>
      <c r="G42" s="4">
        <f t="shared" si="31"/>
        <v>163555.10152232129</v>
      </c>
      <c r="H42" s="4">
        <f t="shared" si="31"/>
        <v>174167.01369554194</v>
      </c>
      <c r="I42" s="4">
        <f t="shared" si="31"/>
        <v>184778.92586876254</v>
      </c>
      <c r="J42" s="4">
        <f t="shared" si="31"/>
        <v>195390.83804198314</v>
      </c>
      <c r="K42" s="4">
        <f t="shared" si="31"/>
        <v>206002.75021520376</v>
      </c>
      <c r="L42" s="4">
        <f t="shared" si="31"/>
        <v>216614.66238842442</v>
      </c>
      <c r="M42" s="4">
        <f t="shared" si="31"/>
        <v>227226.57456164504</v>
      </c>
      <c r="N42" s="4">
        <f t="shared" si="31"/>
        <v>237838.48673486564</v>
      </c>
      <c r="O42" s="6"/>
    </row>
    <row r="43" spans="1:15" x14ac:dyDescent="0.2">
      <c r="A43" s="90">
        <v>5</v>
      </c>
      <c r="B43" s="91">
        <f t="shared" si="32"/>
        <v>83682.017580505388</v>
      </c>
      <c r="C43" s="91">
        <f t="shared" si="31"/>
        <v>100225.51361529385</v>
      </c>
      <c r="D43" s="91">
        <f t="shared" si="31"/>
        <v>116769.00965008236</v>
      </c>
      <c r="E43" s="91">
        <f t="shared" si="31"/>
        <v>133312.50568487082</v>
      </c>
      <c r="F43" s="91">
        <f t="shared" si="31"/>
        <v>149856.00171965931</v>
      </c>
      <c r="G43" s="91">
        <f t="shared" si="31"/>
        <v>162006.53585780892</v>
      </c>
      <c r="H43" s="91">
        <f t="shared" si="31"/>
        <v>172654.50792676379</v>
      </c>
      <c r="I43" s="91">
        <f t="shared" si="31"/>
        <v>183302.47999571866</v>
      </c>
      <c r="J43" s="91">
        <f t="shared" si="31"/>
        <v>193950.4520646735</v>
      </c>
      <c r="K43" s="91">
        <f t="shared" si="31"/>
        <v>204598.42413362837</v>
      </c>
      <c r="L43" s="91">
        <f t="shared" si="31"/>
        <v>215246.39620258324</v>
      </c>
      <c r="M43" s="91">
        <f t="shared" si="31"/>
        <v>225894.36827153809</v>
      </c>
      <c r="N43" s="92">
        <f t="shared" si="31"/>
        <v>236542.34034049298</v>
      </c>
      <c r="O43" s="6"/>
    </row>
    <row r="44" spans="1:15" x14ac:dyDescent="0.2">
      <c r="A44" s="6">
        <v>6</v>
      </c>
      <c r="B44" s="4">
        <f t="shared" si="32"/>
        <v>81036.446375311498</v>
      </c>
      <c r="C44" s="4">
        <f t="shared" si="31"/>
        <v>97813.624892315915</v>
      </c>
      <c r="D44" s="4">
        <f t="shared" si="31"/>
        <v>114590.80340932038</v>
      </c>
      <c r="E44" s="4">
        <f t="shared" si="31"/>
        <v>131367.98192632481</v>
      </c>
      <c r="F44" s="4">
        <f t="shared" si="31"/>
        <v>148145.16044332922</v>
      </c>
      <c r="G44" s="4">
        <f t="shared" si="31"/>
        <v>160382.21284015739</v>
      </c>
      <c r="H44" s="4">
        <f t="shared" si="31"/>
        <v>171066.3673384728</v>
      </c>
      <c r="I44" s="4">
        <f t="shared" si="31"/>
        <v>181750.52183678816</v>
      </c>
      <c r="J44" s="4">
        <f t="shared" si="31"/>
        <v>192434.67633510355</v>
      </c>
      <c r="K44" s="4">
        <f t="shared" si="31"/>
        <v>203118.83083341896</v>
      </c>
      <c r="L44" s="4">
        <f t="shared" si="31"/>
        <v>213802.98533173438</v>
      </c>
      <c r="M44" s="4">
        <f t="shared" si="31"/>
        <v>224487.13983004971</v>
      </c>
      <c r="N44" s="4">
        <f t="shared" si="31"/>
        <v>235171.29432836513</v>
      </c>
      <c r="O44" s="6"/>
    </row>
    <row r="45" spans="1:15" x14ac:dyDescent="0.2">
      <c r="A45" s="6">
        <f>A44+1</f>
        <v>7</v>
      </c>
      <c r="B45" s="4">
        <f t="shared" si="32"/>
        <v>78283.732791268339</v>
      </c>
      <c r="C45" s="4">
        <f t="shared" si="31"/>
        <v>95301.332992262061</v>
      </c>
      <c r="D45" s="4">
        <f t="shared" si="31"/>
        <v>112318.9331932558</v>
      </c>
      <c r="E45" s="4">
        <f t="shared" si="31"/>
        <v>129336.53339424952</v>
      </c>
      <c r="F45" s="4">
        <f t="shared" ref="C45:N58" si="33">(12*MAX(F$36,0)+F$8*(1.03^(25-$A45)-1))*((0.975*1.06)^$A45)</f>
        <v>146354.13359524324</v>
      </c>
      <c r="G45" s="4">
        <f t="shared" si="33"/>
        <v>158679.51345103479</v>
      </c>
      <c r="H45" s="4">
        <f t="shared" si="33"/>
        <v>169399.97332871339</v>
      </c>
      <c r="I45" s="4">
        <f t="shared" si="33"/>
        <v>180120.43320639199</v>
      </c>
      <c r="J45" s="4">
        <f t="shared" si="33"/>
        <v>190840.89308407059</v>
      </c>
      <c r="K45" s="4">
        <f t="shared" si="33"/>
        <v>201561.35296174919</v>
      </c>
      <c r="L45" s="4">
        <f t="shared" si="33"/>
        <v>212281.81283942779</v>
      </c>
      <c r="M45" s="4">
        <f t="shared" si="33"/>
        <v>223002.27271710639</v>
      </c>
      <c r="N45" s="4">
        <f t="shared" si="33"/>
        <v>233722.73259478499</v>
      </c>
      <c r="O45" s="6"/>
    </row>
    <row r="46" spans="1:15" x14ac:dyDescent="0.2">
      <c r="A46" s="6">
        <f t="shared" ref="A46:A63" si="34">A45+1</f>
        <v>8</v>
      </c>
      <c r="B46" s="4">
        <f t="shared" si="32"/>
        <v>75420.224641109598</v>
      </c>
      <c r="C46" s="4">
        <f t="shared" si="33"/>
        <v>92685.207790091561</v>
      </c>
      <c r="D46" s="4">
        <f t="shared" si="33"/>
        <v>109950.19093907351</v>
      </c>
      <c r="E46" s="4">
        <f t="shared" si="33"/>
        <v>127215.17408805546</v>
      </c>
      <c r="F46" s="4">
        <f t="shared" si="33"/>
        <v>144480.15723703741</v>
      </c>
      <c r="G46" s="4">
        <f t="shared" si="33"/>
        <v>156895.73065925291</v>
      </c>
      <c r="H46" s="4">
        <f t="shared" si="33"/>
        <v>167652.61928408864</v>
      </c>
      <c r="I46" s="4">
        <f t="shared" si="33"/>
        <v>178409.50790892442</v>
      </c>
      <c r="J46" s="4">
        <f t="shared" si="33"/>
        <v>189166.39653376018</v>
      </c>
      <c r="K46" s="4">
        <f t="shared" si="33"/>
        <v>199923.28515859594</v>
      </c>
      <c r="L46" s="4">
        <f t="shared" si="33"/>
        <v>210680.1737834317</v>
      </c>
      <c r="M46" s="4">
        <f t="shared" si="33"/>
        <v>221437.06240826746</v>
      </c>
      <c r="N46" s="4">
        <f t="shared" si="33"/>
        <v>232193.95103310322</v>
      </c>
      <c r="O46" s="6"/>
    </row>
    <row r="47" spans="1:15" x14ac:dyDescent="0.2">
      <c r="A47" s="6">
        <f t="shared" si="34"/>
        <v>9</v>
      </c>
      <c r="B47" s="4">
        <f t="shared" si="32"/>
        <v>72442.147175497885</v>
      </c>
      <c r="C47" s="4">
        <f t="shared" si="33"/>
        <v>89961.704025200801</v>
      </c>
      <c r="D47" s="4">
        <f t="shared" si="33"/>
        <v>107481.2608749037</v>
      </c>
      <c r="E47" s="4">
        <f t="shared" si="33"/>
        <v>125000.8177246066</v>
      </c>
      <c r="F47" s="4">
        <f t="shared" si="33"/>
        <v>142520.37457430951</v>
      </c>
      <c r="G47" s="4">
        <f t="shared" si="33"/>
        <v>155028.0664713993</v>
      </c>
      <c r="H47" s="4">
        <f t="shared" si="33"/>
        <v>165821.5076303971</v>
      </c>
      <c r="I47" s="4">
        <f t="shared" si="33"/>
        <v>176614.94878939496</v>
      </c>
      <c r="J47" s="4">
        <f t="shared" si="33"/>
        <v>187408.38994839275</v>
      </c>
      <c r="K47" s="4">
        <f t="shared" si="33"/>
        <v>198201.83110739061</v>
      </c>
      <c r="L47" s="4">
        <f t="shared" si="33"/>
        <v>208995.27226638846</v>
      </c>
      <c r="M47" s="4">
        <f t="shared" si="33"/>
        <v>219788.71342538629</v>
      </c>
      <c r="N47" s="4">
        <f t="shared" si="33"/>
        <v>230582.15458438409</v>
      </c>
      <c r="O47" s="6"/>
    </row>
    <row r="48" spans="1:15" x14ac:dyDescent="0.2">
      <c r="A48" s="90">
        <f t="shared" si="34"/>
        <v>10</v>
      </c>
      <c r="B48" s="91">
        <f t="shared" si="32"/>
        <v>69345.598976468988</v>
      </c>
      <c r="C48" s="91">
        <f t="shared" si="33"/>
        <v>87127.157443612945</v>
      </c>
      <c r="D48" s="91">
        <f t="shared" si="33"/>
        <v>104908.71591075689</v>
      </c>
      <c r="E48" s="91">
        <f t="shared" si="33"/>
        <v>122690.27437790086</v>
      </c>
      <c r="F48" s="91">
        <f t="shared" si="33"/>
        <v>140471.83284504482</v>
      </c>
      <c r="G48" s="91">
        <f t="shared" si="33"/>
        <v>153073.6288836631</v>
      </c>
      <c r="H48" s="91">
        <f t="shared" si="33"/>
        <v>163903.74678446332</v>
      </c>
      <c r="I48" s="91">
        <f t="shared" si="33"/>
        <v>174733.8646852636</v>
      </c>
      <c r="J48" s="91">
        <f t="shared" si="33"/>
        <v>185563.98258606382</v>
      </c>
      <c r="K48" s="91">
        <f t="shared" si="33"/>
        <v>196394.1004868641</v>
      </c>
      <c r="L48" s="91">
        <f t="shared" si="33"/>
        <v>207224.21838766435</v>
      </c>
      <c r="M48" s="91">
        <f t="shared" si="33"/>
        <v>218054.33628846458</v>
      </c>
      <c r="N48" s="92">
        <f t="shared" si="33"/>
        <v>228884.45418926486</v>
      </c>
      <c r="O48" s="6"/>
    </row>
    <row r="49" spans="1:15" x14ac:dyDescent="0.2">
      <c r="A49" s="6">
        <f t="shared" si="34"/>
        <v>11</v>
      </c>
      <c r="B49" s="4">
        <f t="shared" si="32"/>
        <v>66126.547713303706</v>
      </c>
      <c r="C49" s="4">
        <f t="shared" si="33"/>
        <v>84177.780810927754</v>
      </c>
      <c r="D49" s="4">
        <f t="shared" si="33"/>
        <v>102229.0139085518</v>
      </c>
      <c r="E49" s="4">
        <f t="shared" si="33"/>
        <v>120280.24700617582</v>
      </c>
      <c r="F49" s="4">
        <f t="shared" si="33"/>
        <v>138331.48010379987</v>
      </c>
      <c r="G49" s="4">
        <f t="shared" si="33"/>
        <v>151029.42873154263</v>
      </c>
      <c r="H49" s="4">
        <f t="shared" si="33"/>
        <v>161896.34800385046</v>
      </c>
      <c r="I49" s="4">
        <f t="shared" si="33"/>
        <v>172763.26727615829</v>
      </c>
      <c r="J49" s="4">
        <f t="shared" si="33"/>
        <v>183630.1865484661</v>
      </c>
      <c r="K49" s="4">
        <f t="shared" si="33"/>
        <v>194497.10582077393</v>
      </c>
      <c r="L49" s="4">
        <f t="shared" si="33"/>
        <v>205364.02509308176</v>
      </c>
      <c r="M49" s="4">
        <f t="shared" si="33"/>
        <v>216230.94436538962</v>
      </c>
      <c r="N49" s="4">
        <f t="shared" si="33"/>
        <v>227097.86363769742</v>
      </c>
      <c r="O49" s="6"/>
    </row>
    <row r="50" spans="1:15" x14ac:dyDescent="0.2">
      <c r="A50" s="6">
        <f t="shared" si="34"/>
        <v>12</v>
      </c>
      <c r="B50" s="4">
        <f t="shared" si="32"/>
        <v>62780.82575621939</v>
      </c>
      <c r="C50" s="4">
        <f t="shared" si="33"/>
        <v>81109.659791703263</v>
      </c>
      <c r="D50" s="4">
        <f t="shared" si="33"/>
        <v>99438.493827187121</v>
      </c>
      <c r="E50" s="4">
        <f t="shared" si="33"/>
        <v>117767.32786267098</v>
      </c>
      <c r="F50" s="4">
        <f t="shared" si="33"/>
        <v>136096.16189815485</v>
      </c>
      <c r="G50" s="4">
        <f t="shared" si="33"/>
        <v>148892.37643401642</v>
      </c>
      <c r="H50" s="4">
        <f t="shared" si="33"/>
        <v>159796.22213103596</v>
      </c>
      <c r="I50" s="4">
        <f t="shared" si="33"/>
        <v>170700.06782805553</v>
      </c>
      <c r="J50" s="4">
        <f t="shared" si="33"/>
        <v>181603.91352507507</v>
      </c>
      <c r="K50" s="4">
        <f t="shared" si="33"/>
        <v>192507.75922209461</v>
      </c>
      <c r="L50" s="4">
        <f t="shared" si="33"/>
        <v>203411.60491911421</v>
      </c>
      <c r="M50" s="4">
        <f t="shared" si="33"/>
        <v>214315.45061613372</v>
      </c>
      <c r="N50" s="4">
        <f t="shared" si="33"/>
        <v>225219.29631315326</v>
      </c>
      <c r="O50" s="6"/>
    </row>
    <row r="51" spans="1:15" x14ac:dyDescent="0.2">
      <c r="A51" s="6">
        <f t="shared" si="34"/>
        <v>13</v>
      </c>
      <c r="B51" s="4">
        <f t="shared" si="32"/>
        <v>59304.125643117281</v>
      </c>
      <c r="C51" s="4">
        <f t="shared" si="33"/>
        <v>77918.748690793655</v>
      </c>
      <c r="D51" s="4">
        <f t="shared" si="33"/>
        <v>96533.371738470029</v>
      </c>
      <c r="E51" s="4">
        <f t="shared" si="33"/>
        <v>115147.99478614639</v>
      </c>
      <c r="F51" s="4">
        <f t="shared" si="33"/>
        <v>133762.61783382276</v>
      </c>
      <c r="G51" s="4">
        <f t="shared" si="33"/>
        <v>146659.27862863947</v>
      </c>
      <c r="H51" s="4">
        <f t="shared" si="33"/>
        <v>157600.17622851301</v>
      </c>
      <c r="I51" s="4">
        <f t="shared" si="33"/>
        <v>168541.07382838652</v>
      </c>
      <c r="J51" s="4">
        <f t="shared" si="33"/>
        <v>179481.97142825997</v>
      </c>
      <c r="K51" s="4">
        <f t="shared" si="33"/>
        <v>190422.86902813351</v>
      </c>
      <c r="L51" s="4">
        <f t="shared" si="33"/>
        <v>201363.76662800703</v>
      </c>
      <c r="M51" s="4">
        <f t="shared" si="33"/>
        <v>212304.66422788054</v>
      </c>
      <c r="N51" s="4">
        <f t="shared" si="33"/>
        <v>223245.56182775402</v>
      </c>
      <c r="O51" s="6"/>
    </row>
    <row r="52" spans="1:15" x14ac:dyDescent="0.2">
      <c r="A52" s="6">
        <f t="shared" si="34"/>
        <v>14</v>
      </c>
      <c r="B52" s="4">
        <f t="shared" si="32"/>
        <v>55691.995394463367</v>
      </c>
      <c r="C52" s="4">
        <f t="shared" si="33"/>
        <v>74600.866052019352</v>
      </c>
      <c r="D52" s="4">
        <f t="shared" si="33"/>
        <v>93509.736709575343</v>
      </c>
      <c r="E52" s="4">
        <f t="shared" si="33"/>
        <v>112418.60736713134</v>
      </c>
      <c r="F52" s="4">
        <f t="shared" si="33"/>
        <v>131327.47802468733</v>
      </c>
      <c r="G52" s="4">
        <f t="shared" si="33"/>
        <v>144326.83469391285</v>
      </c>
      <c r="H52" s="4">
        <f t="shared" si="33"/>
        <v>155304.91010116457</v>
      </c>
      <c r="I52" s="4">
        <f t="shared" si="33"/>
        <v>166282.98550841628</v>
      </c>
      <c r="J52" s="4">
        <f t="shared" si="33"/>
        <v>177261.060915668</v>
      </c>
      <c r="K52" s="4">
        <f t="shared" si="33"/>
        <v>188239.13632291972</v>
      </c>
      <c r="L52" s="4">
        <f t="shared" si="33"/>
        <v>199217.21173017146</v>
      </c>
      <c r="M52" s="4">
        <f t="shared" si="33"/>
        <v>210195.28713742315</v>
      </c>
      <c r="N52" s="4">
        <f t="shared" si="33"/>
        <v>221173.36254467486</v>
      </c>
      <c r="O52" s="6"/>
    </row>
    <row r="53" spans="1:15" x14ac:dyDescent="0.2">
      <c r="A53" s="90">
        <f t="shared" si="34"/>
        <v>15</v>
      </c>
      <c r="B53" s="91">
        <f t="shared" si="32"/>
        <v>51939.833671215485</v>
      </c>
      <c r="C53" s="91">
        <f t="shared" si="33"/>
        <v>71151.690109390038</v>
      </c>
      <c r="D53" s="91">
        <f t="shared" si="33"/>
        <v>90363.546547564605</v>
      </c>
      <c r="E53" s="91">
        <f t="shared" si="33"/>
        <v>109575.40298573917</v>
      </c>
      <c r="F53" s="91">
        <f t="shared" si="33"/>
        <v>128787.25942391371</v>
      </c>
      <c r="G53" s="91">
        <f t="shared" si="33"/>
        <v>141891.63315514877</v>
      </c>
      <c r="H53" s="91">
        <f t="shared" si="33"/>
        <v>152907.01270213386</v>
      </c>
      <c r="I53" s="91">
        <f t="shared" si="33"/>
        <v>163922.39224911894</v>
      </c>
      <c r="J53" s="91">
        <f t="shared" si="33"/>
        <v>174937.77179610403</v>
      </c>
      <c r="K53" s="91">
        <f t="shared" si="33"/>
        <v>185953.15134308915</v>
      </c>
      <c r="L53" s="91">
        <f t="shared" si="33"/>
        <v>196968.53089007424</v>
      </c>
      <c r="M53" s="91">
        <f t="shared" si="33"/>
        <v>207983.91043705933</v>
      </c>
      <c r="N53" s="92">
        <f t="shared" si="33"/>
        <v>218999.28998404444</v>
      </c>
      <c r="O53" s="6"/>
    </row>
    <row r="54" spans="1:15" x14ac:dyDescent="0.2">
      <c r="A54" s="6">
        <f t="shared" si="34"/>
        <v>16</v>
      </c>
      <c r="B54" s="4">
        <f t="shared" si="32"/>
        <v>48042.884770538461</v>
      </c>
      <c r="C54" s="4">
        <f t="shared" si="33"/>
        <v>67566.754085941124</v>
      </c>
      <c r="D54" s="4">
        <f t="shared" si="33"/>
        <v>87090.623401343779</v>
      </c>
      <c r="E54" s="4">
        <f t="shared" si="33"/>
        <v>106614.49271674643</v>
      </c>
      <c r="F54" s="4">
        <f t="shared" si="33"/>
        <v>126138.36203214909</v>
      </c>
      <c r="G54" s="4">
        <f t="shared" si="33"/>
        <v>139350.14796992976</v>
      </c>
      <c r="H54" s="4">
        <f t="shared" si="33"/>
        <v>150402.95841828812</v>
      </c>
      <c r="I54" s="4">
        <f t="shared" si="33"/>
        <v>161455.76886664648</v>
      </c>
      <c r="J54" s="4">
        <f t="shared" si="33"/>
        <v>172508.57931500481</v>
      </c>
      <c r="K54" s="4">
        <f t="shared" si="33"/>
        <v>183561.38976336317</v>
      </c>
      <c r="L54" s="4">
        <f t="shared" si="33"/>
        <v>194614.20021172153</v>
      </c>
      <c r="M54" s="4">
        <f t="shared" si="33"/>
        <v>205667.01066007986</v>
      </c>
      <c r="N54" s="4">
        <f t="shared" si="33"/>
        <v>216719.82110843825</v>
      </c>
      <c r="O54" s="6"/>
    </row>
    <row r="55" spans="1:15" x14ac:dyDescent="0.2">
      <c r="A55" s="6">
        <f t="shared" si="34"/>
        <v>17</v>
      </c>
      <c r="B55" s="4">
        <f t="shared" si="32"/>
        <v>43996.233453872897</v>
      </c>
      <c r="C55" s="4">
        <f t="shared" si="33"/>
        <v>63841.441335078096</v>
      </c>
      <c r="D55" s="4">
        <f t="shared" si="33"/>
        <v>83686.649216283302</v>
      </c>
      <c r="E55" s="4">
        <f t="shared" si="33"/>
        <v>103531.85709748849</v>
      </c>
      <c r="F55" s="4">
        <f t="shared" si="33"/>
        <v>123377.0649786937</v>
      </c>
      <c r="G55" s="4">
        <f t="shared" si="33"/>
        <v>136698.73468912655</v>
      </c>
      <c r="H55" s="4">
        <f t="shared" si="33"/>
        <v>147789.10323124149</v>
      </c>
      <c r="I55" s="4">
        <f t="shared" si="33"/>
        <v>158879.4717733564</v>
      </c>
      <c r="J55" s="4">
        <f t="shared" si="33"/>
        <v>169969.84031547129</v>
      </c>
      <c r="K55" s="4">
        <f t="shared" si="33"/>
        <v>181060.2088575862</v>
      </c>
      <c r="L55" s="4">
        <f t="shared" si="33"/>
        <v>192150.57739970111</v>
      </c>
      <c r="M55" s="4">
        <f t="shared" si="33"/>
        <v>203240.94594181603</v>
      </c>
      <c r="N55" s="4">
        <f t="shared" si="33"/>
        <v>214331.31448393091</v>
      </c>
      <c r="O55" s="6"/>
    </row>
    <row r="56" spans="1:15" x14ac:dyDescent="0.2">
      <c r="A56" s="6">
        <f t="shared" si="34"/>
        <v>18</v>
      </c>
      <c r="B56" s="4">
        <f t="shared" si="32"/>
        <v>39794.799601742096</v>
      </c>
      <c r="C56" s="4">
        <f t="shared" si="33"/>
        <v>59970.980319153823</v>
      </c>
      <c r="D56" s="4">
        <f t="shared" si="33"/>
        <v>80147.161036565536</v>
      </c>
      <c r="E56" s="4">
        <f t="shared" si="33"/>
        <v>100323.34175397726</v>
      </c>
      <c r="F56" s="4">
        <f t="shared" si="33"/>
        <v>120499.52247138899</v>
      </c>
      <c r="G56" s="4">
        <f t="shared" si="33"/>
        <v>133933.62648930753</v>
      </c>
      <c r="H56" s="4">
        <f t="shared" si="33"/>
        <v>145061.68074976941</v>
      </c>
      <c r="I56" s="4">
        <f t="shared" si="33"/>
        <v>156189.73501023132</v>
      </c>
      <c r="J56" s="4">
        <f t="shared" si="33"/>
        <v>167317.7892706932</v>
      </c>
      <c r="K56" s="4">
        <f t="shared" si="33"/>
        <v>178445.84353115511</v>
      </c>
      <c r="L56" s="4">
        <f t="shared" si="33"/>
        <v>189573.89779161706</v>
      </c>
      <c r="M56" s="4">
        <f t="shared" si="33"/>
        <v>200701.95205207894</v>
      </c>
      <c r="N56" s="4">
        <f t="shared" si="33"/>
        <v>211830.00631254085</v>
      </c>
      <c r="O56" s="6"/>
    </row>
    <row r="57" spans="1:15" x14ac:dyDescent="0.2">
      <c r="A57" s="6">
        <f t="shared" si="34"/>
        <v>19</v>
      </c>
      <c r="B57" s="4">
        <f t="shared" si="32"/>
        <v>35433.332689492134</v>
      </c>
      <c r="C57" s="4">
        <f t="shared" si="33"/>
        <v>55950.439419824899</v>
      </c>
      <c r="D57" s="4">
        <f t="shared" si="33"/>
        <v>76467.546150157665</v>
      </c>
      <c r="E57" s="4">
        <f t="shared" si="33"/>
        <v>96984.652880490437</v>
      </c>
      <c r="F57" s="4">
        <f t="shared" si="33"/>
        <v>117501.7596108232</v>
      </c>
      <c r="G57" s="4">
        <f t="shared" si="33"/>
        <v>131050.93007222973</v>
      </c>
      <c r="H57" s="4">
        <f t="shared" si="33"/>
        <v>142216.79810930483</v>
      </c>
      <c r="I57" s="4">
        <f t="shared" si="33"/>
        <v>153382.66614637998</v>
      </c>
      <c r="J57" s="4">
        <f t="shared" si="33"/>
        <v>164548.53418345511</v>
      </c>
      <c r="K57" s="4">
        <f t="shared" si="33"/>
        <v>175714.40222053023</v>
      </c>
      <c r="L57" s="4">
        <f t="shared" si="33"/>
        <v>186880.27025760539</v>
      </c>
      <c r="M57" s="4">
        <f t="shared" si="33"/>
        <v>198046.13829468045</v>
      </c>
      <c r="N57" s="4">
        <f t="shared" si="33"/>
        <v>209212.00633175558</v>
      </c>
      <c r="O57" s="6"/>
    </row>
    <row r="58" spans="1:15" x14ac:dyDescent="0.2">
      <c r="A58" s="90">
        <f t="shared" si="34"/>
        <v>20</v>
      </c>
      <c r="B58" s="91">
        <f t="shared" si="32"/>
        <v>30906.406077967065</v>
      </c>
      <c r="C58" s="91">
        <f t="shared" si="33"/>
        <v>51774.721574552859</v>
      </c>
      <c r="D58" s="91">
        <f t="shared" si="33"/>
        <v>72643.037071138649</v>
      </c>
      <c r="E58" s="91">
        <f t="shared" si="33"/>
        <v>93511.352567724447</v>
      </c>
      <c r="F58" s="91">
        <f t="shared" si="33"/>
        <v>114379.66806431024</v>
      </c>
      <c r="G58" s="91">
        <f t="shared" si="33"/>
        <v>128046.62142696079</v>
      </c>
      <c r="H58" s="91">
        <f t="shared" si="33"/>
        <v>139250.4317340648</v>
      </c>
      <c r="I58" s="91">
        <f t="shared" si="33"/>
        <v>150454.24204116882</v>
      </c>
      <c r="J58" s="91">
        <f t="shared" si="33"/>
        <v>161658.05234827285</v>
      </c>
      <c r="K58" s="91">
        <f t="shared" si="33"/>
        <v>172861.86265537687</v>
      </c>
      <c r="L58" s="91">
        <f t="shared" si="33"/>
        <v>184065.67296248089</v>
      </c>
      <c r="M58" s="91">
        <f t="shared" si="33"/>
        <v>195269.48326958492</v>
      </c>
      <c r="N58" s="92">
        <f t="shared" si="33"/>
        <v>206473.29357668891</v>
      </c>
      <c r="O58" s="6"/>
    </row>
    <row r="59" spans="1:15" x14ac:dyDescent="0.2">
      <c r="A59" s="6">
        <f t="shared" si="34"/>
        <v>21</v>
      </c>
      <c r="B59" s="4">
        <f t="shared" ref="B59:N60" si="35">(12*MAX(B$35,0)+B$8*(1.03^(25-$A59)-1))*((0.975*1.06)^$A59)</f>
        <v>75456.922366285973</v>
      </c>
      <c r="C59" s="4">
        <f t="shared" si="35"/>
        <v>96687.069986792092</v>
      </c>
      <c r="D59" s="4">
        <f t="shared" si="35"/>
        <v>115815.15255518079</v>
      </c>
      <c r="E59" s="4">
        <f t="shared" si="35"/>
        <v>127057.0340623575</v>
      </c>
      <c r="F59" s="4">
        <f t="shared" si="35"/>
        <v>138298.91556953423</v>
      </c>
      <c r="G59" s="4">
        <f t="shared" si="35"/>
        <v>149540.79707671091</v>
      </c>
      <c r="H59" s="4">
        <f t="shared" si="35"/>
        <v>160782.67858388761</v>
      </c>
      <c r="I59" s="4">
        <f t="shared" si="35"/>
        <v>172024.56009106437</v>
      </c>
      <c r="J59" s="4">
        <f t="shared" si="35"/>
        <v>183266.44159824104</v>
      </c>
      <c r="K59" s="4">
        <f t="shared" si="35"/>
        <v>194508.32310541774</v>
      </c>
      <c r="L59" s="4">
        <f t="shared" si="35"/>
        <v>205750.20461259451</v>
      </c>
      <c r="M59" s="4">
        <f t="shared" si="35"/>
        <v>216992.08611977118</v>
      </c>
      <c r="N59" s="4">
        <f t="shared" si="35"/>
        <v>228233.96762694788</v>
      </c>
      <c r="O59" s="6"/>
    </row>
    <row r="60" spans="1:15" x14ac:dyDescent="0.2">
      <c r="A60" s="6">
        <f>A59+1</f>
        <v>22</v>
      </c>
      <c r="B60" s="4">
        <f t="shared" si="35"/>
        <v>72231.887407100017</v>
      </c>
      <c r="C60" s="4">
        <f t="shared" si="35"/>
        <v>93834.842510630944</v>
      </c>
      <c r="D60" s="4">
        <f t="shared" si="35"/>
        <v>113265.31338279853</v>
      </c>
      <c r="E60" s="4">
        <f t="shared" si="35"/>
        <v>124545.39545820351</v>
      </c>
      <c r="F60" s="4">
        <f t="shared" si="35"/>
        <v>135825.4775336085</v>
      </c>
      <c r="G60" s="4">
        <f t="shared" si="35"/>
        <v>147105.55960901346</v>
      </c>
      <c r="H60" s="4">
        <f t="shared" si="35"/>
        <v>158385.64168441846</v>
      </c>
      <c r="I60" s="4">
        <f t="shared" si="35"/>
        <v>169665.72375982348</v>
      </c>
      <c r="J60" s="4">
        <f t="shared" si="35"/>
        <v>180945.80583522841</v>
      </c>
      <c r="K60" s="4">
        <f t="shared" si="35"/>
        <v>192225.88791063338</v>
      </c>
      <c r="L60" s="4">
        <f t="shared" si="35"/>
        <v>203505.96998603843</v>
      </c>
      <c r="M60" s="4">
        <f t="shared" si="35"/>
        <v>214786.05206144336</v>
      </c>
      <c r="N60" s="4">
        <f t="shared" si="35"/>
        <v>226066.13413684833</v>
      </c>
      <c r="O60" s="6"/>
    </row>
    <row r="61" spans="1:15" x14ac:dyDescent="0.2">
      <c r="A61" s="6">
        <f t="shared" si="34"/>
        <v>23</v>
      </c>
      <c r="B61" s="4">
        <f>(12*MAX(B$35,0)+B$8*(1.03^(25-$A61)-1))*((0.975*1.06)^$A61)</f>
        <v>68879.265285029294</v>
      </c>
      <c r="C61" s="4">
        <f t="shared" ref="C61:N63" si="36">(12*MAX(C$35,0)+C$8*(1.03^(25-$A61)-1))*((0.975*1.06)^$A61)</f>
        <v>90866.367010986825</v>
      </c>
      <c r="D61" s="4">
        <f t="shared" si="36"/>
        <v>110608.20628383034</v>
      </c>
      <c r="E61" s="4">
        <f t="shared" si="36"/>
        <v>121926.6187352197</v>
      </c>
      <c r="F61" s="4">
        <f t="shared" si="36"/>
        <v>133245.03118660909</v>
      </c>
      <c r="G61" s="4">
        <f t="shared" si="36"/>
        <v>144563.44363799845</v>
      </c>
      <c r="H61" s="4">
        <f t="shared" si="36"/>
        <v>155881.85608938785</v>
      </c>
      <c r="I61" s="4">
        <f t="shared" si="36"/>
        <v>167200.26854077724</v>
      </c>
      <c r="J61" s="4">
        <f t="shared" si="36"/>
        <v>178518.68099216657</v>
      </c>
      <c r="K61" s="4">
        <f t="shared" si="36"/>
        <v>189837.09344355593</v>
      </c>
      <c r="L61" s="4">
        <f t="shared" si="36"/>
        <v>201155.50589494535</v>
      </c>
      <c r="M61" s="4">
        <f t="shared" si="36"/>
        <v>212473.91834633466</v>
      </c>
      <c r="N61" s="4">
        <f t="shared" si="36"/>
        <v>223792.33079772402</v>
      </c>
      <c r="O61" s="6"/>
    </row>
    <row r="62" spans="1:15" x14ac:dyDescent="0.2">
      <c r="A62" s="6">
        <f t="shared" si="34"/>
        <v>24</v>
      </c>
      <c r="B62" s="4">
        <f>(12*MAX(B$35,0)+B$8*(1.03^(25-$A62)-1))*((0.975*1.06)^$A62)</f>
        <v>65394.715403203467</v>
      </c>
      <c r="C62" s="4">
        <f t="shared" si="36"/>
        <v>87777.678844693859</v>
      </c>
      <c r="D62" s="4">
        <f t="shared" si="36"/>
        <v>107840.16354089089</v>
      </c>
      <c r="E62" s="4">
        <f t="shared" si="36"/>
        <v>119197.03661711508</v>
      </c>
      <c r="F62" s="4">
        <f t="shared" si="36"/>
        <v>130553.90969333929</v>
      </c>
      <c r="G62" s="4">
        <f t="shared" si="36"/>
        <v>141910.78276956346</v>
      </c>
      <c r="H62" s="4">
        <f t="shared" si="36"/>
        <v>153267.65584578767</v>
      </c>
      <c r="I62" s="4">
        <f t="shared" si="36"/>
        <v>164624.52892201187</v>
      </c>
      <c r="J62" s="4">
        <f t="shared" si="36"/>
        <v>175981.40199823605</v>
      </c>
      <c r="K62" s="4">
        <f t="shared" si="36"/>
        <v>187338.27507446022</v>
      </c>
      <c r="L62" s="4">
        <f t="shared" si="36"/>
        <v>198695.14815068446</v>
      </c>
      <c r="M62" s="4">
        <f t="shared" si="36"/>
        <v>210052.0212269086</v>
      </c>
      <c r="N62" s="4">
        <f t="shared" si="36"/>
        <v>221408.89430313278</v>
      </c>
      <c r="O62" s="6"/>
    </row>
    <row r="63" spans="1:15" x14ac:dyDescent="0.2">
      <c r="A63" s="90">
        <f t="shared" si="34"/>
        <v>25</v>
      </c>
      <c r="B63" s="91">
        <f>(12*MAX(B$35,0)+B$8*(1.03^(25-$A63)-1))*((0.975*1.06)^$A63)</f>
        <v>61773.751529034438</v>
      </c>
      <c r="C63" s="91">
        <f t="shared" si="36"/>
        <v>84564.680314039681</v>
      </c>
      <c r="D63" s="91">
        <f t="shared" si="36"/>
        <v>104957.39431578424</v>
      </c>
      <c r="E63" s="91">
        <f t="shared" si="36"/>
        <v>116352.85870828688</v>
      </c>
      <c r="F63" s="91">
        <f t="shared" si="36"/>
        <v>127748.32310078951</v>
      </c>
      <c r="G63" s="91">
        <f t="shared" si="36"/>
        <v>139143.7874932921</v>
      </c>
      <c r="H63" s="91">
        <f t="shared" si="36"/>
        <v>150539.25188579474</v>
      </c>
      <c r="I63" s="91">
        <f t="shared" si="36"/>
        <v>161934.71627829739</v>
      </c>
      <c r="J63" s="91">
        <f t="shared" si="36"/>
        <v>173330.18067079998</v>
      </c>
      <c r="K63" s="91">
        <f t="shared" si="36"/>
        <v>184725.6450633026</v>
      </c>
      <c r="L63" s="91">
        <f t="shared" si="36"/>
        <v>196121.10945580524</v>
      </c>
      <c r="M63" s="91">
        <f t="shared" si="36"/>
        <v>207516.57384830783</v>
      </c>
      <c r="N63" s="92">
        <f t="shared" si="36"/>
        <v>218912.03824081045</v>
      </c>
      <c r="O63" s="6"/>
    </row>
    <row r="64" spans="1:15" x14ac:dyDescent="0.2">
      <c r="A64" s="87" t="s">
        <v>41</v>
      </c>
      <c r="B64" s="88">
        <f>SUM(B39:B63)</f>
        <v>1657125.9213479953</v>
      </c>
      <c r="C64" s="88">
        <f t="shared" ref="C64:N64" si="37">SUM(C39:C63)</f>
        <v>2128035.0557808266</v>
      </c>
      <c r="D64" s="88">
        <f t="shared" si="37"/>
        <v>2587705.6849485086</v>
      </c>
      <c r="E64" s="88">
        <f t="shared" si="37"/>
        <v>3005213.4362075473</v>
      </c>
      <c r="F64" s="88">
        <f t="shared" si="37"/>
        <v>3422721.187466586</v>
      </c>
      <c r="G64" s="88">
        <f t="shared" si="37"/>
        <v>3733001.4137590067</v>
      </c>
      <c r="H64" s="88">
        <f t="shared" si="37"/>
        <v>4006605.69894851</v>
      </c>
      <c r="I64" s="88">
        <f t="shared" si="37"/>
        <v>4280209.9841380157</v>
      </c>
      <c r="J64" s="88">
        <f t="shared" si="37"/>
        <v>4553814.2693275195</v>
      </c>
      <c r="K64" s="88">
        <f t="shared" si="37"/>
        <v>4827418.5545170242</v>
      </c>
      <c r="L64" s="88">
        <f t="shared" si="37"/>
        <v>5101022.839706528</v>
      </c>
      <c r="M64" s="88">
        <f t="shared" si="37"/>
        <v>5374627.1248960337</v>
      </c>
      <c r="N64" s="89">
        <f t="shared" si="37"/>
        <v>5648231.4100855384</v>
      </c>
      <c r="O64" s="6"/>
    </row>
    <row r="65" spans="1:14" x14ac:dyDescent="0.2">
      <c r="A65" s="38" t="s">
        <v>48</v>
      </c>
      <c r="B65" s="85">
        <f>B64/1.1</f>
        <v>1506478.1103163592</v>
      </c>
      <c r="C65" s="85">
        <f t="shared" ref="C65:N65" si="38">C64/1.1</f>
        <v>1934577.3234371149</v>
      </c>
      <c r="D65" s="85">
        <f t="shared" si="38"/>
        <v>2352459.7135895533</v>
      </c>
      <c r="E65" s="85">
        <f t="shared" si="38"/>
        <v>2732012.2147341338</v>
      </c>
      <c r="F65" s="85">
        <f t="shared" si="38"/>
        <v>3111564.7158787143</v>
      </c>
      <c r="G65" s="85">
        <f t="shared" si="38"/>
        <v>3393637.6488718241</v>
      </c>
      <c r="H65" s="85">
        <f t="shared" si="38"/>
        <v>3642368.8172259177</v>
      </c>
      <c r="I65" s="85">
        <f t="shared" si="38"/>
        <v>3891099.9855800141</v>
      </c>
      <c r="J65" s="85">
        <f t="shared" si="38"/>
        <v>4139831.1539341081</v>
      </c>
      <c r="K65" s="85">
        <f t="shared" si="38"/>
        <v>4388562.3222882031</v>
      </c>
      <c r="L65" s="85">
        <f t="shared" si="38"/>
        <v>4637293.490642298</v>
      </c>
      <c r="M65" s="85">
        <f t="shared" si="38"/>
        <v>4886024.6589963939</v>
      </c>
      <c r="N65" s="86">
        <f t="shared" si="38"/>
        <v>5134755.8273504889</v>
      </c>
    </row>
    <row r="66" spans="1:14" x14ac:dyDescent="0.2">
      <c r="A66" s="125" t="s">
        <v>146</v>
      </c>
      <c r="B66" s="126">
        <f>B65/(1.02^25)</f>
        <v>918244.91401292768</v>
      </c>
      <c r="C66" s="126">
        <f t="shared" ref="C66:N66" si="39">C65/(1.02^25)</f>
        <v>1179184.6000588932</v>
      </c>
      <c r="D66" s="126">
        <f t="shared" si="39"/>
        <v>1433896.8171069471</v>
      </c>
      <c r="E66" s="126">
        <f t="shared" si="39"/>
        <v>1665245.783540789</v>
      </c>
      <c r="F66" s="126">
        <f t="shared" si="39"/>
        <v>1896594.7499746308</v>
      </c>
      <c r="G66" s="126">
        <f t="shared" si="39"/>
        <v>2068526.910374386</v>
      </c>
      <c r="H66" s="126">
        <f t="shared" si="39"/>
        <v>2220136.2359487726</v>
      </c>
      <c r="I66" s="126">
        <f t="shared" si="39"/>
        <v>2371745.5615231609</v>
      </c>
      <c r="J66" s="126">
        <f t="shared" si="39"/>
        <v>2523354.8870975482</v>
      </c>
      <c r="K66" s="126">
        <f t="shared" si="39"/>
        <v>2674964.2126719356</v>
      </c>
      <c r="L66" s="126">
        <f t="shared" si="39"/>
        <v>2826573.5382463229</v>
      </c>
      <c r="M66" s="126">
        <f t="shared" si="39"/>
        <v>2978182.8638207112</v>
      </c>
      <c r="N66" s="127">
        <f t="shared" si="39"/>
        <v>3129792.1893950985</v>
      </c>
    </row>
    <row r="68" spans="1:14" x14ac:dyDescent="0.2">
      <c r="A68" s="6" t="s">
        <v>29</v>
      </c>
      <c r="B68" s="5">
        <f>B6</f>
        <v>2855.272593781076</v>
      </c>
      <c r="F68" t="s">
        <v>125</v>
      </c>
      <c r="G68" t="s">
        <v>126</v>
      </c>
      <c r="H68" t="s">
        <v>8</v>
      </c>
      <c r="I68" t="s">
        <v>128</v>
      </c>
      <c r="J68" t="s">
        <v>127</v>
      </c>
      <c r="K68" s="7">
        <v>4</v>
      </c>
      <c r="L68" t="s">
        <v>129</v>
      </c>
    </row>
    <row r="69" spans="1:14" x14ac:dyDescent="0.2">
      <c r="A69" s="75" t="s">
        <v>103</v>
      </c>
      <c r="B69" s="76">
        <f>SUM(F69:G70)</f>
        <v>167.76</v>
      </c>
      <c r="D69" t="s">
        <v>145</v>
      </c>
      <c r="E69" t="s">
        <v>147</v>
      </c>
      <c r="F69" s="6">
        <v>0</v>
      </c>
      <c r="G69" s="2">
        <v>102.88</v>
      </c>
      <c r="H69">
        <v>24</v>
      </c>
      <c r="I69">
        <v>80</v>
      </c>
      <c r="J69">
        <v>4.5</v>
      </c>
      <c r="K69" s="7">
        <v>4.5</v>
      </c>
      <c r="L69" s="6">
        <v>56686</v>
      </c>
    </row>
    <row r="70" spans="1:14" x14ac:dyDescent="0.2">
      <c r="A70" s="75" t="s">
        <v>40</v>
      </c>
      <c r="B70" s="77">
        <f>SUM(J69*I69/H69,J70*I70/H70)*4</f>
        <v>97.89473684210526</v>
      </c>
      <c r="D70" t="s">
        <v>151</v>
      </c>
      <c r="E70" s="1" t="s">
        <v>148</v>
      </c>
      <c r="F70" s="6">
        <v>0</v>
      </c>
      <c r="G70" s="2">
        <v>64.88</v>
      </c>
      <c r="H70">
        <v>38</v>
      </c>
      <c r="I70">
        <v>80</v>
      </c>
      <c r="J70">
        <v>4.5</v>
      </c>
      <c r="K70" s="7"/>
      <c r="L70">
        <v>9500</v>
      </c>
    </row>
    <row r="71" spans="1:14" x14ac:dyDescent="0.2">
      <c r="A71" s="6" t="s">
        <v>154</v>
      </c>
      <c r="B71" s="4" cm="1">
        <f t="array" ref="B71">SUM(F72:F73,(G72:G73)/1.2)</f>
        <v>920.39055555555547</v>
      </c>
      <c r="F71" s="6"/>
      <c r="K71" s="7"/>
    </row>
    <row r="72" spans="1:14" x14ac:dyDescent="0.2">
      <c r="A72" s="6" t="s">
        <v>131</v>
      </c>
      <c r="B72" s="4">
        <f>SUM(J72*I72/H72,J73*I73/H73)*4</f>
        <v>114.13533834586465</v>
      </c>
      <c r="D72" t="s">
        <v>153</v>
      </c>
      <c r="E72" t="s">
        <v>147</v>
      </c>
      <c r="F72" s="6">
        <v>0</v>
      </c>
      <c r="G72" s="2">
        <v>102.88</v>
      </c>
      <c r="H72">
        <v>24</v>
      </c>
      <c r="I72">
        <v>80</v>
      </c>
      <c r="J72">
        <v>4.5</v>
      </c>
      <c r="K72" s="7"/>
      <c r="L72">
        <v>0</v>
      </c>
    </row>
    <row r="73" spans="1:14" x14ac:dyDescent="0.2">
      <c r="A73" s="6" t="s">
        <v>30</v>
      </c>
      <c r="B73" s="6">
        <v>500</v>
      </c>
      <c r="D73" t="s">
        <v>152</v>
      </c>
      <c r="E73" t="s">
        <v>157</v>
      </c>
      <c r="F73" s="6">
        <v>641.30999999999995</v>
      </c>
      <c r="G73" s="2">
        <v>232.01666666666665</v>
      </c>
      <c r="H73">
        <v>26.6</v>
      </c>
      <c r="I73">
        <v>80</v>
      </c>
      <c r="J73">
        <v>4.5</v>
      </c>
      <c r="L73" s="6">
        <v>25109</v>
      </c>
    </row>
    <row r="74" spans="1:14" x14ac:dyDescent="0.2">
      <c r="A74" s="6" t="s">
        <v>38</v>
      </c>
      <c r="B74" s="6">
        <v>600</v>
      </c>
      <c r="F74" s="6"/>
    </row>
    <row r="75" spans="1:14" x14ac:dyDescent="0.2">
      <c r="A75" s="6" t="s">
        <v>31</v>
      </c>
      <c r="B75" s="6">
        <v>300</v>
      </c>
    </row>
    <row r="76" spans="1:14" x14ac:dyDescent="0.2">
      <c r="A76" s="75" t="s">
        <v>51</v>
      </c>
      <c r="B76" s="76">
        <f>(SUM(B68:B75)-SUM(B71:B72))*12</f>
        <v>54251.127967478169</v>
      </c>
      <c r="D76" s="6"/>
      <c r="E76" s="6"/>
    </row>
    <row r="77" spans="1:14" x14ac:dyDescent="0.2">
      <c r="A77" s="12" t="s">
        <v>155</v>
      </c>
      <c r="B77" s="78">
        <f>(SUM(B68:B75)-SUM(B69:B70))*12</f>
        <v>63477.581852189949</v>
      </c>
      <c r="D77" s="6"/>
      <c r="E77" s="6"/>
    </row>
    <row r="78" spans="1:14" x14ac:dyDescent="0.2">
      <c r="A78" s="75" t="s">
        <v>53</v>
      </c>
      <c r="B78" s="79">
        <f>(B76-772.5)/0.7485</f>
        <v>71447.732755481848</v>
      </c>
      <c r="D78" s="6"/>
      <c r="E78" s="14"/>
    </row>
    <row r="79" spans="1:14" x14ac:dyDescent="0.2">
      <c r="A79" s="12" t="s">
        <v>156</v>
      </c>
      <c r="B79" s="80">
        <f>(B77-772.5)/0.7485</f>
        <v>83774.324451823573</v>
      </c>
    </row>
    <row r="81" spans="4:6" x14ac:dyDescent="0.2">
      <c r="D81" s="93"/>
      <c r="E81" s="93"/>
      <c r="F81" s="4"/>
    </row>
  </sheetData>
  <sheetProtection selectLockedCells="1"/>
  <conditionalFormatting sqref="B64:N6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{1C35E1FC-D5B4-FE4B-9F0A-BBBF12BE7502}</x14:id>
        </ext>
      </extLst>
    </cfRule>
  </conditionalFormatting>
  <conditionalFormatting sqref="B65:N6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{BB1176DC-BBC8-884A-BE82-A2C55E58DA56}</x14:id>
        </ext>
      </extLst>
    </cfRule>
  </conditionalFormatting>
  <dataValidations count="2">
    <dataValidation type="list" allowBlank="1" showInputMessage="1" showErrorMessage="1" sqref="B5" xr:uid="{D698FE97-E6DC-934E-BEB4-B5DC43229001}">
      <formula1>$B$2:$N$2</formula1>
    </dataValidation>
    <dataValidation type="list" allowBlank="1" showInputMessage="1" showErrorMessage="1" sqref="J74" xr:uid="{12C0E90B-17CC-4944-B44E-192D9CE911E4}">
      <formula1>$K$68:$K$70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35E1FC-D5B4-FE4B-9F0A-BBBF12BE75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B64:N64</xm:sqref>
        </x14:conditionalFormatting>
        <x14:conditionalFormatting xmlns:xm="http://schemas.microsoft.com/office/excel/2006/main">
          <x14:cfRule type="dataBar" id="{BB1176DC-BBC8-884A-BE82-A2C55E58DA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B65:N65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A72EBC-A311-504E-BBDE-2B0BEB8C1CE4}">
          <x14:formula1>
            <xm:f>Cars!$P$2:$P$16</xm:f>
          </x14:formula1>
          <xm:sqref>H69:H70 H72:H74</xm:sqref>
        </x14:dataValidation>
        <x14:dataValidation type="list" allowBlank="1" showInputMessage="1" showErrorMessage="1" xr:uid="{A5E2D9CD-56B6-084A-BE60-87330111C5C8}">
          <x14:formula1>
            <xm:f>Cars!$T$2:$T$16</xm:f>
          </x14:formula1>
          <xm:sqref>L69:L70 L73</xm:sqref>
        </x14:dataValidation>
        <x14:dataValidation type="list" allowBlank="1" showInputMessage="1" showErrorMessage="1" xr:uid="{6F39EA3C-6DC8-C645-ADB5-663A308595E2}">
          <x14:formula1>
            <xm:f>Cars!$A$2:$A$16</xm:f>
          </x14:formula1>
          <xm:sqref>E72:E73 E69:E70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7724-8F04-8243-9085-6434239C9AAF}">
  <dimension ref="A1:F28"/>
  <sheetViews>
    <sheetView workbookViewId="0">
      <selection activeCell="B12" sqref="B12"/>
    </sheetView>
  </sheetViews>
  <sheetFormatPr baseColWidth="10" defaultRowHeight="16" x14ac:dyDescent="0.2"/>
  <cols>
    <col min="1" max="1" width="10.6640625" bestFit="1" customWidth="1"/>
    <col min="2" max="2" width="11.5" bestFit="1" customWidth="1"/>
    <col min="5" max="5" width="12.33203125" bestFit="1" customWidth="1"/>
  </cols>
  <sheetData>
    <row r="1" spans="1:5" x14ac:dyDescent="0.2">
      <c r="A1" t="s">
        <v>67</v>
      </c>
      <c r="B1" s="19">
        <v>220000</v>
      </c>
    </row>
    <row r="3" spans="1:5" x14ac:dyDescent="0.2">
      <c r="A3" t="s">
        <v>68</v>
      </c>
      <c r="C3" t="s">
        <v>69</v>
      </c>
      <c r="E3" t="s">
        <v>146</v>
      </c>
    </row>
    <row r="4" spans="1:5" x14ac:dyDescent="0.2">
      <c r="A4">
        <v>55</v>
      </c>
      <c r="B4" s="5">
        <f>B$1*(0.35+0.02*(A4-45))*(1-C4)</f>
        <v>58080.000000000007</v>
      </c>
      <c r="C4" s="20">
        <v>0.52</v>
      </c>
      <c r="E4" s="6">
        <f>B4/(1.02^(A4-23))</f>
        <v>30819.182268313431</v>
      </c>
    </row>
    <row r="5" spans="1:5" x14ac:dyDescent="0.2">
      <c r="A5">
        <f>A4+1</f>
        <v>56</v>
      </c>
      <c r="B5" s="5">
        <f t="shared" ref="B5:B12" si="0">B$1*(0.35+0.02*(A5-45))*(1-C5)</f>
        <v>68342.999999999985</v>
      </c>
      <c r="C5" s="3">
        <v>0.45500000000000002</v>
      </c>
      <c r="E5" s="6">
        <f t="shared" ref="E5:E12" si="1">B5/(1.02^(A5-23))</f>
        <v>35553.992021878948</v>
      </c>
    </row>
    <row r="6" spans="1:5" x14ac:dyDescent="0.2">
      <c r="A6">
        <f t="shared" ref="A6:A11" si="2">A5+1</f>
        <v>57</v>
      </c>
      <c r="B6" s="5">
        <f t="shared" si="0"/>
        <v>79178</v>
      </c>
      <c r="C6" s="20">
        <v>0.39</v>
      </c>
      <c r="E6" s="6">
        <f t="shared" si="1"/>
        <v>40383.010097973689</v>
      </c>
    </row>
    <row r="7" spans="1:5" x14ac:dyDescent="0.2">
      <c r="A7">
        <f t="shared" si="2"/>
        <v>58</v>
      </c>
      <c r="B7" s="5">
        <f t="shared" si="0"/>
        <v>90585</v>
      </c>
      <c r="C7" s="3">
        <v>0.32500000000000001</v>
      </c>
      <c r="E7" s="6">
        <f t="shared" si="1"/>
        <v>45295.001356151952</v>
      </c>
    </row>
    <row r="8" spans="1:5" x14ac:dyDescent="0.2">
      <c r="A8">
        <f t="shared" si="2"/>
        <v>59</v>
      </c>
      <c r="B8" s="5">
        <f t="shared" si="0"/>
        <v>102564</v>
      </c>
      <c r="C8" s="20">
        <v>0.26</v>
      </c>
      <c r="E8" s="6">
        <f t="shared" si="1"/>
        <v>50279.247192728406</v>
      </c>
    </row>
    <row r="9" spans="1:5" x14ac:dyDescent="0.2">
      <c r="A9">
        <f t="shared" si="2"/>
        <v>60</v>
      </c>
      <c r="B9" s="5">
        <f t="shared" si="0"/>
        <v>115114.99999999997</v>
      </c>
      <c r="C9" s="3">
        <v>0.19500000000000001</v>
      </c>
      <c r="E9" s="6">
        <f t="shared" si="1"/>
        <v>55325.527404705397</v>
      </c>
    </row>
    <row r="10" spans="1:5" x14ac:dyDescent="0.2">
      <c r="A10">
        <f t="shared" si="2"/>
        <v>61</v>
      </c>
      <c r="B10" s="5">
        <f t="shared" si="0"/>
        <v>128237.99999999997</v>
      </c>
      <c r="C10" s="20">
        <v>0.13</v>
      </c>
      <c r="E10" s="6">
        <f t="shared" si="1"/>
        <v>60424.10260945031</v>
      </c>
    </row>
    <row r="11" spans="1:5" x14ac:dyDescent="0.2">
      <c r="A11">
        <f t="shared" si="2"/>
        <v>62</v>
      </c>
      <c r="B11" s="5">
        <f t="shared" si="0"/>
        <v>141933</v>
      </c>
      <c r="C11" s="3">
        <v>6.5000000000000002E-2</v>
      </c>
      <c r="E11" s="6">
        <f t="shared" si="1"/>
        <v>65565.697204455893</v>
      </c>
    </row>
    <row r="12" spans="1:5" x14ac:dyDescent="0.2">
      <c r="A12">
        <v>63</v>
      </c>
      <c r="B12" s="5">
        <f t="shared" si="0"/>
        <v>156200</v>
      </c>
      <c r="C12" s="20">
        <v>0</v>
      </c>
      <c r="E12" s="6">
        <f t="shared" si="1"/>
        <v>70741.482851933935</v>
      </c>
    </row>
    <row r="13" spans="1:5" x14ac:dyDescent="0.2">
      <c r="B13" s="5"/>
    </row>
    <row r="14" spans="1:5" x14ac:dyDescent="0.2">
      <c r="B14" s="5"/>
    </row>
    <row r="15" spans="1:5" x14ac:dyDescent="0.2">
      <c r="B15" s="5"/>
    </row>
    <row r="16" spans="1:5" x14ac:dyDescent="0.2">
      <c r="B16" s="5"/>
    </row>
    <row r="17" spans="1:6" x14ac:dyDescent="0.2">
      <c r="B17" s="5"/>
    </row>
    <row r="18" spans="1:6" x14ac:dyDescent="0.2">
      <c r="B18" s="5"/>
      <c r="C18" s="5"/>
    </row>
    <row r="19" spans="1:6" x14ac:dyDescent="0.2">
      <c r="A19" s="18"/>
    </row>
    <row r="20" spans="1:6" x14ac:dyDescent="0.2">
      <c r="A20" s="18"/>
    </row>
    <row r="21" spans="1:6" x14ac:dyDescent="0.2">
      <c r="A21" s="18"/>
      <c r="F21" s="93"/>
    </row>
    <row r="22" spans="1:6" x14ac:dyDescent="0.2">
      <c r="A22" s="18"/>
    </row>
    <row r="23" spans="1:6" x14ac:dyDescent="0.2">
      <c r="A23" s="18"/>
    </row>
    <row r="24" spans="1:6" x14ac:dyDescent="0.2">
      <c r="A24" s="18"/>
    </row>
    <row r="25" spans="1:6" x14ac:dyDescent="0.2">
      <c r="A25" s="18"/>
    </row>
    <row r="26" spans="1:6" x14ac:dyDescent="0.2">
      <c r="A26" s="18"/>
    </row>
    <row r="27" spans="1:6" x14ac:dyDescent="0.2">
      <c r="A27" s="18"/>
    </row>
    <row r="28" spans="1:6" x14ac:dyDescent="0.2">
      <c r="A28" s="18"/>
    </row>
  </sheetData>
  <conditionalFormatting sqref="B4:B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{976B4989-76B6-A642-A76C-5AE0129605E9}</x14:id>
        </ext>
      </extLst>
    </cfRule>
  </conditionalFormatting>
  <conditionalFormatting sqref="C4:C1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{B0C65D55-A86A-4E4C-B6CD-F7E2346F957A}</x14:id>
        </ext>
      </extLst>
    </cfRule>
  </conditionalFormatting>
  <conditionalFormatting sqref="E4:E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{999F74E7-9D2A-EB4E-9C1F-76B76D2251DC}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6B4989-76B6-A642-A76C-5AE0129605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B4:B12</xm:sqref>
        </x14:conditionalFormatting>
        <x14:conditionalFormatting xmlns:xm="http://schemas.microsoft.com/office/excel/2006/main">
          <x14:cfRule type="dataBar" id="{B0C65D55-A86A-4E4C-B6CD-F7E2346F95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C4:C12</xm:sqref>
        </x14:conditionalFormatting>
        <x14:conditionalFormatting xmlns:xm="http://schemas.microsoft.com/office/excel/2006/main">
          <x14:cfRule type="dataBar" id="{999F74E7-9D2A-EB4E-9C1F-76B76D2251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E4:E12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7D82-289A-014B-A41E-6D29C3106FA3}">
  <dimension ref="A1:Q8"/>
  <sheetViews>
    <sheetView topLeftCell="C1" workbookViewId="0">
      <selection activeCell="I2" sqref="I2"/>
    </sheetView>
  </sheetViews>
  <sheetFormatPr baseColWidth="10" defaultRowHeight="16" x14ac:dyDescent="0.2"/>
  <cols>
    <col min="1" max="1" width="18.33203125" bestFit="1" customWidth="1"/>
    <col min="2" max="2" width="7.83203125" bestFit="1" customWidth="1"/>
    <col min="3" max="3" width="37.83203125" bestFit="1" customWidth="1"/>
    <col min="4" max="4" width="7.6640625" bestFit="1" customWidth="1"/>
    <col min="5" max="5" width="14.6640625" bestFit="1" customWidth="1"/>
    <col min="6" max="6" width="13.6640625" bestFit="1" customWidth="1"/>
    <col min="7" max="7" width="15.83203125" bestFit="1" customWidth="1"/>
    <col min="8" max="8" width="6.5" bestFit="1" customWidth="1"/>
    <col min="9" max="9" width="13.33203125" bestFit="1" customWidth="1"/>
    <col min="10" max="10" width="13" bestFit="1" customWidth="1"/>
    <col min="11" max="11" width="10.5" bestFit="1" customWidth="1"/>
    <col min="12" max="12" width="21.6640625" bestFit="1" customWidth="1"/>
    <col min="13" max="13" width="8.5" bestFit="1" customWidth="1"/>
    <col min="15" max="15" width="29" bestFit="1" customWidth="1"/>
    <col min="16" max="16" width="15.6640625" bestFit="1" customWidth="1"/>
    <col min="17" max="17" width="18.1640625" bestFit="1" customWidth="1"/>
  </cols>
  <sheetData>
    <row r="1" spans="1:17" x14ac:dyDescent="0.2">
      <c r="A1" s="22" t="s">
        <v>70</v>
      </c>
      <c r="B1" s="22" t="s">
        <v>77</v>
      </c>
      <c r="C1" s="22" t="s">
        <v>72</v>
      </c>
      <c r="D1" s="22" t="s">
        <v>71</v>
      </c>
      <c r="E1" s="22" t="s">
        <v>82</v>
      </c>
      <c r="F1" s="22" t="s">
        <v>73</v>
      </c>
      <c r="G1" s="22" t="s">
        <v>74</v>
      </c>
      <c r="H1" s="22" t="s">
        <v>79</v>
      </c>
      <c r="I1" s="22" t="s">
        <v>75</v>
      </c>
      <c r="J1" s="22" t="s">
        <v>76</v>
      </c>
      <c r="K1" s="22" t="s">
        <v>80</v>
      </c>
      <c r="L1" s="22" t="s">
        <v>93</v>
      </c>
      <c r="M1" s="22" t="s">
        <v>94</v>
      </c>
      <c r="N1" s="22" t="s">
        <v>95</v>
      </c>
      <c r="O1" s="22" t="s">
        <v>104</v>
      </c>
      <c r="P1" s="22" t="s">
        <v>105</v>
      </c>
      <c r="Q1" s="22" t="s">
        <v>106</v>
      </c>
    </row>
    <row r="2" spans="1:17" x14ac:dyDescent="0.2">
      <c r="A2" s="23" t="s">
        <v>83</v>
      </c>
      <c r="B2" s="23" t="s">
        <v>78</v>
      </c>
      <c r="C2" s="23" t="s">
        <v>84</v>
      </c>
      <c r="D2" s="23">
        <v>49</v>
      </c>
      <c r="E2" s="23">
        <v>36</v>
      </c>
      <c r="F2" s="23">
        <v>725</v>
      </c>
      <c r="G2" s="23">
        <v>6485</v>
      </c>
      <c r="H2" s="23">
        <v>725</v>
      </c>
      <c r="I2" s="24">
        <f>E2*F2</f>
        <v>26100</v>
      </c>
      <c r="J2" s="24">
        <f>IF(B2="PhD", 3*4965 + 9*F2 + 3110 + 3*F2 + 6*1235, MOD(E2,12)*F2 + ((E2-MOD(E2,12))/12)*G2)</f>
        <v>19455</v>
      </c>
      <c r="K2" s="25">
        <f>I2</f>
        <v>26100</v>
      </c>
      <c r="L2" s="24">
        <f>IF(B2="PhD", I2-4000*6, I2-2000*(ROUNDUP(E2/9,1)))</f>
        <v>18100</v>
      </c>
      <c r="M2" s="24">
        <f>IF(B2="PhD", J2-4000*6,J2-2000*ROUNDUP(E2/12,1))</f>
        <v>13455</v>
      </c>
      <c r="N2" s="24">
        <f>L2</f>
        <v>18100</v>
      </c>
      <c r="O2" s="43">
        <f>L2/12</f>
        <v>1508.3333333333333</v>
      </c>
      <c r="P2" s="43">
        <f t="shared" ref="P2:Q2" si="0">M2/12</f>
        <v>1121.25</v>
      </c>
      <c r="Q2" s="43">
        <f t="shared" si="0"/>
        <v>1508.3333333333333</v>
      </c>
    </row>
    <row r="3" spans="1:17" x14ac:dyDescent="0.2">
      <c r="A3" s="26" t="s">
        <v>83</v>
      </c>
      <c r="B3" s="26" t="s">
        <v>85</v>
      </c>
      <c r="C3" s="26" t="s">
        <v>86</v>
      </c>
      <c r="D3" s="26">
        <v>49</v>
      </c>
      <c r="E3" s="26">
        <v>60</v>
      </c>
      <c r="F3" s="26">
        <v>560</v>
      </c>
      <c r="G3" s="27" t="s">
        <v>81</v>
      </c>
      <c r="H3" s="26">
        <v>560</v>
      </c>
      <c r="I3" s="28">
        <f t="shared" ref="I3:I8" si="1">E3*F3</f>
        <v>33600</v>
      </c>
      <c r="J3" s="28">
        <f t="shared" ref="J3:J8" si="2">IF(B3="PhD", 3*4965 + 9*F3 + 3110 + 3*F3 + 6*1235, MOD(E3,12)*F3 + ((E3-MOD(E3,12))/12)*G3)</f>
        <v>32135</v>
      </c>
      <c r="K3" s="29">
        <f t="shared" ref="K3:K8" si="3">I3</f>
        <v>33600</v>
      </c>
      <c r="L3" s="28">
        <f t="shared" ref="L3:L8" si="4">IF(B3="PhD", I3-4000*6, I3-2000*(ROUNDUP(E3/9,1)))</f>
        <v>9600</v>
      </c>
      <c r="M3" s="28">
        <f t="shared" ref="M3:M8" si="5">IF(B3="PhD", J3-4000*6,J3-2000*ROUNDUP(E3/12,1))</f>
        <v>8135</v>
      </c>
      <c r="N3" s="28">
        <f t="shared" ref="N3:N8" si="6">L3</f>
        <v>9600</v>
      </c>
      <c r="O3" s="44">
        <f t="shared" ref="O3:O8" si="7">L3/12</f>
        <v>800</v>
      </c>
      <c r="P3" s="44">
        <f t="shared" ref="P3:P8" si="8">M3/12</f>
        <v>677.91666666666663</v>
      </c>
      <c r="Q3" s="44">
        <f t="shared" ref="Q3:Q8" si="9">N3/12</f>
        <v>800</v>
      </c>
    </row>
    <row r="4" spans="1:17" x14ac:dyDescent="0.2">
      <c r="A4" s="30" t="s">
        <v>87</v>
      </c>
      <c r="B4" s="30" t="s">
        <v>78</v>
      </c>
      <c r="C4" s="30" t="s">
        <v>88</v>
      </c>
      <c r="D4" s="30"/>
      <c r="E4" s="30">
        <v>30</v>
      </c>
      <c r="F4" s="30">
        <v>470</v>
      </c>
      <c r="G4" s="30">
        <v>5545</v>
      </c>
      <c r="H4" s="30">
        <v>470</v>
      </c>
      <c r="I4" s="31">
        <f t="shared" si="1"/>
        <v>14100</v>
      </c>
      <c r="J4" s="31">
        <f t="shared" si="2"/>
        <v>13910</v>
      </c>
      <c r="K4" s="32">
        <f t="shared" si="3"/>
        <v>14100</v>
      </c>
      <c r="L4" s="31">
        <f t="shared" si="4"/>
        <v>7300</v>
      </c>
      <c r="M4" s="31">
        <f t="shared" si="5"/>
        <v>8910</v>
      </c>
      <c r="N4" s="31">
        <f t="shared" si="6"/>
        <v>7300</v>
      </c>
      <c r="O4" s="45">
        <f t="shared" si="7"/>
        <v>608.33333333333337</v>
      </c>
      <c r="P4" s="45">
        <f t="shared" si="8"/>
        <v>742.5</v>
      </c>
      <c r="Q4" s="45">
        <f t="shared" si="9"/>
        <v>608.33333333333337</v>
      </c>
    </row>
    <row r="5" spans="1:17" x14ac:dyDescent="0.2">
      <c r="A5" s="26" t="s">
        <v>87</v>
      </c>
      <c r="B5" s="26" t="s">
        <v>85</v>
      </c>
      <c r="C5" s="26" t="s">
        <v>88</v>
      </c>
      <c r="D5" s="26"/>
      <c r="E5" s="26">
        <v>60</v>
      </c>
      <c r="F5" s="26">
        <v>560</v>
      </c>
      <c r="G5" s="26" t="s">
        <v>81</v>
      </c>
      <c r="H5" s="33">
        <v>560</v>
      </c>
      <c r="I5" s="28">
        <f t="shared" si="1"/>
        <v>33600</v>
      </c>
      <c r="J5" s="28">
        <f t="shared" si="2"/>
        <v>32135</v>
      </c>
      <c r="K5" s="29">
        <f t="shared" si="3"/>
        <v>33600</v>
      </c>
      <c r="L5" s="28">
        <f t="shared" si="4"/>
        <v>9600</v>
      </c>
      <c r="M5" s="28">
        <f t="shared" si="5"/>
        <v>8135</v>
      </c>
      <c r="N5" s="28">
        <f t="shared" si="6"/>
        <v>9600</v>
      </c>
      <c r="O5" s="44">
        <f t="shared" si="7"/>
        <v>800</v>
      </c>
      <c r="P5" s="44">
        <f t="shared" si="8"/>
        <v>677.91666666666663</v>
      </c>
      <c r="Q5" s="44">
        <f t="shared" si="9"/>
        <v>800</v>
      </c>
    </row>
    <row r="6" spans="1:17" x14ac:dyDescent="0.2">
      <c r="A6" s="26" t="s">
        <v>89</v>
      </c>
      <c r="B6" s="26" t="s">
        <v>85</v>
      </c>
      <c r="C6" s="26" t="s">
        <v>90</v>
      </c>
      <c r="D6" s="26">
        <v>43</v>
      </c>
      <c r="E6" s="26">
        <v>60</v>
      </c>
      <c r="F6" s="26">
        <v>560</v>
      </c>
      <c r="G6" s="34" t="s">
        <v>81</v>
      </c>
      <c r="H6" s="33">
        <v>560</v>
      </c>
      <c r="I6" s="28">
        <f t="shared" si="1"/>
        <v>33600</v>
      </c>
      <c r="J6" s="28">
        <f t="shared" si="2"/>
        <v>32135</v>
      </c>
      <c r="K6" s="29">
        <f t="shared" si="3"/>
        <v>33600</v>
      </c>
      <c r="L6" s="28">
        <f t="shared" si="4"/>
        <v>9600</v>
      </c>
      <c r="M6" s="28">
        <f t="shared" si="5"/>
        <v>8135</v>
      </c>
      <c r="N6" s="28">
        <f t="shared" si="6"/>
        <v>9600</v>
      </c>
      <c r="O6" s="44">
        <f t="shared" si="7"/>
        <v>800</v>
      </c>
      <c r="P6" s="44">
        <f t="shared" si="8"/>
        <v>677.91666666666663</v>
      </c>
      <c r="Q6" s="44">
        <f t="shared" si="9"/>
        <v>800</v>
      </c>
    </row>
    <row r="7" spans="1:17" x14ac:dyDescent="0.2">
      <c r="A7" s="30" t="s">
        <v>83</v>
      </c>
      <c r="B7" s="30" t="s">
        <v>78</v>
      </c>
      <c r="C7" s="30" t="s">
        <v>91</v>
      </c>
      <c r="D7" s="30"/>
      <c r="E7" s="30">
        <v>31.5</v>
      </c>
      <c r="F7" s="30">
        <v>470</v>
      </c>
      <c r="G7" s="35">
        <v>5545</v>
      </c>
      <c r="H7" s="35">
        <v>470</v>
      </c>
      <c r="I7" s="31">
        <f t="shared" si="1"/>
        <v>14805</v>
      </c>
      <c r="J7" s="31">
        <f t="shared" si="2"/>
        <v>14615</v>
      </c>
      <c r="K7" s="32">
        <f t="shared" si="3"/>
        <v>14805</v>
      </c>
      <c r="L7" s="31">
        <f t="shared" si="4"/>
        <v>7805</v>
      </c>
      <c r="M7" s="31">
        <f t="shared" si="5"/>
        <v>9215</v>
      </c>
      <c r="N7" s="31">
        <f t="shared" si="6"/>
        <v>7805</v>
      </c>
      <c r="O7" s="45">
        <f t="shared" si="7"/>
        <v>650.41666666666663</v>
      </c>
      <c r="P7" s="45">
        <f t="shared" si="8"/>
        <v>767.91666666666663</v>
      </c>
      <c r="Q7" s="45">
        <f t="shared" si="9"/>
        <v>650.41666666666663</v>
      </c>
    </row>
    <row r="8" spans="1:17" x14ac:dyDescent="0.2">
      <c r="A8" s="26" t="s">
        <v>89</v>
      </c>
      <c r="B8" s="26" t="s">
        <v>85</v>
      </c>
      <c r="C8" s="26" t="s">
        <v>92</v>
      </c>
      <c r="D8" s="26">
        <v>55</v>
      </c>
      <c r="E8" s="26">
        <v>60</v>
      </c>
      <c r="F8" s="26">
        <v>560</v>
      </c>
      <c r="G8" s="34" t="s">
        <v>81</v>
      </c>
      <c r="H8" s="33">
        <v>560</v>
      </c>
      <c r="I8" s="28">
        <f t="shared" si="1"/>
        <v>33600</v>
      </c>
      <c r="J8" s="28">
        <f t="shared" si="2"/>
        <v>32135</v>
      </c>
      <c r="K8" s="29">
        <f t="shared" si="3"/>
        <v>33600</v>
      </c>
      <c r="L8" s="28">
        <f t="shared" si="4"/>
        <v>9600</v>
      </c>
      <c r="M8" s="28">
        <f t="shared" si="5"/>
        <v>8135</v>
      </c>
      <c r="N8" s="28">
        <f t="shared" si="6"/>
        <v>9600</v>
      </c>
      <c r="O8" s="44">
        <f t="shared" si="7"/>
        <v>800</v>
      </c>
      <c r="P8" s="44">
        <f t="shared" si="8"/>
        <v>677.91666666666663</v>
      </c>
      <c r="Q8" s="44">
        <f t="shared" si="9"/>
        <v>800</v>
      </c>
    </row>
  </sheetData>
  <conditionalFormatting sqref="D2:D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{D0568A83-07E3-FD49-877D-675192B3C3AC}</x14:id>
        </ext>
      </extLst>
    </cfRule>
  </conditionalFormatting>
  <conditionalFormatting sqref="I2:I8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{A5CB1733-F4F2-C045-A70E-D1FB99B67926}</x14:id>
        </ext>
      </extLst>
    </cfRule>
  </conditionalFormatting>
  <conditionalFormatting sqref="J2:J8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{9FB76AAB-4B36-D349-A9CA-12D345224C94}</x14:id>
        </ext>
      </extLst>
    </cfRule>
  </conditionalFormatting>
  <conditionalFormatting sqref="K2:K8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{102EFDD0-2F1D-D746-8231-9F4F8ABDBA9C}</x14:id>
        </ext>
      </extLst>
    </cfRule>
  </conditionalFormatting>
  <conditionalFormatting sqref="L2:L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{A601A932-B4E5-D644-9632-4D97ABA52C62}</x14:id>
        </ext>
      </extLst>
    </cfRule>
  </conditionalFormatting>
  <conditionalFormatting sqref="M2:M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{2FC36C9E-A990-D44D-A120-9244A30873C9}</x14:id>
        </ext>
      </extLst>
    </cfRule>
  </conditionalFormatting>
  <conditionalFormatting sqref="N2:N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{4EDB459C-DC80-7142-8D4C-F25727B1CC56}</x14:id>
        </ext>
      </extLst>
    </cfRule>
  </conditionalFormatting>
  <conditionalFormatting sqref="O2:O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{AF3A6E96-769B-F141-9EB1-5790DB611605}</x14:id>
        </ext>
      </extLst>
    </cfRule>
  </conditionalFormatting>
  <conditionalFormatting sqref="P2:P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{94221CD4-3460-E942-AD01-418FE2729EBC}</x14:id>
        </ext>
      </extLst>
    </cfRule>
  </conditionalFormatting>
  <conditionalFormatting sqref="Q2:Q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{F6350EE9-43E9-A44B-89A7-DAB3E44A22DF}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568A83-07E3-FD49-877D-675192B3C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id="{A5CB1733-F4F2-C045-A70E-D1FB99B679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I2:I8</xm:sqref>
        </x14:conditionalFormatting>
        <x14:conditionalFormatting xmlns:xm="http://schemas.microsoft.com/office/excel/2006/main">
          <x14:cfRule type="dataBar" id="{9FB76AAB-4B36-D349-A9CA-12D345224C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J2:J8</xm:sqref>
        </x14:conditionalFormatting>
        <x14:conditionalFormatting xmlns:xm="http://schemas.microsoft.com/office/excel/2006/main">
          <x14:cfRule type="dataBar" id="{102EFDD0-2F1D-D746-8231-9F4F8ABDBA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K2:K8</xm:sqref>
        </x14:conditionalFormatting>
        <x14:conditionalFormatting xmlns:xm="http://schemas.microsoft.com/office/excel/2006/main">
          <x14:cfRule type="dataBar" id="{A601A932-B4E5-D644-9632-4D97ABA52C6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L2:L8</xm:sqref>
        </x14:conditionalFormatting>
        <x14:conditionalFormatting xmlns:xm="http://schemas.microsoft.com/office/excel/2006/main">
          <x14:cfRule type="dataBar" id="{2FC36C9E-A990-D44D-A120-9244A30873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M2:M8</xm:sqref>
        </x14:conditionalFormatting>
        <x14:conditionalFormatting xmlns:xm="http://schemas.microsoft.com/office/excel/2006/main">
          <x14:cfRule type="dataBar" id="{4EDB459C-DC80-7142-8D4C-F25727B1CC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N2:N8</xm:sqref>
        </x14:conditionalFormatting>
        <x14:conditionalFormatting xmlns:xm="http://schemas.microsoft.com/office/excel/2006/main">
          <x14:cfRule type="dataBar" id="{AF3A6E96-769B-F141-9EB1-5790DB6116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O2:O8</xm:sqref>
        </x14:conditionalFormatting>
        <x14:conditionalFormatting xmlns:xm="http://schemas.microsoft.com/office/excel/2006/main">
          <x14:cfRule type="dataBar" id="{94221CD4-3460-E942-AD01-418FE2729EB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P2:P8</xm:sqref>
        </x14:conditionalFormatting>
        <x14:conditionalFormatting xmlns:xm="http://schemas.microsoft.com/office/excel/2006/main">
          <x14:cfRule type="dataBar" id="{F6350EE9-43E9-A44B-89A7-DAB3E44A22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Q2:Q8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6455-B350-C24B-8119-85794BF80254}">
  <dimension ref="A1:O34"/>
  <sheetViews>
    <sheetView topLeftCell="A3" zoomScale="125" zoomScaleNormal="150" workbookViewId="0">
      <selection activeCell="D17" sqref="D17"/>
    </sheetView>
  </sheetViews>
  <sheetFormatPr baseColWidth="10" defaultRowHeight="16" x14ac:dyDescent="0.2"/>
  <cols>
    <col min="1" max="1" width="2.1640625" customWidth="1"/>
    <col min="2" max="2" width="11.5" bestFit="1" customWidth="1"/>
    <col min="3" max="3" width="20" bestFit="1" customWidth="1"/>
    <col min="4" max="4" width="11.5" bestFit="1" customWidth="1"/>
    <col min="5" max="6" width="11.33203125" bestFit="1" customWidth="1"/>
    <col min="7" max="7" width="12.6640625" customWidth="1"/>
    <col min="8" max="9" width="10.83203125" customWidth="1"/>
    <col min="10" max="10" width="17" customWidth="1"/>
    <col min="11" max="11" width="15.1640625" customWidth="1"/>
    <col min="12" max="13" width="11.5" customWidth="1"/>
    <col min="14" max="14" width="12.83203125" customWidth="1"/>
    <col min="15" max="15" width="24.6640625" bestFit="1" customWidth="1"/>
  </cols>
  <sheetData>
    <row r="1" spans="1:15" x14ac:dyDescent="0.2">
      <c r="A1" t="s">
        <v>180</v>
      </c>
      <c r="B1" s="58" t="s">
        <v>71</v>
      </c>
      <c r="C1" s="58" t="s">
        <v>0</v>
      </c>
      <c r="D1" s="58" t="s">
        <v>3</v>
      </c>
      <c r="E1" s="58" t="s">
        <v>22</v>
      </c>
      <c r="F1" s="58" t="s">
        <v>8</v>
      </c>
      <c r="G1" s="58" t="s">
        <v>110</v>
      </c>
      <c r="H1" s="58" t="s">
        <v>111</v>
      </c>
      <c r="I1" s="58"/>
      <c r="J1" s="58" t="s">
        <v>113</v>
      </c>
      <c r="K1" s="58" t="s">
        <v>112</v>
      </c>
      <c r="L1" s="58" t="s">
        <v>114</v>
      </c>
      <c r="M1" s="58"/>
      <c r="N1" s="58" t="s">
        <v>122</v>
      </c>
      <c r="O1" s="58" t="s">
        <v>123</v>
      </c>
    </row>
    <row r="2" spans="1:15" x14ac:dyDescent="0.2">
      <c r="B2" s="134" t="s">
        <v>120</v>
      </c>
      <c r="C2" s="168" t="s">
        <v>160</v>
      </c>
      <c r="D2" s="132">
        <v>29470</v>
      </c>
      <c r="E2" s="55">
        <f>PMT(0.05/12,60,-(D2-$D$13+700))+((($E$13*60)-6000)/60)</f>
        <v>864.88617621827927</v>
      </c>
      <c r="F2" s="22">
        <v>40</v>
      </c>
      <c r="G2" s="56">
        <f>(5*4*$D$16/F2)*$D$17</f>
        <v>218.75</v>
      </c>
      <c r="H2" s="55">
        <f t="shared" ref="H2:H3" si="0">E2+G2</f>
        <v>1083.6361762182792</v>
      </c>
      <c r="I2" s="22"/>
      <c r="J2" s="55">
        <f>$H$13-H2</f>
        <v>645.47498157749601</v>
      </c>
      <c r="K2" s="55">
        <f>J2*12</f>
        <v>7745.6997789299521</v>
      </c>
      <c r="L2" s="55">
        <f>K2*5</f>
        <v>38728.498894649761</v>
      </c>
      <c r="M2" s="22"/>
      <c r="N2" s="132">
        <v>23800</v>
      </c>
      <c r="O2" s="57">
        <f>N2+L2</f>
        <v>62528.498894649761</v>
      </c>
    </row>
    <row r="3" spans="1:15" x14ac:dyDescent="0.2">
      <c r="A3" t="s">
        <v>184</v>
      </c>
      <c r="B3" s="136" t="s">
        <v>119</v>
      </c>
      <c r="C3" s="169" t="s">
        <v>161</v>
      </c>
      <c r="D3" s="137">
        <v>27365</v>
      </c>
      <c r="E3" s="55">
        <f>PMT(0.05/12,60,-(D3-$D$13+700))+((($E$13*60)-6000)/60)</f>
        <v>825.16222939763622</v>
      </c>
      <c r="F3" s="139">
        <v>40</v>
      </c>
      <c r="G3" s="140">
        <f>(5*4*$D$16/F3)*$D$17</f>
        <v>218.75</v>
      </c>
      <c r="H3" s="138">
        <f t="shared" si="0"/>
        <v>1043.9122293976361</v>
      </c>
      <c r="I3" s="139"/>
      <c r="J3" s="138">
        <f>$H$13-H3</f>
        <v>685.19892839813906</v>
      </c>
      <c r="K3" s="138">
        <f t="shared" ref="K3" si="1">J3*12</f>
        <v>8222.3871407776678</v>
      </c>
      <c r="L3" s="138">
        <f t="shared" ref="L3" si="2">K3*5</f>
        <v>41111.935703888339</v>
      </c>
      <c r="M3" s="139"/>
      <c r="N3" s="137">
        <v>21100</v>
      </c>
      <c r="O3" s="141">
        <f>N3+L3</f>
        <v>62211.935703888339</v>
      </c>
    </row>
    <row r="4" spans="1:15" x14ac:dyDescent="0.2">
      <c r="A4" s="173" t="s">
        <v>181</v>
      </c>
      <c r="B4" s="130"/>
      <c r="C4" s="104" t="s">
        <v>191</v>
      </c>
      <c r="D4" s="166">
        <v>15845</v>
      </c>
      <c r="E4" s="55">
        <f t="shared" ref="E4:E8" si="3">PMT(0.05/12,60,-(D4-$D$13+700))+((($E$13*60)-6000)/60)</f>
        <v>607.76561781863029</v>
      </c>
      <c r="F4" s="152">
        <v>34</v>
      </c>
      <c r="G4" s="140">
        <f t="shared" ref="G4:G8" si="4">(5*4*$D$16/F4)*$D$17</f>
        <v>257.35294117647061</v>
      </c>
      <c r="H4" s="138">
        <f t="shared" ref="H4:H8" si="5">E4+G4</f>
        <v>865.1185589951009</v>
      </c>
      <c r="I4" s="139"/>
      <c r="J4" s="138">
        <f t="shared" ref="J4:J8" si="6">$H$13-H4</f>
        <v>863.99259880067427</v>
      </c>
      <c r="K4" s="138">
        <f t="shared" ref="K4:K8" si="7">J4*12</f>
        <v>10367.911185608091</v>
      </c>
      <c r="L4" s="138">
        <f t="shared" ref="L4:L8" si="8">K4*5</f>
        <v>51839.555928040456</v>
      </c>
      <c r="M4" s="152"/>
      <c r="N4" s="166"/>
      <c r="O4" s="167"/>
    </row>
    <row r="5" spans="1:15" x14ac:dyDescent="0.2">
      <c r="A5" t="s">
        <v>188</v>
      </c>
      <c r="B5" s="130"/>
      <c r="C5" s="104" t="s">
        <v>190</v>
      </c>
      <c r="D5" s="166">
        <v>28693</v>
      </c>
      <c r="E5" s="55">
        <f>PMT(0.05/12,60,-(D5-$D$13+700))+((($E$13*60)-6000)/60)</f>
        <v>850.22322767688274</v>
      </c>
      <c r="F5" s="152">
        <v>40</v>
      </c>
      <c r="G5" s="140">
        <f>(5*4*$D$16/F5)*$D$17</f>
        <v>218.75</v>
      </c>
      <c r="H5" s="138">
        <f t="shared" si="5"/>
        <v>1068.9732276768827</v>
      </c>
      <c r="I5" s="139"/>
      <c r="J5" s="138">
        <f t="shared" si="6"/>
        <v>660.13793011889243</v>
      </c>
      <c r="K5" s="138">
        <f t="shared" si="7"/>
        <v>7921.6551614267091</v>
      </c>
      <c r="L5" s="138">
        <f t="shared" si="8"/>
        <v>39608.275807133548</v>
      </c>
      <c r="M5" s="152"/>
      <c r="N5" s="166"/>
      <c r="O5" s="167"/>
    </row>
    <row r="6" spans="1:15" x14ac:dyDescent="0.2">
      <c r="A6" t="s">
        <v>185</v>
      </c>
      <c r="B6" s="130"/>
      <c r="C6" s="104" t="s">
        <v>182</v>
      </c>
      <c r="D6" s="166">
        <v>20294</v>
      </c>
      <c r="E6" s="55">
        <f t="shared" si="3"/>
        <v>691.72373630083484</v>
      </c>
      <c r="F6" s="152">
        <v>34</v>
      </c>
      <c r="G6" s="140">
        <f t="shared" si="4"/>
        <v>257.35294117647061</v>
      </c>
      <c r="H6" s="138">
        <f t="shared" si="5"/>
        <v>949.07667747730545</v>
      </c>
      <c r="I6" s="139"/>
      <c r="J6" s="138">
        <f t="shared" si="6"/>
        <v>780.03448031846972</v>
      </c>
      <c r="K6" s="138">
        <f t="shared" si="7"/>
        <v>9360.4137638216362</v>
      </c>
      <c r="L6" s="138">
        <f t="shared" si="8"/>
        <v>46802.068819108179</v>
      </c>
      <c r="M6" s="152"/>
      <c r="N6" s="166"/>
      <c r="O6" s="167"/>
    </row>
    <row r="7" spans="1:15" x14ac:dyDescent="0.2">
      <c r="A7" t="s">
        <v>187</v>
      </c>
      <c r="B7" s="130"/>
      <c r="C7" s="104" t="s">
        <v>189</v>
      </c>
      <c r="D7" s="166">
        <v>23348</v>
      </c>
      <c r="E7" s="55">
        <f t="shared" si="3"/>
        <v>749.35648384964429</v>
      </c>
      <c r="F7" s="152">
        <v>30</v>
      </c>
      <c r="G7" s="140">
        <f t="shared" si="4"/>
        <v>291.66666666666663</v>
      </c>
      <c r="H7" s="138">
        <f t="shared" si="5"/>
        <v>1041.023150516311</v>
      </c>
      <c r="I7" s="139"/>
      <c r="J7" s="138">
        <f t="shared" si="6"/>
        <v>688.08800727946414</v>
      </c>
      <c r="K7" s="138">
        <f t="shared" si="7"/>
        <v>8257.0560873535687</v>
      </c>
      <c r="L7" s="138">
        <f t="shared" si="8"/>
        <v>41285.280436767847</v>
      </c>
      <c r="M7" s="152"/>
      <c r="N7" s="166"/>
      <c r="O7" s="167"/>
    </row>
    <row r="8" spans="1:15" x14ac:dyDescent="0.2">
      <c r="A8" t="s">
        <v>186</v>
      </c>
      <c r="B8" s="130"/>
      <c r="C8" s="104" t="s">
        <v>183</v>
      </c>
      <c r="D8" s="166">
        <v>22548</v>
      </c>
      <c r="E8" s="55">
        <f t="shared" si="3"/>
        <v>734.25949693443556</v>
      </c>
      <c r="F8" s="152">
        <v>52</v>
      </c>
      <c r="G8" s="140">
        <f t="shared" si="4"/>
        <v>168.26923076923077</v>
      </c>
      <c r="H8" s="138">
        <f t="shared" si="5"/>
        <v>902.52872770366639</v>
      </c>
      <c r="I8" s="139"/>
      <c r="J8" s="138">
        <f t="shared" si="6"/>
        <v>826.58243009210878</v>
      </c>
      <c r="K8" s="138">
        <f t="shared" si="7"/>
        <v>9918.9891611053063</v>
      </c>
      <c r="L8" s="138">
        <f t="shared" si="8"/>
        <v>49594.945805526528</v>
      </c>
      <c r="M8" s="152"/>
      <c r="N8" s="166"/>
      <c r="O8" s="167"/>
    </row>
    <row r="9" spans="1:15" x14ac:dyDescent="0.2">
      <c r="B9" s="22"/>
      <c r="C9" s="128"/>
      <c r="D9" s="149"/>
      <c r="E9" s="55"/>
      <c r="F9" s="128"/>
      <c r="G9" s="151"/>
      <c r="H9" s="150"/>
      <c r="I9" s="128"/>
      <c r="J9" s="150"/>
      <c r="K9" s="150"/>
      <c r="L9" s="150"/>
      <c r="M9" s="128"/>
      <c r="N9" s="149"/>
      <c r="O9" s="86"/>
    </row>
    <row r="10" spans="1:15" x14ac:dyDescent="0.2">
      <c r="B10" s="142" t="s">
        <v>164</v>
      </c>
      <c r="C10" s="170" t="s">
        <v>107</v>
      </c>
      <c r="D10" s="143">
        <v>52000</v>
      </c>
      <c r="E10" s="55">
        <f>PMT(0/12,60,-(D10-$D$13+700))+((($E$13*60)-6000)/60)</f>
        <v>1251.0342347188521</v>
      </c>
      <c r="F10" s="145">
        <v>40</v>
      </c>
      <c r="G10" s="146">
        <f>(5*4*$D$16/F10)*$D$18</f>
        <v>250</v>
      </c>
      <c r="H10" s="144">
        <f>E10+G10</f>
        <v>1501.0342347188521</v>
      </c>
      <c r="I10" s="145"/>
      <c r="J10" s="144">
        <f>$H$13-H10</f>
        <v>228.07692307692309</v>
      </c>
      <c r="K10" s="144">
        <f>J10*12</f>
        <v>2736.9230769230771</v>
      </c>
      <c r="L10" s="144">
        <f>K10*5</f>
        <v>13684.615384615387</v>
      </c>
      <c r="M10" s="144"/>
      <c r="N10" s="147">
        <v>30604</v>
      </c>
      <c r="O10" s="148">
        <f>N10+L10</f>
        <v>44288.61538461539</v>
      </c>
    </row>
    <row r="11" spans="1:15" x14ac:dyDescent="0.2">
      <c r="B11" s="30" t="s">
        <v>162</v>
      </c>
      <c r="C11" s="171" t="s">
        <v>116</v>
      </c>
      <c r="D11" s="133">
        <v>44000</v>
      </c>
      <c r="E11" s="55">
        <f t="shared" ref="E11:E12" si="9">PMT(0/12,60,-(D11-$D$13+700))+((($E$13*60)-6000)/60)</f>
        <v>1117.7009013855188</v>
      </c>
      <c r="F11" s="22">
        <v>40</v>
      </c>
      <c r="G11" s="56">
        <f>(5*4*$D$16/F11)*$D$17</f>
        <v>218.75</v>
      </c>
      <c r="H11" s="55">
        <f t="shared" ref="H11:H12" si="10">E11+G11</f>
        <v>1336.4509013855188</v>
      </c>
      <c r="I11" s="22"/>
      <c r="J11" s="55">
        <f t="shared" ref="J11:J12" si="11">$H$13-H11</f>
        <v>392.66025641025635</v>
      </c>
      <c r="K11" s="55">
        <f t="shared" ref="K11:K12" si="12">J11*12</f>
        <v>4711.9230769230762</v>
      </c>
      <c r="L11" s="55">
        <f t="shared" ref="L11:L12" si="13">K11*5</f>
        <v>23559.615384615383</v>
      </c>
      <c r="M11" s="55"/>
      <c r="N11" s="133">
        <f>AVERAGE(33339,$N$12)</f>
        <v>32319.5</v>
      </c>
      <c r="O11" s="57">
        <f>N11+L11</f>
        <v>55879.115384615383</v>
      </c>
    </row>
    <row r="12" spans="1:15" x14ac:dyDescent="0.2">
      <c r="B12" s="135" t="s">
        <v>163</v>
      </c>
      <c r="C12" s="172" t="s">
        <v>115</v>
      </c>
      <c r="D12" s="133">
        <v>42000</v>
      </c>
      <c r="E12" s="55">
        <f t="shared" si="9"/>
        <v>1084.3675680521853</v>
      </c>
      <c r="F12" s="22">
        <v>30</v>
      </c>
      <c r="G12" s="56">
        <f>(5*4*$D$16/F12)*$D$17</f>
        <v>291.66666666666663</v>
      </c>
      <c r="H12" s="55">
        <f t="shared" si="10"/>
        <v>1376.0342347188521</v>
      </c>
      <c r="I12" s="22"/>
      <c r="J12" s="55">
        <f t="shared" si="11"/>
        <v>353.07692307692309</v>
      </c>
      <c r="K12" s="55">
        <f t="shared" si="12"/>
        <v>4236.9230769230771</v>
      </c>
      <c r="L12" s="55">
        <f t="shared" si="13"/>
        <v>21184.615384615387</v>
      </c>
      <c r="M12" s="55"/>
      <c r="N12" s="133">
        <v>31300</v>
      </c>
      <c r="O12" s="57">
        <f>N12+L12</f>
        <v>52484.61538461539</v>
      </c>
    </row>
    <row r="13" spans="1:15" x14ac:dyDescent="0.2">
      <c r="B13" s="22" t="s">
        <v>121</v>
      </c>
      <c r="C13" s="129" t="s">
        <v>108</v>
      </c>
      <c r="D13" s="133">
        <v>35000</v>
      </c>
      <c r="E13" s="55">
        <f>PMT(0.05/12, 60, -(48000*1.08875+3000+700))</f>
        <v>1056.0342347188521</v>
      </c>
      <c r="F13" s="22">
        <v>13</v>
      </c>
      <c r="G13" s="56">
        <f>(5*4*$D$16/F13)*$D$17</f>
        <v>673.07692307692309</v>
      </c>
      <c r="H13" s="55">
        <f>E13+G13</f>
        <v>1729.1111577957752</v>
      </c>
      <c r="I13" s="22"/>
      <c r="J13" s="22"/>
      <c r="K13" s="22"/>
      <c r="L13" s="22"/>
      <c r="M13" s="22"/>
      <c r="N13" s="133">
        <f>AVERAGE(34192,37426)</f>
        <v>35809</v>
      </c>
      <c r="O13" s="57">
        <f>N13+L13</f>
        <v>35809</v>
      </c>
    </row>
    <row r="15" spans="1:15" x14ac:dyDescent="0.2">
      <c r="F15" s="93"/>
    </row>
    <row r="16" spans="1:15" x14ac:dyDescent="0.2">
      <c r="C16" t="s">
        <v>109</v>
      </c>
      <c r="D16">
        <v>125</v>
      </c>
    </row>
    <row r="17" spans="2:8" x14ac:dyDescent="0.2">
      <c r="C17" t="s">
        <v>117</v>
      </c>
      <c r="D17" s="54">
        <v>3.5</v>
      </c>
    </row>
    <row r="18" spans="2:8" x14ac:dyDescent="0.2">
      <c r="C18" t="s">
        <v>118</v>
      </c>
      <c r="D18" s="54">
        <v>4</v>
      </c>
    </row>
    <row r="19" spans="2:8" x14ac:dyDescent="0.2">
      <c r="G19" s="131" t="s">
        <v>179</v>
      </c>
      <c r="H19" s="129"/>
    </row>
    <row r="20" spans="2:8" x14ac:dyDescent="0.2">
      <c r="B20" s="139" t="s">
        <v>165</v>
      </c>
      <c r="C20" s="152" t="s">
        <v>166</v>
      </c>
      <c r="D20" s="154">
        <f>444/12</f>
        <v>37</v>
      </c>
      <c r="E20" s="153"/>
      <c r="F20" s="153"/>
      <c r="G20" s="155"/>
      <c r="H20" s="163"/>
    </row>
    <row r="21" spans="2:8" x14ac:dyDescent="0.2">
      <c r="B21" s="162"/>
      <c r="C21" t="s">
        <v>167</v>
      </c>
      <c r="D21" s="157">
        <f>(SUM(62500,1347)-SUM(17595,82,8325,125,2799))/12</f>
        <v>2910.0833333333335</v>
      </c>
      <c r="E21" s="156"/>
      <c r="F21" s="156"/>
      <c r="G21" s="155"/>
      <c r="H21" s="163"/>
    </row>
    <row r="22" spans="2:8" x14ac:dyDescent="0.2">
      <c r="B22" s="145"/>
      <c r="C22" s="94" t="s">
        <v>29</v>
      </c>
      <c r="D22" s="160">
        <f>(5/6)*SUM(800,750,750,1400,1200,400)</f>
        <v>4416.666666666667</v>
      </c>
      <c r="E22" s="156">
        <f>SUM(D20:D22)</f>
        <v>7363.75</v>
      </c>
      <c r="F22" s="156"/>
      <c r="G22" s="155"/>
      <c r="H22" s="163"/>
    </row>
    <row r="23" spans="2:8" x14ac:dyDescent="0.2">
      <c r="B23" s="139" t="s">
        <v>170</v>
      </c>
      <c r="C23" s="152" t="s">
        <v>168</v>
      </c>
      <c r="D23" s="154">
        <v>0</v>
      </c>
      <c r="E23" s="156"/>
      <c r="F23" s="156"/>
      <c r="G23" s="155"/>
      <c r="H23" s="163"/>
    </row>
    <row r="24" spans="2:8" x14ac:dyDescent="0.2">
      <c r="B24" s="162"/>
      <c r="C24" t="s">
        <v>169</v>
      </c>
      <c r="D24" s="157">
        <v>0</v>
      </c>
      <c r="E24" s="156"/>
      <c r="F24" s="156"/>
      <c r="G24" s="155"/>
      <c r="H24" s="163"/>
    </row>
    <row r="25" spans="2:8" x14ac:dyDescent="0.2">
      <c r="B25" s="162"/>
      <c r="C25" t="s">
        <v>171</v>
      </c>
      <c r="D25" s="157">
        <f>-300</f>
        <v>-300</v>
      </c>
      <c r="E25" s="156"/>
      <c r="F25" s="156"/>
      <c r="G25" s="155">
        <v>50</v>
      </c>
      <c r="H25" s="163"/>
    </row>
    <row r="26" spans="2:8" x14ac:dyDescent="0.2">
      <c r="B26" s="162"/>
      <c r="C26" t="s">
        <v>172</v>
      </c>
      <c r="D26" s="157">
        <f>-300</f>
        <v>-300</v>
      </c>
      <c r="E26" s="156"/>
      <c r="F26" s="156"/>
      <c r="G26" s="155">
        <v>50</v>
      </c>
      <c r="H26" s="163"/>
    </row>
    <row r="27" spans="2:8" x14ac:dyDescent="0.2">
      <c r="B27" s="162"/>
      <c r="C27" t="s">
        <v>173</v>
      </c>
      <c r="D27" s="157">
        <v>0</v>
      </c>
      <c r="E27" s="156"/>
      <c r="F27" s="156"/>
      <c r="G27" s="155"/>
      <c r="H27" s="163"/>
    </row>
    <row r="28" spans="2:8" x14ac:dyDescent="0.2">
      <c r="B28" s="162"/>
      <c r="C28" t="s">
        <v>0</v>
      </c>
      <c r="D28" s="157">
        <f>-H13+-513+-316</f>
        <v>-2558.1111577957754</v>
      </c>
      <c r="E28" s="156"/>
      <c r="F28" s="156"/>
      <c r="G28" s="164">
        <v>0</v>
      </c>
      <c r="H28" s="163"/>
    </row>
    <row r="29" spans="2:8" x14ac:dyDescent="0.2">
      <c r="B29" s="162"/>
      <c r="C29" t="s">
        <v>174</v>
      </c>
      <c r="D29" s="157">
        <f>-700</f>
        <v>-700</v>
      </c>
      <c r="E29" s="156"/>
      <c r="F29" s="156"/>
      <c r="G29" s="155">
        <v>300</v>
      </c>
      <c r="H29" s="163"/>
    </row>
    <row r="30" spans="2:8" x14ac:dyDescent="0.2">
      <c r="B30" s="162"/>
      <c r="C30" t="s">
        <v>175</v>
      </c>
      <c r="D30" s="157">
        <f>-(400+6*(40))</f>
        <v>-640</v>
      </c>
      <c r="E30" s="156"/>
      <c r="F30" s="156"/>
      <c r="G30" s="155">
        <f>240</f>
        <v>240</v>
      </c>
      <c r="H30" s="163"/>
    </row>
    <row r="31" spans="2:8" x14ac:dyDescent="0.2">
      <c r="B31" s="162"/>
      <c r="C31" t="s">
        <v>29</v>
      </c>
      <c r="D31" s="157">
        <f>-(5/6)*2800</f>
        <v>-2333.3333333333335</v>
      </c>
      <c r="E31" s="156"/>
      <c r="F31" s="156"/>
      <c r="G31" s="155"/>
      <c r="H31" s="163"/>
    </row>
    <row r="32" spans="2:8" x14ac:dyDescent="0.2">
      <c r="B32" s="162"/>
      <c r="C32" t="s">
        <v>176</v>
      </c>
      <c r="D32" s="157">
        <f>-(5/6)*SUM(250,60,250,250)</f>
        <v>-675</v>
      </c>
      <c r="E32" s="156"/>
      <c r="F32" s="156"/>
      <c r="G32" s="155"/>
      <c r="H32" s="163"/>
    </row>
    <row r="33" spans="2:8" x14ac:dyDescent="0.2">
      <c r="B33" s="145"/>
      <c r="C33" s="94" t="s">
        <v>177</v>
      </c>
      <c r="D33" s="160">
        <f>-250</f>
        <v>-250</v>
      </c>
      <c r="E33" s="156">
        <f>SUM(D23:D33)</f>
        <v>-7756.4444911291084</v>
      </c>
      <c r="F33" s="156"/>
      <c r="G33" s="155">
        <v>25</v>
      </c>
      <c r="H33" s="163"/>
    </row>
    <row r="34" spans="2:8" x14ac:dyDescent="0.2">
      <c r="B34" s="22" t="s">
        <v>159</v>
      </c>
      <c r="C34" s="128" t="s">
        <v>178</v>
      </c>
      <c r="D34" s="161">
        <f>-SUM(250,500,100,200,75)</f>
        <v>-1125</v>
      </c>
      <c r="E34" s="159">
        <f>D34</f>
        <v>-1125</v>
      </c>
      <c r="F34" s="159">
        <f>SUM(E22,E33:E34)</f>
        <v>-1517.6944911291084</v>
      </c>
      <c r="G34" s="158">
        <f>SUM(G20:G33)</f>
        <v>665</v>
      </c>
      <c r="H34" s="165">
        <f>F34+G34</f>
        <v>-852.69449112910843</v>
      </c>
    </row>
  </sheetData>
  <phoneticPr fontId="6" type="noConversion"/>
  <conditionalFormatting sqref="E2:E13">
    <cfRule type="dataBar" priority="13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{552FCCF1-18E5-4748-B385-31495A7E679E}</x14:id>
        </ext>
      </extLst>
    </cfRule>
  </conditionalFormatting>
  <conditionalFormatting sqref="F2:F13">
    <cfRule type="dataBar" priority="13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{5F2E09EC-A527-324E-95C3-580F41BA482F}</x14:id>
        </ext>
      </extLst>
    </cfRule>
  </conditionalFormatting>
  <conditionalFormatting sqref="F10:F13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{A657001D-6059-9F4B-9A38-6B4D522C3C9B}</x14:id>
        </ext>
      </extLst>
    </cfRule>
  </conditionalFormatting>
  <conditionalFormatting sqref="F34">
    <cfRule type="cellIs" dxfId="1" priority="4" operator="lessThan">
      <formula>0</formula>
    </cfRule>
  </conditionalFormatting>
  <conditionalFormatting sqref="G2:G13">
    <cfRule type="dataBar" priority="13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{52BAD4C2-05A9-074E-8DE3-321A39984B9C}</x14:id>
        </ext>
      </extLst>
    </cfRule>
  </conditionalFormatting>
  <conditionalFormatting sqref="H2:H13">
    <cfRule type="dataBar" priority="13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{D21CCE36-F167-D047-813F-3EA33BBC8F63}</x14:id>
        </ext>
      </extLst>
    </cfRule>
  </conditionalFormatting>
  <conditionalFormatting sqref="H34">
    <cfRule type="cellIs" dxfId="0" priority="3" operator="lessThan">
      <formula>0</formula>
    </cfRule>
  </conditionalFormatting>
  <conditionalFormatting sqref="J2:J12">
    <cfRule type="dataBar" priority="13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{85407800-6F7C-FC4E-BC00-17A60C9156A4}</x14:id>
        </ext>
      </extLst>
    </cfRule>
  </conditionalFormatting>
  <conditionalFormatting sqref="K2:K12">
    <cfRule type="dataBar" priority="13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{2F4933C1-3EAC-064A-9D4C-8E5E73DAB176}</x14:id>
        </ext>
      </extLst>
    </cfRule>
  </conditionalFormatting>
  <conditionalFormatting sqref="L10:M12 L2:L9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{FC74657B-2948-554D-8254-EF98FA60E2D8}</x14:id>
        </ext>
      </extLst>
    </cfRule>
  </conditionalFormatting>
  <conditionalFormatting sqref="N2:N13">
    <cfRule type="dataBar" priority="13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{A9EFD93D-3437-4446-8A65-59F55293644C}</x14:id>
        </ext>
      </extLst>
    </cfRule>
  </conditionalFormatting>
  <conditionalFormatting sqref="N10:N1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{E31E2533-123D-4142-A93D-C0BD017224BF}</x14:id>
        </ext>
      </extLst>
    </cfRule>
  </conditionalFormatting>
  <conditionalFormatting sqref="O2:O13">
    <cfRule type="dataBar" priority="13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{2BE40732-CC30-F440-93DB-56263FBD8B31}</x14:id>
        </ext>
      </extLst>
    </cfRule>
  </conditionalFormatting>
  <hyperlinks>
    <hyperlink ref="A4" r:id="rId1" xr:uid="{078B6E5E-18A2-3A4B-9AC1-1FA29645BA5E}"/>
  </hyperlinks>
  <pageMargins left="0.7" right="0.7" top="0.75" bottom="0.75" header="0.3" footer="0.3"/>
  <pageSetup fitToWidth="2" orientation="landscape" horizontalDpi="0" verticalDpi="0"/>
  <ignoredErrors>
    <ignoredError sqref="G1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2FCCF1-18E5-4748-B385-31495A7E679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E2:E13</xm:sqref>
        </x14:conditionalFormatting>
        <x14:conditionalFormatting xmlns:xm="http://schemas.microsoft.com/office/excel/2006/main">
          <x14:cfRule type="dataBar" id="{5F2E09EC-A527-324E-95C3-580F41BA48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F2:F13</xm:sqref>
        </x14:conditionalFormatting>
        <x14:conditionalFormatting xmlns:xm="http://schemas.microsoft.com/office/excel/2006/main">
          <x14:cfRule type="dataBar" id="{A657001D-6059-9F4B-9A38-6B4D522C3C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F10:F13</xm:sqref>
        </x14:conditionalFormatting>
        <x14:conditionalFormatting xmlns:xm="http://schemas.microsoft.com/office/excel/2006/main">
          <x14:cfRule type="dataBar" id="{52BAD4C2-05A9-074E-8DE3-321A39984B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G2:G13</xm:sqref>
        </x14:conditionalFormatting>
        <x14:conditionalFormatting xmlns:xm="http://schemas.microsoft.com/office/excel/2006/main">
          <x14:cfRule type="dataBar" id="{D21CCE36-F167-D047-813F-3EA33BBC8F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H2:H13</xm:sqref>
        </x14:conditionalFormatting>
        <x14:conditionalFormatting xmlns:xm="http://schemas.microsoft.com/office/excel/2006/main">
          <x14:cfRule type="dataBar" id="{85407800-6F7C-FC4E-BC00-17A60C9156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J2:J12</xm:sqref>
        </x14:conditionalFormatting>
        <x14:conditionalFormatting xmlns:xm="http://schemas.microsoft.com/office/excel/2006/main">
          <x14:cfRule type="dataBar" id="{2F4933C1-3EAC-064A-9D4C-8E5E73DAB17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K2:K12</xm:sqref>
        </x14:conditionalFormatting>
        <x14:conditionalFormatting xmlns:xm="http://schemas.microsoft.com/office/excel/2006/main">
          <x14:cfRule type="dataBar" id="{FC74657B-2948-554D-8254-EF98FA60E2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L10:M12 L2:L9</xm:sqref>
        </x14:conditionalFormatting>
        <x14:conditionalFormatting xmlns:xm="http://schemas.microsoft.com/office/excel/2006/main">
          <x14:cfRule type="dataBar" id="{A9EFD93D-3437-4446-8A65-59F5529364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N2:N13</xm:sqref>
        </x14:conditionalFormatting>
        <x14:conditionalFormatting xmlns:xm="http://schemas.microsoft.com/office/excel/2006/main">
          <x14:cfRule type="dataBar" id="{E31E2533-123D-4142-A93D-C0BD017224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N10:N13</xm:sqref>
        </x14:conditionalFormatting>
        <x14:conditionalFormatting xmlns:xm="http://schemas.microsoft.com/office/excel/2006/main">
          <x14:cfRule type="dataBar" id="{2BE40732-CC30-F440-93DB-56263FBD8B3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O2:O13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Cars</vt:lpstr>
      <vt:lpstr>Car Insurance &amp; Maintenance</vt:lpstr>
      <vt:lpstr>Car Payments</vt:lpstr>
      <vt:lpstr>Car &amp; Home</vt:lpstr>
      <vt:lpstr>Finances</vt:lpstr>
      <vt:lpstr>Home</vt:lpstr>
      <vt:lpstr>Finance Post Home</vt:lpstr>
      <vt:lpstr>Retirement</vt:lpstr>
      <vt:lpstr>Grad School</vt:lpstr>
      <vt:lpstr>Lexus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TASHRIF.APON@baruchmail.cuny.edu</dc:creator>
  <cp:lastModifiedBy>TASHRIF.APON@baruchmail.cuny.edu</cp:lastModifiedBy>
  <cp:lastPrinted>2024-01-09T01:33:58Z</cp:lastPrinted>
  <dcterms:created xsi:type="dcterms:W3CDTF">2023-12-22T23:17:57Z</dcterms:created>
  <dcterms:modified xsi:type="dcterms:W3CDTF">2024-02-26T04:05:52Z</dcterms:modified>
</cp:coreProperties>
</file>