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hrifapon/Desktop/"/>
    </mc:Choice>
  </mc:AlternateContent>
  <xr:revisionPtr revIDLastSave="0" documentId="13_ncr:1_{CF0CAFDC-68D7-9B42-A369-50F1F9F1C298}" xr6:coauthVersionLast="47" xr6:coauthVersionMax="47" xr10:uidLastSave="{00000000-0000-0000-0000-000000000000}"/>
  <bookViews>
    <workbookView xWindow="0" yWindow="740" windowWidth="30240" windowHeight="18900" activeTab="4" xr2:uid="{B2797D39-BD4D-A64D-A046-6BC8495C4F8F}"/>
  </bookViews>
  <sheets>
    <sheet name="Weight" sheetId="2" r:id="rId1"/>
    <sheet name="Body Comp" sheetId="4" r:id="rId2"/>
    <sheet name="Workout" sheetId="1" r:id="rId3"/>
    <sheet name="Weight_Work" sheetId="3" r:id="rId4"/>
    <sheet name="Foo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C23" i="4"/>
  <c r="E23" i="4"/>
  <c r="G23" i="4"/>
  <c r="I23" i="4"/>
  <c r="K23" i="4"/>
  <c r="M23" i="4"/>
  <c r="C24" i="4"/>
  <c r="E24" i="4"/>
  <c r="G24" i="4"/>
  <c r="I24" i="4"/>
  <c r="K24" i="4"/>
  <c r="M24" i="4"/>
  <c r="C25" i="4"/>
  <c r="E25" i="4"/>
  <c r="G25" i="4"/>
  <c r="I25" i="4"/>
  <c r="K25" i="4"/>
  <c r="M25" i="4"/>
  <c r="C26" i="4"/>
  <c r="E26" i="4"/>
  <c r="G26" i="4"/>
  <c r="I26" i="4"/>
  <c r="K26" i="4"/>
  <c r="M26" i="4"/>
  <c r="C27" i="4"/>
  <c r="E27" i="4"/>
  <c r="G27" i="4"/>
  <c r="I27" i="4"/>
  <c r="K27" i="4"/>
  <c r="M27" i="4"/>
  <c r="C28" i="4"/>
  <c r="E28" i="4"/>
  <c r="G28" i="4"/>
  <c r="I28" i="4"/>
  <c r="K28" i="4"/>
  <c r="M28" i="4"/>
  <c r="F7" i="4"/>
  <c r="C11" i="4"/>
  <c r="E12" i="4"/>
  <c r="E13" i="4"/>
  <c r="E14" i="4"/>
  <c r="E15" i="4"/>
  <c r="E16" i="4"/>
  <c r="E17" i="4"/>
  <c r="E18" i="4"/>
  <c r="E19" i="4"/>
  <c r="E20" i="4"/>
  <c r="E21" i="4"/>
  <c r="E22" i="4"/>
  <c r="E11" i="4"/>
  <c r="C12" i="4"/>
  <c r="C13" i="4"/>
  <c r="C14" i="4"/>
  <c r="C15" i="4"/>
  <c r="C16" i="4"/>
  <c r="C17" i="4"/>
  <c r="C18" i="4"/>
  <c r="C19" i="4"/>
  <c r="C20" i="4"/>
  <c r="C21" i="4"/>
  <c r="C22" i="4"/>
  <c r="M12" i="4"/>
  <c r="M13" i="4"/>
  <c r="M14" i="4"/>
  <c r="M15" i="4"/>
  <c r="M16" i="4"/>
  <c r="M17" i="4"/>
  <c r="M18" i="4"/>
  <c r="M19" i="4"/>
  <c r="M20" i="4"/>
  <c r="M21" i="4"/>
  <c r="M22" i="4"/>
  <c r="M11" i="4"/>
  <c r="M10" i="4"/>
  <c r="K12" i="4"/>
  <c r="K13" i="4"/>
  <c r="K14" i="4"/>
  <c r="K15" i="4"/>
  <c r="K16" i="4"/>
  <c r="K17" i="4"/>
  <c r="K18" i="4"/>
  <c r="K19" i="4"/>
  <c r="K20" i="4"/>
  <c r="K21" i="4"/>
  <c r="K22" i="4"/>
  <c r="K11" i="4"/>
  <c r="K10" i="4"/>
  <c r="I12" i="4"/>
  <c r="I13" i="4"/>
  <c r="I14" i="4"/>
  <c r="I15" i="4"/>
  <c r="I16" i="4"/>
  <c r="I17" i="4"/>
  <c r="I18" i="4"/>
  <c r="I19" i="4"/>
  <c r="I20" i="4"/>
  <c r="I21" i="4"/>
  <c r="I22" i="4"/>
  <c r="G22" i="4"/>
  <c r="I11" i="4"/>
  <c r="I10" i="4"/>
  <c r="G12" i="4"/>
  <c r="G13" i="4"/>
  <c r="G14" i="4"/>
  <c r="G15" i="4"/>
  <c r="G16" i="4"/>
  <c r="G17" i="4"/>
  <c r="G18" i="4"/>
  <c r="G19" i="4"/>
  <c r="G20" i="4"/>
  <c r="G21" i="4"/>
  <c r="G11" i="4"/>
  <c r="G10" i="4"/>
  <c r="B6" i="4"/>
  <c r="B7" i="4" s="1"/>
  <c r="D7" i="4" s="1"/>
  <c r="E7" i="4" s="1"/>
  <c r="B19" i="2"/>
  <c r="H25" i="2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B2" i="3"/>
  <c r="C2" i="3" s="1"/>
  <c r="O2" i="2"/>
  <c r="B33" i="2"/>
  <c r="E12" i="3" s="1"/>
  <c r="B22" i="2"/>
  <c r="R2" i="2"/>
  <c r="Q2" i="2"/>
  <c r="P2" i="2"/>
  <c r="N2" i="2"/>
  <c r="M2" i="2"/>
  <c r="L2" i="2"/>
  <c r="F6" i="4" l="1"/>
  <c r="F5" i="4" s="1"/>
  <c r="F17" i="2"/>
  <c r="G17" i="2"/>
  <c r="G21" i="2"/>
  <c r="H21" i="2"/>
  <c r="C7" i="4"/>
  <c r="C6" i="4" s="1"/>
  <c r="C5" i="4" s="1"/>
  <c r="H24" i="2"/>
  <c r="G25" i="2"/>
  <c r="F25" i="2" s="1"/>
  <c r="G24" i="2"/>
  <c r="F2" i="3"/>
  <c r="E14" i="3"/>
  <c r="B28" i="2"/>
  <c r="E6" i="3"/>
  <c r="E7" i="3"/>
  <c r="E5" i="3"/>
  <c r="E2" i="3"/>
  <c r="E13" i="3"/>
  <c r="E3" i="3"/>
  <c r="E11" i="3"/>
  <c r="E10" i="3"/>
  <c r="E9" i="3"/>
  <c r="E8" i="3"/>
  <c r="E4" i="3"/>
  <c r="B27" i="2"/>
  <c r="G2" i="3"/>
  <c r="B30" i="2" l="1"/>
  <c r="B34" i="2" s="1"/>
  <c r="A2" i="2" s="1"/>
  <c r="F18" i="2"/>
  <c r="F24" i="2"/>
  <c r="F21" i="2"/>
  <c r="D6" i="4"/>
  <c r="D5" i="4" s="1"/>
  <c r="H2" i="3"/>
  <c r="I2" i="3" s="1"/>
  <c r="B3" i="3" s="1"/>
  <c r="K4" i="2" s="1"/>
  <c r="E6" i="4" l="1"/>
  <c r="E5" i="4" s="1"/>
  <c r="C3" i="3"/>
  <c r="G3" i="3" s="1"/>
  <c r="J2" i="3"/>
  <c r="J4" i="2" s="1"/>
  <c r="F3" i="3"/>
  <c r="I5" i="2"/>
  <c r="B8" i="2"/>
  <c r="C9" i="2"/>
  <c r="D10" i="2"/>
  <c r="E11" i="2"/>
  <c r="F12" i="2"/>
  <c r="G13" i="2"/>
  <c r="H14" i="2"/>
  <c r="I15" i="2"/>
  <c r="B4" i="2"/>
  <c r="I10" i="2"/>
  <c r="B13" i="2"/>
  <c r="D15" i="2"/>
  <c r="E5" i="2"/>
  <c r="G7" i="2"/>
  <c r="I9" i="2"/>
  <c r="B12" i="2"/>
  <c r="D14" i="2"/>
  <c r="G4" i="2"/>
  <c r="F5" i="2"/>
  <c r="H7" i="2"/>
  <c r="C12" i="2"/>
  <c r="E14" i="2"/>
  <c r="H4" i="2"/>
  <c r="H6" i="2"/>
  <c r="C11" i="2"/>
  <c r="E13" i="2"/>
  <c r="G15" i="2"/>
  <c r="C10" i="2"/>
  <c r="E12" i="2"/>
  <c r="G14" i="2"/>
  <c r="B7" i="2"/>
  <c r="C8" i="2"/>
  <c r="D9" i="2"/>
  <c r="E10" i="2"/>
  <c r="F11" i="2"/>
  <c r="G12" i="2"/>
  <c r="H13" i="2"/>
  <c r="I14" i="2"/>
  <c r="B6" i="2"/>
  <c r="C7" i="2"/>
  <c r="D8" i="2"/>
  <c r="E9" i="2"/>
  <c r="F10" i="2"/>
  <c r="G11" i="2"/>
  <c r="H12" i="2"/>
  <c r="I13" i="2"/>
  <c r="C4" i="2"/>
  <c r="B5" i="2"/>
  <c r="C6" i="2"/>
  <c r="D7" i="2"/>
  <c r="E8" i="2"/>
  <c r="F9" i="2"/>
  <c r="G10" i="2"/>
  <c r="H11" i="2"/>
  <c r="I12" i="2"/>
  <c r="B15" i="2"/>
  <c r="D4" i="2"/>
  <c r="C5" i="2"/>
  <c r="D6" i="2"/>
  <c r="E7" i="2"/>
  <c r="F8" i="2"/>
  <c r="G9" i="2"/>
  <c r="H10" i="2"/>
  <c r="I11" i="2"/>
  <c r="B14" i="2"/>
  <c r="C15" i="2"/>
  <c r="E4" i="2"/>
  <c r="D5" i="2"/>
  <c r="E6" i="2"/>
  <c r="F7" i="2"/>
  <c r="G8" i="2"/>
  <c r="H9" i="2"/>
  <c r="C14" i="2"/>
  <c r="F4" i="2"/>
  <c r="F6" i="2"/>
  <c r="H8" i="2"/>
  <c r="C13" i="2"/>
  <c r="E15" i="2"/>
  <c r="G6" i="2"/>
  <c r="I8" i="2"/>
  <c r="B11" i="2"/>
  <c r="D13" i="2"/>
  <c r="F15" i="2"/>
  <c r="G5" i="2"/>
  <c r="I7" i="2"/>
  <c r="B10" i="2"/>
  <c r="D12" i="2"/>
  <c r="F14" i="2"/>
  <c r="I4" i="2"/>
  <c r="H5" i="2"/>
  <c r="I6" i="2"/>
  <c r="B9" i="2"/>
  <c r="D11" i="2"/>
  <c r="F13" i="2"/>
  <c r="H15" i="2"/>
  <c r="H3" i="3" l="1"/>
  <c r="I3" i="3" s="1"/>
  <c r="B4" i="3" l="1"/>
  <c r="K5" i="2" s="1"/>
  <c r="J3" i="3"/>
  <c r="J5" i="2" s="1"/>
  <c r="C4" i="3" l="1"/>
  <c r="F4" i="3" l="1"/>
  <c r="G4" i="3"/>
  <c r="H4" i="3" l="1"/>
  <c r="I4" i="3" s="1"/>
  <c r="B5" i="3" s="1"/>
  <c r="J4" i="3" l="1"/>
  <c r="J6" i="2" s="1"/>
  <c r="K6" i="2"/>
  <c r="C5" i="3"/>
  <c r="F5" i="3" l="1"/>
  <c r="G5" i="3"/>
  <c r="H5" i="3" l="1"/>
  <c r="I5" i="3" s="1"/>
  <c r="B6" i="3" l="1"/>
  <c r="J5" i="3"/>
  <c r="J7" i="2" s="1"/>
  <c r="C6" i="3" l="1"/>
  <c r="K7" i="2"/>
  <c r="G6" i="3" l="1"/>
  <c r="F6" i="3"/>
  <c r="H6" i="3" l="1"/>
  <c r="I6" i="3" s="1"/>
  <c r="B7" i="3" s="1"/>
  <c r="J6" i="3" l="1"/>
  <c r="J8" i="2" s="1"/>
  <c r="K8" i="2"/>
  <c r="C7" i="3"/>
  <c r="G7" i="3" l="1"/>
  <c r="F7" i="3"/>
  <c r="H7" i="3" l="1"/>
  <c r="I7" i="3" s="1"/>
  <c r="B8" i="3" s="1"/>
  <c r="J7" i="3" l="1"/>
  <c r="J9" i="2" s="1"/>
  <c r="K9" i="2"/>
  <c r="C8" i="3"/>
  <c r="F8" i="3" l="1"/>
  <c r="G8" i="3"/>
  <c r="H8" i="3" l="1"/>
  <c r="I8" i="3" s="1"/>
  <c r="B9" i="3" l="1"/>
  <c r="J8" i="3"/>
  <c r="J10" i="2" s="1"/>
  <c r="K10" i="2" l="1"/>
  <c r="C9" i="3"/>
  <c r="G9" i="3" l="1"/>
  <c r="F9" i="3"/>
  <c r="H9" i="3" l="1"/>
  <c r="I9" i="3" s="1"/>
  <c r="B10" i="3" s="1"/>
  <c r="J9" i="3" l="1"/>
  <c r="J11" i="2" s="1"/>
  <c r="K11" i="2"/>
  <c r="C10" i="3"/>
  <c r="F10" i="3" l="1"/>
  <c r="G10" i="3"/>
  <c r="H10" i="3" l="1"/>
  <c r="I10" i="3" s="1"/>
  <c r="B11" i="3" s="1"/>
  <c r="J10" i="3" l="1"/>
  <c r="J12" i="2" s="1"/>
  <c r="K12" i="2"/>
  <c r="C11" i="3"/>
  <c r="F11" i="3" l="1"/>
  <c r="G11" i="3"/>
  <c r="H11" i="3" l="1"/>
  <c r="I11" i="3" s="1"/>
  <c r="B12" i="3" l="1"/>
  <c r="J11" i="3"/>
  <c r="J13" i="2" s="1"/>
  <c r="K13" i="2" l="1"/>
  <c r="C12" i="3"/>
  <c r="F12" i="3" l="1"/>
  <c r="G12" i="3"/>
  <c r="H12" i="3" l="1"/>
  <c r="I12" i="3" s="1"/>
  <c r="B13" i="3" l="1"/>
  <c r="J12" i="3"/>
  <c r="J14" i="2" s="1"/>
  <c r="K14" i="2" l="1"/>
  <c r="C13" i="3"/>
  <c r="F13" i="3" l="1"/>
  <c r="G13" i="3"/>
  <c r="H13" i="3" l="1"/>
  <c r="I13" i="3" s="1"/>
  <c r="J13" i="3" l="1"/>
  <c r="J15" i="2" s="1"/>
  <c r="B14" i="3"/>
  <c r="C14" i="3" l="1"/>
  <c r="K15" i="2"/>
  <c r="F14" i="3" l="1"/>
  <c r="G14" i="3"/>
  <c r="H14" i="3" l="1"/>
  <c r="I14" i="3" s="1"/>
  <c r="J14" i="3" s="1"/>
</calcChain>
</file>

<file path=xl/sharedStrings.xml><?xml version="1.0" encoding="utf-8"?>
<sst xmlns="http://schemas.openxmlformats.org/spreadsheetml/2006/main" count="234" uniqueCount="191">
  <si>
    <t>Monday</t>
  </si>
  <si>
    <t>Push-Ups</t>
  </si>
  <si>
    <t>Pull-Ups</t>
  </si>
  <si>
    <t>Tuesday</t>
  </si>
  <si>
    <t>Plank</t>
  </si>
  <si>
    <t>Crunches</t>
  </si>
  <si>
    <t>Heel-Taps</t>
  </si>
  <si>
    <t>Bottle</t>
  </si>
  <si>
    <t>Run</t>
  </si>
  <si>
    <t>Wednesday</t>
  </si>
  <si>
    <t>Calves</t>
  </si>
  <si>
    <t>Lunges</t>
  </si>
  <si>
    <t>Thursday</t>
  </si>
  <si>
    <t>Friday</t>
  </si>
  <si>
    <t>REST</t>
  </si>
  <si>
    <t>Saturday</t>
  </si>
  <si>
    <t>Sunday</t>
  </si>
  <si>
    <t>Shoulders</t>
  </si>
  <si>
    <t>Run/Bike</t>
  </si>
  <si>
    <t>Chin-Ups</t>
  </si>
  <si>
    <t>Weight (in lbs)</t>
  </si>
  <si>
    <t>Weight (in kg)</t>
  </si>
  <si>
    <t>Height (ft in cell B19, inches in cell C19)</t>
  </si>
  <si>
    <t>Height (in cm)</t>
  </si>
  <si>
    <t>Gender (M/F)</t>
  </si>
  <si>
    <t>Mifflin-St Jeor Equation</t>
  </si>
  <si>
    <t>M</t>
  </si>
  <si>
    <t>Age</t>
  </si>
  <si>
    <t>Average of Equations</t>
  </si>
  <si>
    <t>BMR</t>
  </si>
  <si>
    <t>Sedentary/Little-to-no Exercise</t>
  </si>
  <si>
    <t>Light: Exercise 1-3 times per week</t>
  </si>
  <si>
    <t>Moderate: Exercise 4-5 times per week</t>
  </si>
  <si>
    <t>Active: Daily Exercise or intense exercise 3-4 times per week</t>
  </si>
  <si>
    <t>Very Active: Intense Exercise 6-7 times per week</t>
  </si>
  <si>
    <t>Extra Active: very intense exercise daily or physical job</t>
  </si>
  <si>
    <t>Activity Level</t>
  </si>
  <si>
    <t>Total Daily Calorie Estimate</t>
  </si>
  <si>
    <t>Calories Consumed</t>
  </si>
  <si>
    <t>Custom Calories Consumed</t>
  </si>
  <si>
    <r>
      <t>Exercise:</t>
    </r>
    <r>
      <rPr>
        <sz val="12"/>
        <color theme="1"/>
        <rFont val="Calibri"/>
        <family val="2"/>
        <scheme val="minor"/>
      </rPr>
      <t xml:space="preserve"> 15-30 minutes of elevated heart rate activity.</t>
    </r>
  </si>
  <si>
    <r>
      <t>Intense exercise:</t>
    </r>
    <r>
      <rPr>
        <sz val="12"/>
        <color theme="1"/>
        <rFont val="Calibri"/>
        <family val="2"/>
        <scheme val="minor"/>
      </rPr>
      <t xml:space="preserve"> 45-120 minutes of elevated heart rate activity.</t>
    </r>
  </si>
  <si>
    <r>
      <t>Very intense exercise:</t>
    </r>
    <r>
      <rPr>
        <sz val="12"/>
        <color theme="1"/>
        <rFont val="Calibri"/>
        <family val="2"/>
        <scheme val="minor"/>
      </rPr>
      <t xml:space="preserve"> 2+ hours of elevated heart rate activity.</t>
    </r>
  </si>
  <si>
    <t xml:space="preserve"> </t>
  </si>
  <si>
    <t>Fill In Information in Light-Green Highlighted Cells</t>
  </si>
  <si>
    <t>Source</t>
  </si>
  <si>
    <t>https://www.calculator.net/calorie-calculator.html?</t>
  </si>
  <si>
    <t>Rate</t>
  </si>
  <si>
    <t>Revised Harris-Benedict Equation</t>
  </si>
  <si>
    <t>TDEE</t>
  </si>
  <si>
    <t>Week</t>
  </si>
  <si>
    <t>Weight Loss @ End of Week</t>
  </si>
  <si>
    <t>Total Weight Loss</t>
  </si>
  <si>
    <t>Start Weight (lbs)</t>
  </si>
  <si>
    <t>Start Weight (kg)</t>
  </si>
  <si>
    <t>Total Weight Loss at end of Week</t>
  </si>
  <si>
    <t>Start</t>
  </si>
  <si>
    <t>Weight</t>
  </si>
  <si>
    <t>Body Fat %</t>
  </si>
  <si>
    <t>LBM</t>
  </si>
  <si>
    <t>BFW</t>
  </si>
  <si>
    <t>Muscle Gain</t>
  </si>
  <si>
    <t>Protein Intake</t>
  </si>
  <si>
    <t>Min</t>
  </si>
  <si>
    <t>Weight at end of Week</t>
  </si>
  <si>
    <t>Average</t>
  </si>
  <si>
    <t>Average:</t>
  </si>
  <si>
    <t>Checkpoint 1 (End Week 6)</t>
  </si>
  <si>
    <t>My Protein Range:</t>
  </si>
  <si>
    <t>Light Exercise</t>
  </si>
  <si>
    <t>Moderate Exercise</t>
  </si>
  <si>
    <t>Active</t>
  </si>
  <si>
    <t>Very Active</t>
  </si>
  <si>
    <t>Extra Active</t>
  </si>
  <si>
    <t>Max</t>
  </si>
  <si>
    <t>Break (1 Week End)</t>
  </si>
  <si>
    <t>Checkpoint 2 (End Week 6)</t>
  </si>
  <si>
    <t>Estimation</t>
  </si>
  <si>
    <t>Date</t>
  </si>
  <si>
    <t>Change in Weight</t>
  </si>
  <si>
    <t>Change in BFP</t>
  </si>
  <si>
    <t>Cange in BFW</t>
  </si>
  <si>
    <t>Change in LBM</t>
  </si>
  <si>
    <t>Calories</t>
  </si>
  <si>
    <t>Change in Calories</t>
  </si>
  <si>
    <t>Protein</t>
  </si>
  <si>
    <t>Change in Protein</t>
  </si>
  <si>
    <t>Gym (6W)</t>
  </si>
  <si>
    <t>Food</t>
  </si>
  <si>
    <t>Focus</t>
  </si>
  <si>
    <t>Pros</t>
  </si>
  <si>
    <t>Cons</t>
  </si>
  <si>
    <t>Chia Seeds</t>
  </si>
  <si>
    <t>Vitamins</t>
  </si>
  <si>
    <t>High in Vitamin K</t>
  </si>
  <si>
    <t>High in Omega-3</t>
  </si>
  <si>
    <t>Low in Omega-6</t>
  </si>
  <si>
    <t>Fatty (high in calories if done too much)</t>
  </si>
  <si>
    <t>Usage</t>
  </si>
  <si>
    <t>Overnight Oats</t>
  </si>
  <si>
    <t>Smoothies (Ground chia seeds have a healthy smoothie shop smell)</t>
  </si>
  <si>
    <t>Ground chia taste is strong (not enjoyable flavor)</t>
  </si>
  <si>
    <t>Nutritional Yeast</t>
  </si>
  <si>
    <t>Vitamins/"Flavor"</t>
  </si>
  <si>
    <t>Vegan Option for Fish (Omega-3s)</t>
  </si>
  <si>
    <t>Vegan Option for Beef (B-Vitamins)</t>
  </si>
  <si>
    <t>Beef</t>
  </si>
  <si>
    <t>Protein/Flavor</t>
  </si>
  <si>
    <t>High in Iron (can taste it)</t>
  </si>
  <si>
    <t>Burgers</t>
  </si>
  <si>
    <t>In combo with rice/pasta/bread/flour</t>
  </si>
  <si>
    <t>High in B12</t>
  </si>
  <si>
    <t>Warnings</t>
  </si>
  <si>
    <t>High in Protein per serving &amp; calories (but it doesn't matter)</t>
  </si>
  <si>
    <t>Easy to overdo (and so, overdo on Vitamins)</t>
  </si>
  <si>
    <t>High in Folate &amp; B-Vitamins (except B5)</t>
  </si>
  <si>
    <t>Cheesy flavor (without the tanginess)</t>
  </si>
  <si>
    <t>Dry (can be resolved)</t>
  </si>
  <si>
    <t>Good for Iron</t>
  </si>
  <si>
    <t>Make sure it is Hand-Slaughtered by a Muslim(s)</t>
  </si>
  <si>
    <t>Very easy to go up in Calories (and Fat)</t>
  </si>
  <si>
    <t>Relatively High in Protein</t>
  </si>
  <si>
    <t>Chicken Breast</t>
  </si>
  <si>
    <t>High in Protein</t>
  </si>
  <si>
    <t>Versatile</t>
  </si>
  <si>
    <t>Good for B3</t>
  </si>
  <si>
    <t>Can be difficult to eat</t>
  </si>
  <si>
    <t>In combo with rice/pasta</t>
  </si>
  <si>
    <t>Salmon</t>
  </si>
  <si>
    <t>Not the leanest cut of meat</t>
  </si>
  <si>
    <t>Addictive</t>
  </si>
  <si>
    <t>Expensive (I recommend ALDI, can be cheaper than meat but does not taste the best; it is wild caught)</t>
  </si>
  <si>
    <t>In combo with rice/pasta/veggies</t>
  </si>
  <si>
    <t>Whey Protein</t>
  </si>
  <si>
    <t>Don't order from Amazon (Free Falastine)</t>
  </si>
  <si>
    <t>Can taste good</t>
  </si>
  <si>
    <t>Can taste bad</t>
  </si>
  <si>
    <t>Can be misleading on nutritional info (Nitrogen spiking)</t>
  </si>
  <si>
    <t>Make sure it is Halal/Kosher/Vegetarian</t>
  </si>
  <si>
    <t>Convenient</t>
  </si>
  <si>
    <t>Aids in reaching protein goals</t>
  </si>
  <si>
    <t>Not as filling as food (with similar Protein)</t>
  </si>
  <si>
    <t>Protein Shake/Smoothie</t>
  </si>
  <si>
    <t>Some people mix it with Greek Yogurt/Cottage Cheese</t>
  </si>
  <si>
    <t>Can be fast digesting / slow digesting (both can be good)</t>
  </si>
  <si>
    <t>Mix with coffee (remember to boycott Isapartheid and their supporters)</t>
  </si>
  <si>
    <t>Greek Yogurt</t>
  </si>
  <si>
    <t>Lean Protein</t>
  </si>
  <si>
    <t>Lean Protein (ALDI)</t>
  </si>
  <si>
    <t>Remember to boycott Isapartheid and their supporters</t>
  </si>
  <si>
    <t>1 Serving goes a long way for satiety</t>
  </si>
  <si>
    <t>Taste (at least to me)</t>
  </si>
  <si>
    <t>I like to mix it with some fruits &amp; chia seeds &amp; honey/agave (salt for flavor)</t>
  </si>
  <si>
    <t>Prime Energy Drink</t>
  </si>
  <si>
    <t>Caffeine</t>
  </si>
  <si>
    <t>Great taste (much better than their hydration drinks)</t>
  </si>
  <si>
    <t>Tropical Punch tastes like Caprisun</t>
  </si>
  <si>
    <t>Lemon Lime tastes like Sprite (just more salty and no near as sweet)</t>
  </si>
  <si>
    <t>High in B6 &amp; B12</t>
  </si>
  <si>
    <t>High in Fiber</t>
  </si>
  <si>
    <t>4C Energy Drink (Packets)</t>
  </si>
  <si>
    <t>Acquired taste (definitely tolerable)</t>
  </si>
  <si>
    <t>Toilet visit (#2)</t>
  </si>
  <si>
    <t>Toilet visit (#1)</t>
  </si>
  <si>
    <t>Low Calories</t>
  </si>
  <si>
    <t>Long lasting</t>
  </si>
  <si>
    <t>Jittery (I like it)</t>
  </si>
  <si>
    <t>Instant Mental Sharpness &amp; Long lasting (not as much as Prime)</t>
  </si>
  <si>
    <t>High in B3, B5, B6, B12</t>
  </si>
  <si>
    <t>Higher Amount/Calories than meats: filling</t>
  </si>
  <si>
    <t>Satiating</t>
  </si>
  <si>
    <t>Complete protein (really good Vegan substitute for meat)</t>
  </si>
  <si>
    <t>Mediocre taste (sauce)</t>
  </si>
  <si>
    <t>Defatted Soya Wadi (Soy Nuggets)</t>
  </si>
  <si>
    <t>In combo with rice (pasta too if Textured Vegetable Protein)</t>
  </si>
  <si>
    <t>Make sure that it is deffated soy flour (nothing else that adds calories)</t>
  </si>
  <si>
    <t>Don't buy from Whole Foods (Free Falastine)</t>
  </si>
  <si>
    <t>Good price considering usage</t>
  </si>
  <si>
    <t>Good price considering usage and substituting for meat</t>
  </si>
  <si>
    <t>Chewy texture (like chicken nugget but not as good)</t>
  </si>
  <si>
    <t>Great for Folate, Copper, Iron, Manganese, Phosphorus</t>
  </si>
  <si>
    <t>Good for B1, Magnesium, Potassium</t>
  </si>
  <si>
    <t>Sauteed in BBQ Sauce</t>
  </si>
  <si>
    <t>TVP</t>
  </si>
  <si>
    <t>Same as Soy Nuggets</t>
  </si>
  <si>
    <t>Can taste grainy</t>
  </si>
  <si>
    <t>Can taste that it is derived from flour</t>
  </si>
  <si>
    <t>Good sub for ground beef</t>
  </si>
  <si>
    <t>Same as Soy Nuggets (better taste)</t>
  </si>
  <si>
    <t>Easy &amp; relatively quick to cook</t>
  </si>
  <si>
    <t>Electrolytes (do not feel dehydrated)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</si>
</sst>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6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3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2" fillId="4" borderId="1" xfId="0" applyFont="1" applyFill="1" applyBorder="1"/>
    <xf numFmtId="2" fontId="0" fillId="0" borderId="0" xfId="0" applyNumberFormat="1"/>
    <xf numFmtId="0" fontId="3" fillId="0" borderId="0" xfId="1"/>
    <xf numFmtId="0" fontId="2" fillId="2" borderId="1" xfId="0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2" fillId="2" borderId="1" xfId="0" applyNumberFormat="1" applyFont="1" applyFill="1" applyBorder="1"/>
    <xf numFmtId="2" fontId="0" fillId="0" borderId="2" xfId="0" applyNumberFormat="1" applyBorder="1"/>
    <xf numFmtId="0" fontId="2" fillId="5" borderId="1" xfId="0" applyFont="1" applyFill="1" applyBorder="1"/>
    <xf numFmtId="165" fontId="0" fillId="2" borderId="1" xfId="0" applyNumberFormat="1" applyFill="1" applyBorder="1"/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2" fontId="2" fillId="0" borderId="2" xfId="0" applyNumberFormat="1" applyFont="1" applyBorder="1"/>
    <xf numFmtId="0" fontId="0" fillId="4" borderId="3" xfId="0" applyFill="1" applyBorder="1"/>
    <xf numFmtId="0" fontId="2" fillId="2" borderId="4" xfId="0" applyFont="1" applyFill="1" applyBorder="1"/>
    <xf numFmtId="0" fontId="2" fillId="0" borderId="3" xfId="0" applyFont="1" applyBorder="1"/>
    <xf numFmtId="1" fontId="2" fillId="0" borderId="1" xfId="0" applyNumberFormat="1" applyFont="1" applyBorder="1"/>
    <xf numFmtId="9" fontId="0" fillId="0" borderId="0" xfId="2" applyFont="1"/>
    <xf numFmtId="166" fontId="0" fillId="0" borderId="0" xfId="2" applyNumberFormat="1" applyFont="1"/>
    <xf numFmtId="165" fontId="2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0" fillId="0" borderId="5" xfId="0" applyBorder="1"/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/>
    <xf numFmtId="0" fontId="2" fillId="0" borderId="2" xfId="0" applyFont="1" applyBorder="1"/>
    <xf numFmtId="165" fontId="0" fillId="0" borderId="10" xfId="0" applyNumberFormat="1" applyBorder="1"/>
    <xf numFmtId="166" fontId="0" fillId="0" borderId="2" xfId="2" applyNumberFormat="1" applyFont="1" applyBorder="1"/>
    <xf numFmtId="165" fontId="0" fillId="2" borderId="0" xfId="0" applyNumberFormat="1" applyFill="1"/>
    <xf numFmtId="166" fontId="0" fillId="2" borderId="0" xfId="2" applyNumberFormat="1" applyFont="1" applyFill="1" applyBorder="1"/>
    <xf numFmtId="165" fontId="0" fillId="2" borderId="6" xfId="0" applyNumberFormat="1" applyFill="1" applyBorder="1"/>
    <xf numFmtId="166" fontId="0" fillId="2" borderId="6" xfId="2" applyNumberFormat="1" applyFont="1" applyFill="1" applyBorder="1"/>
    <xf numFmtId="0" fontId="2" fillId="0" borderId="11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6" borderId="13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2" fillId="0" borderId="11" xfId="0" applyNumberFormat="1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19" xfId="0" applyFont="1" applyBorder="1"/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6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2" fontId="0" fillId="2" borderId="0" xfId="0" applyNumberFormat="1" applyFill="1"/>
    <xf numFmtId="2" fontId="0" fillId="2" borderId="6" xfId="0" applyNumberFormat="1" applyFill="1" applyBorder="1"/>
    <xf numFmtId="165" fontId="0" fillId="0" borderId="3" xfId="0" applyNumberFormat="1" applyBorder="1"/>
    <xf numFmtId="165" fontId="0" fillId="2" borderId="7" xfId="0" applyNumberFormat="1" applyFill="1" applyBorder="1"/>
    <xf numFmtId="165" fontId="0" fillId="2" borderId="8" xfId="0" applyNumberFormat="1" applyFill="1" applyBorder="1"/>
    <xf numFmtId="166" fontId="0" fillId="0" borderId="2" xfId="0" applyNumberFormat="1" applyBorder="1"/>
    <xf numFmtId="0" fontId="2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6" fontId="0" fillId="0" borderId="11" xfId="0" applyNumberFormat="1" applyBorder="1"/>
    <xf numFmtId="16" fontId="0" fillId="0" borderId="13" xfId="0" applyNumberFormat="1" applyBorder="1"/>
    <xf numFmtId="0" fontId="0" fillId="0" borderId="12" xfId="0" applyBorder="1"/>
    <xf numFmtId="0" fontId="2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0" fillId="0" borderId="2" xfId="0" applyNumberFormat="1" applyBorder="1"/>
    <xf numFmtId="16" fontId="0" fillId="0" borderId="25" xfId="0" applyNumberFormat="1" applyBorder="1"/>
    <xf numFmtId="16" fontId="0" fillId="0" borderId="3" xfId="0" applyNumberFormat="1" applyBorder="1"/>
    <xf numFmtId="0" fontId="0" fillId="0" borderId="26" xfId="0" applyBorder="1"/>
    <xf numFmtId="0" fontId="0" fillId="0" borderId="6" xfId="0" applyBorder="1"/>
    <xf numFmtId="0" fontId="0" fillId="0" borderId="27" xfId="0" applyBorder="1"/>
    <xf numFmtId="0" fontId="0" fillId="0" borderId="28" xfId="0" applyBorder="1"/>
    <xf numFmtId="166" fontId="0" fillId="0" borderId="6" xfId="2" applyNumberFormat="1" applyFont="1" applyBorder="1"/>
    <xf numFmtId="166" fontId="0" fillId="0" borderId="28" xfId="2" applyNumberFormat="1" applyFont="1" applyBorder="1"/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0" fillId="0" borderId="7" xfId="0" applyBorder="1"/>
    <xf numFmtId="0" fontId="0" fillId="0" borderId="8" xfId="0" applyBorder="1"/>
    <xf numFmtId="16" fontId="0" fillId="0" borderId="19" xfId="0" applyNumberFormat="1" applyBorder="1"/>
    <xf numFmtId="16" fontId="0" fillId="0" borderId="10" xfId="0" applyNumberFormat="1" applyBorder="1"/>
    <xf numFmtId="166" fontId="0" fillId="0" borderId="30" xfId="2" applyNumberFormat="1" applyFont="1" applyBorder="1"/>
    <xf numFmtId="166" fontId="0" fillId="0" borderId="8" xfId="2" applyNumberFormat="1" applyFont="1" applyBorder="1"/>
    <xf numFmtId="0" fontId="2" fillId="0" borderId="31" xfId="0" applyFont="1" applyBorder="1" applyAlignment="1">
      <alignment horizontal="center"/>
    </xf>
    <xf numFmtId="16" fontId="0" fillId="0" borderId="28" xfId="0" applyNumberFormat="1" applyBorder="1"/>
    <xf numFmtId="0" fontId="0" fillId="2" borderId="30" xfId="0" applyFill="1" applyBorder="1"/>
    <xf numFmtId="0" fontId="0" fillId="2" borderId="6" xfId="0" applyFill="1" applyBorder="1"/>
    <xf numFmtId="0" fontId="0" fillId="0" borderId="6" xfId="0" applyFill="1" applyBorder="1"/>
    <xf numFmtId="0" fontId="0" fillId="2" borderId="23" xfId="0" applyFill="1" applyBorder="1"/>
    <xf numFmtId="0" fontId="0" fillId="2" borderId="8" xfId="0" applyFill="1" applyBorder="1"/>
    <xf numFmtId="0" fontId="0" fillId="2" borderId="29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2" xfId="0" applyFill="1" applyBorder="1"/>
    <xf numFmtId="0" fontId="0" fillId="0" borderId="2" xfId="0" applyFill="1" applyBorder="1"/>
    <xf numFmtId="0" fontId="0" fillId="2" borderId="3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10" xfId="0" applyFill="1" applyBorder="1"/>
    <xf numFmtId="0" fontId="0" fillId="0" borderId="10" xfId="0" applyBorder="1"/>
    <xf numFmtId="0" fontId="2" fillId="2" borderId="5" xfId="0" applyFont="1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2" fillId="0" borderId="26" xfId="0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5" xfId="0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</xdr:col>
      <xdr:colOff>3924300</xdr:colOff>
      <xdr:row>47</xdr:row>
      <xdr:rowOff>37512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B9714A-1F8D-834A-1447-941E6E452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200" y="7518400"/>
          <a:ext cx="3924300" cy="2069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alculator.net/calorie-calculator.html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2F2F-DADA-AE4F-A958-1BFD51EF6A19}">
  <dimension ref="A1:T39"/>
  <sheetViews>
    <sheetView workbookViewId="0">
      <selection activeCell="B32" sqref="B32"/>
    </sheetView>
  </sheetViews>
  <sheetFormatPr baseColWidth="10" defaultRowHeight="16" x14ac:dyDescent="0.2"/>
  <cols>
    <col min="1" max="1" width="34.33203125" bestFit="1" customWidth="1"/>
    <col min="2" max="2" width="51.6640625" bestFit="1" customWidth="1"/>
    <col min="5" max="5" width="27" bestFit="1" customWidth="1"/>
    <col min="10" max="10" width="29.33203125" bestFit="1" customWidth="1"/>
    <col min="11" max="11" width="22" customWidth="1"/>
    <col min="12" max="12" width="10.83203125" customWidth="1"/>
    <col min="13" max="13" width="27" customWidth="1"/>
    <col min="14" max="14" width="29.6640625" customWidth="1"/>
    <col min="15" max="15" width="33.83203125" customWidth="1"/>
    <col min="16" max="16" width="51.6640625" customWidth="1"/>
    <col min="17" max="17" width="41.6640625" customWidth="1"/>
    <col min="18" max="18" width="44.83203125" customWidth="1"/>
  </cols>
  <sheetData>
    <row r="1" spans="1:20" x14ac:dyDescent="0.2">
      <c r="A1" s="10" t="s">
        <v>37</v>
      </c>
      <c r="B1" s="10" t="s">
        <v>38</v>
      </c>
      <c r="J1" s="21" t="s">
        <v>39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</row>
    <row r="2" spans="1:20" x14ac:dyDescent="0.2">
      <c r="A2" s="29">
        <f>B34</f>
        <v>2577.9373108820828</v>
      </c>
      <c r="B2" s="28">
        <v>500</v>
      </c>
      <c r="C2" s="10">
        <v>750</v>
      </c>
      <c r="D2" s="10">
        <v>1000</v>
      </c>
      <c r="E2" s="10">
        <v>1250</v>
      </c>
      <c r="F2" s="10">
        <v>1500</v>
      </c>
      <c r="G2" s="10">
        <v>1750</v>
      </c>
      <c r="H2" s="10">
        <v>2000</v>
      </c>
      <c r="I2" s="10">
        <v>2250</v>
      </c>
      <c r="J2" s="24">
        <v>776</v>
      </c>
      <c r="L2">
        <f>1819/1876</f>
        <v>0.96961620469083154</v>
      </c>
      <c r="M2">
        <f>2183/1876</f>
        <v>1.1636460554371002</v>
      </c>
      <c r="N2">
        <f>2501/1876</f>
        <v>1.3331556503198294</v>
      </c>
      <c r="O2">
        <f>2665/1876</f>
        <v>1.4205756929637527</v>
      </c>
      <c r="P2">
        <f>2820/1876</f>
        <v>1.5031982942430704</v>
      </c>
      <c r="Q2">
        <f>3138/1876</f>
        <v>1.6727078891257996</v>
      </c>
      <c r="R2">
        <f>3456/1876</f>
        <v>1.8422174840085288</v>
      </c>
    </row>
    <row r="3" spans="1:20" x14ac:dyDescent="0.2">
      <c r="B3" s="5"/>
      <c r="C3" s="5"/>
      <c r="D3" s="5"/>
      <c r="E3" s="5"/>
      <c r="F3" s="5"/>
      <c r="G3" s="5"/>
      <c r="H3" s="5"/>
      <c r="I3" s="5"/>
      <c r="J3" s="26" t="s">
        <v>55</v>
      </c>
      <c r="K3" s="23" t="s">
        <v>64</v>
      </c>
    </row>
    <row r="4" spans="1:20" x14ac:dyDescent="0.2">
      <c r="A4" s="4">
        <v>1</v>
      </c>
      <c r="B4" s="25">
        <f>(($A$2-B$2)/500)*$A4</f>
        <v>4.1558746217641653</v>
      </c>
      <c r="C4" s="25">
        <f t="shared" ref="C4:I15" si="0">(($A$2-C$2)/500)*$A4</f>
        <v>3.6558746217641658</v>
      </c>
      <c r="D4" s="25">
        <f t="shared" si="0"/>
        <v>3.1558746217641658</v>
      </c>
      <c r="E4" s="25">
        <f t="shared" si="0"/>
        <v>2.6558746217641658</v>
      </c>
      <c r="F4" s="25">
        <f t="shared" si="0"/>
        <v>2.1558746217641658</v>
      </c>
      <c r="G4" s="25">
        <f t="shared" si="0"/>
        <v>1.6558746217641656</v>
      </c>
      <c r="H4" s="25">
        <f t="shared" si="0"/>
        <v>1.1558746217641656</v>
      </c>
      <c r="I4" s="25">
        <f t="shared" si="0"/>
        <v>0.65587462176416556</v>
      </c>
      <c r="J4" s="25">
        <f>Weight_Work!J2</f>
        <v>3.6038746217641657</v>
      </c>
      <c r="K4" s="32">
        <f>Weight_Work!B3</f>
        <v>197.39612537823584</v>
      </c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>
        <v>2</v>
      </c>
      <c r="B5" s="20">
        <f t="shared" ref="B5:B15" si="1">(($A$2-B$2)/500)*$A5</f>
        <v>8.3117492435283307</v>
      </c>
      <c r="C5" s="20">
        <f t="shared" si="0"/>
        <v>7.3117492435283316</v>
      </c>
      <c r="D5" s="20">
        <f t="shared" si="0"/>
        <v>6.3117492435283316</v>
      </c>
      <c r="E5" s="20">
        <f t="shared" si="0"/>
        <v>5.3117492435283316</v>
      </c>
      <c r="F5" s="20">
        <f t="shared" si="0"/>
        <v>4.3117492435283316</v>
      </c>
      <c r="G5" s="20">
        <f t="shared" si="0"/>
        <v>3.3117492435283311</v>
      </c>
      <c r="H5" s="20">
        <f t="shared" si="0"/>
        <v>2.3117492435283311</v>
      </c>
      <c r="I5" s="20">
        <f t="shared" si="0"/>
        <v>1.3117492435283311</v>
      </c>
      <c r="J5" s="20">
        <f>Weight_Work!J3</f>
        <v>7.1564865163919418</v>
      </c>
      <c r="K5" s="33">
        <f>Weight_Work!B4</f>
        <v>193.84351348360806</v>
      </c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>
        <v>3</v>
      </c>
      <c r="B6" s="20">
        <f t="shared" si="1"/>
        <v>12.467623865292495</v>
      </c>
      <c r="C6" s="20">
        <f t="shared" si="0"/>
        <v>10.967623865292497</v>
      </c>
      <c r="D6" s="20">
        <f t="shared" si="0"/>
        <v>9.4676238652924969</v>
      </c>
      <c r="E6" s="20">
        <f t="shared" si="0"/>
        <v>7.9676238652924969</v>
      </c>
      <c r="F6" s="20">
        <f t="shared" si="0"/>
        <v>6.4676238652924969</v>
      </c>
      <c r="G6" s="20">
        <f t="shared" si="0"/>
        <v>4.9676238652924969</v>
      </c>
      <c r="H6" s="20">
        <f t="shared" si="0"/>
        <v>3.4676238652924969</v>
      </c>
      <c r="I6" s="20">
        <f t="shared" si="0"/>
        <v>1.9676238652924967</v>
      </c>
      <c r="J6" s="20">
        <f>Weight_Work!J4</f>
        <v>10.658560968522957</v>
      </c>
      <c r="K6" s="33">
        <f>Weight_Work!B5</f>
        <v>190.34143903147705</v>
      </c>
      <c r="L6" s="3"/>
      <c r="M6" s="3"/>
      <c r="N6" s="3"/>
      <c r="O6" s="3"/>
      <c r="P6" s="3"/>
    </row>
    <row r="7" spans="1:20" x14ac:dyDescent="0.2">
      <c r="A7" s="27">
        <v>4</v>
      </c>
      <c r="B7" s="19">
        <f t="shared" si="1"/>
        <v>16.623498487056661</v>
      </c>
      <c r="C7" s="19">
        <f t="shared" si="0"/>
        <v>14.623498487056663</v>
      </c>
      <c r="D7" s="19">
        <f t="shared" si="0"/>
        <v>12.623498487056663</v>
      </c>
      <c r="E7" s="19">
        <f t="shared" si="0"/>
        <v>10.623498487056663</v>
      </c>
      <c r="F7" s="19">
        <f t="shared" si="0"/>
        <v>8.6234984870566631</v>
      </c>
      <c r="G7" s="19">
        <f t="shared" si="0"/>
        <v>6.6234984870566622</v>
      </c>
      <c r="H7" s="19">
        <f t="shared" si="0"/>
        <v>4.6234984870566622</v>
      </c>
      <c r="I7" s="19">
        <f t="shared" si="0"/>
        <v>2.6234984870566622</v>
      </c>
      <c r="J7" s="19">
        <f>Weight_Work!J5</f>
        <v>14.110813001192788</v>
      </c>
      <c r="K7" s="34">
        <f>Weight_Work!B6</f>
        <v>186.88918699880722</v>
      </c>
      <c r="L7" s="3"/>
      <c r="M7" s="3"/>
      <c r="N7" s="3"/>
      <c r="O7" s="3"/>
      <c r="P7" s="3"/>
    </row>
    <row r="8" spans="1:20" x14ac:dyDescent="0.2">
      <c r="A8">
        <v>5</v>
      </c>
      <c r="B8" s="20">
        <f t="shared" si="1"/>
        <v>20.779373108820828</v>
      </c>
      <c r="C8" s="20">
        <f t="shared" si="0"/>
        <v>18.279373108820828</v>
      </c>
      <c r="D8" s="20">
        <f t="shared" si="0"/>
        <v>15.779373108820829</v>
      </c>
      <c r="E8" s="20">
        <f t="shared" si="0"/>
        <v>13.279373108820829</v>
      </c>
      <c r="F8" s="20">
        <f t="shared" si="0"/>
        <v>10.779373108820829</v>
      </c>
      <c r="G8" s="20">
        <f t="shared" si="0"/>
        <v>8.2793731088208276</v>
      </c>
      <c r="H8" s="20">
        <f t="shared" si="0"/>
        <v>5.7793731088208276</v>
      </c>
      <c r="I8" s="20">
        <f t="shared" si="0"/>
        <v>3.2793731088208276</v>
      </c>
      <c r="J8" s="20">
        <f>Weight_Work!J6</f>
        <v>17.51394752101805</v>
      </c>
      <c r="K8" s="33">
        <f>Weight_Work!B7</f>
        <v>183.48605247898195</v>
      </c>
      <c r="L8" s="3"/>
      <c r="M8" s="3"/>
      <c r="N8" s="3"/>
      <c r="O8" s="3"/>
      <c r="P8" s="3"/>
    </row>
    <row r="9" spans="1:20" x14ac:dyDescent="0.2">
      <c r="A9">
        <v>6</v>
      </c>
      <c r="B9" s="20">
        <f t="shared" si="1"/>
        <v>24.93524773058499</v>
      </c>
      <c r="C9" s="20">
        <f t="shared" si="0"/>
        <v>21.935247730584994</v>
      </c>
      <c r="D9" s="20">
        <f t="shared" si="0"/>
        <v>18.935247730584994</v>
      </c>
      <c r="E9" s="20">
        <f t="shared" si="0"/>
        <v>15.935247730584994</v>
      </c>
      <c r="F9" s="20">
        <f t="shared" si="0"/>
        <v>12.935247730584994</v>
      </c>
      <c r="G9" s="20">
        <f t="shared" si="0"/>
        <v>9.9352477305849938</v>
      </c>
      <c r="H9" s="20">
        <f t="shared" si="0"/>
        <v>6.9352477305849938</v>
      </c>
      <c r="I9" s="20">
        <f t="shared" si="0"/>
        <v>3.9352477305849933</v>
      </c>
      <c r="J9" s="20">
        <f>Weight_Work!J7</f>
        <v>20.868659461327358</v>
      </c>
      <c r="K9" s="33">
        <f>Weight_Work!B8</f>
        <v>180.13134053867265</v>
      </c>
      <c r="L9" s="3"/>
      <c r="M9" s="3"/>
      <c r="N9" s="3"/>
      <c r="O9" s="3"/>
      <c r="P9" s="3"/>
    </row>
    <row r="10" spans="1:20" x14ac:dyDescent="0.2">
      <c r="A10">
        <v>7</v>
      </c>
      <c r="B10" s="20">
        <f t="shared" si="1"/>
        <v>29.091122352349156</v>
      </c>
      <c r="C10" s="20">
        <f t="shared" si="0"/>
        <v>25.59112235234916</v>
      </c>
      <c r="D10" s="20">
        <f t="shared" si="0"/>
        <v>22.09112235234916</v>
      </c>
      <c r="E10" s="20">
        <f t="shared" si="0"/>
        <v>18.59112235234916</v>
      </c>
      <c r="F10" s="20">
        <f t="shared" si="0"/>
        <v>15.09112235234916</v>
      </c>
      <c r="G10" s="20">
        <f t="shared" si="0"/>
        <v>11.591122352349158</v>
      </c>
      <c r="H10" s="20">
        <f t="shared" si="0"/>
        <v>8.0911223523491582</v>
      </c>
      <c r="I10" s="20">
        <f t="shared" si="0"/>
        <v>4.5911223523491591</v>
      </c>
      <c r="J10" s="20">
        <f>Weight_Work!J8</f>
        <v>24.17563392326722</v>
      </c>
      <c r="K10" s="33">
        <f>Weight_Work!B9</f>
        <v>176.82436607673279</v>
      </c>
      <c r="L10" s="3"/>
      <c r="M10" s="3"/>
      <c r="N10" s="3"/>
      <c r="O10" s="3"/>
      <c r="P10" s="3"/>
    </row>
    <row r="11" spans="1:20" x14ac:dyDescent="0.2">
      <c r="A11" s="27">
        <v>8</v>
      </c>
      <c r="B11" s="19">
        <f t="shared" si="1"/>
        <v>33.246996974113323</v>
      </c>
      <c r="C11" s="19">
        <f t="shared" si="0"/>
        <v>29.246996974113326</v>
      </c>
      <c r="D11" s="19">
        <f t="shared" si="0"/>
        <v>25.246996974113326</v>
      </c>
      <c r="E11" s="19">
        <f t="shared" si="0"/>
        <v>21.246996974113326</v>
      </c>
      <c r="F11" s="19">
        <f t="shared" si="0"/>
        <v>17.246996974113326</v>
      </c>
      <c r="G11" s="19">
        <f t="shared" si="0"/>
        <v>13.246996974113324</v>
      </c>
      <c r="H11" s="19">
        <f t="shared" si="0"/>
        <v>9.2469969741133244</v>
      </c>
      <c r="I11" s="19">
        <f t="shared" si="0"/>
        <v>5.2469969741133244</v>
      </c>
      <c r="J11" s="19">
        <f>Weight_Work!J9</f>
        <v>27.435546314911491</v>
      </c>
      <c r="K11" s="34">
        <f>Weight_Work!B10</f>
        <v>173.56445368508852</v>
      </c>
      <c r="L11" s="3"/>
      <c r="M11" s="3"/>
      <c r="N11" s="3"/>
      <c r="O11" s="3"/>
      <c r="P11" s="3"/>
    </row>
    <row r="12" spans="1:20" x14ac:dyDescent="0.2">
      <c r="A12">
        <v>9</v>
      </c>
      <c r="B12" s="20">
        <f t="shared" si="1"/>
        <v>37.402871595877485</v>
      </c>
      <c r="C12" s="20">
        <f t="shared" si="0"/>
        <v>32.902871595877492</v>
      </c>
      <c r="D12" s="20">
        <f t="shared" si="0"/>
        <v>28.402871595877492</v>
      </c>
      <c r="E12" s="20">
        <f t="shared" si="0"/>
        <v>23.902871595877492</v>
      </c>
      <c r="F12" s="20">
        <f t="shared" si="0"/>
        <v>19.402871595877492</v>
      </c>
      <c r="G12" s="20">
        <f t="shared" si="0"/>
        <v>14.902871595877491</v>
      </c>
      <c r="H12" s="20">
        <f t="shared" si="0"/>
        <v>10.402871595877491</v>
      </c>
      <c r="I12" s="20">
        <f t="shared" si="0"/>
        <v>5.9028715958774898</v>
      </c>
      <c r="J12" s="20">
        <f>Weight_Work!J10</f>
        <v>30.649062488402677</v>
      </c>
      <c r="K12" s="33">
        <f>Weight_Work!B11</f>
        <v>170.35093751159732</v>
      </c>
      <c r="L12" s="3"/>
      <c r="M12" s="3"/>
      <c r="N12" s="3"/>
      <c r="O12" s="3"/>
      <c r="P12" s="3"/>
    </row>
    <row r="13" spans="1:20" x14ac:dyDescent="0.2">
      <c r="A13" s="27">
        <v>10</v>
      </c>
      <c r="B13" s="19">
        <f t="shared" si="1"/>
        <v>41.558746217641655</v>
      </c>
      <c r="C13" s="19">
        <f t="shared" si="0"/>
        <v>36.558746217641655</v>
      </c>
      <c r="D13" s="19">
        <f t="shared" si="0"/>
        <v>31.558746217641659</v>
      </c>
      <c r="E13" s="19">
        <f t="shared" si="0"/>
        <v>26.558746217641659</v>
      </c>
      <c r="F13" s="19">
        <f t="shared" si="0"/>
        <v>21.558746217641659</v>
      </c>
      <c r="G13" s="19">
        <f t="shared" si="0"/>
        <v>16.558746217641655</v>
      </c>
      <c r="H13" s="19">
        <f t="shared" si="0"/>
        <v>11.558746217641655</v>
      </c>
      <c r="I13" s="19">
        <f t="shared" si="0"/>
        <v>6.5587462176416551</v>
      </c>
      <c r="J13" s="19">
        <f>Weight_Work!J11</f>
        <v>33.816838875152897</v>
      </c>
      <c r="K13" s="34">
        <f>Weight_Work!B12</f>
        <v>167.18316112484709</v>
      </c>
      <c r="L13" s="3"/>
      <c r="M13" s="3"/>
      <c r="N13" s="3"/>
      <c r="O13" s="3"/>
      <c r="P13" s="3"/>
    </row>
    <row r="14" spans="1:20" x14ac:dyDescent="0.2">
      <c r="A14">
        <v>11</v>
      </c>
      <c r="B14" s="20">
        <f t="shared" si="1"/>
        <v>45.714620839405818</v>
      </c>
      <c r="C14" s="20">
        <f t="shared" si="0"/>
        <v>40.214620839405825</v>
      </c>
      <c r="D14" s="20">
        <f t="shared" si="0"/>
        <v>34.714620839405825</v>
      </c>
      <c r="E14" s="20">
        <f t="shared" si="0"/>
        <v>29.214620839405825</v>
      </c>
      <c r="F14" s="20">
        <f t="shared" si="0"/>
        <v>23.714620839405825</v>
      </c>
      <c r="G14" s="20">
        <f t="shared" si="0"/>
        <v>18.214620839405821</v>
      </c>
      <c r="H14" s="20">
        <f t="shared" si="0"/>
        <v>12.714620839405821</v>
      </c>
      <c r="I14" s="20">
        <f t="shared" si="0"/>
        <v>7.2146208394058213</v>
      </c>
      <c r="J14" s="20">
        <f>Weight_Work!J12</f>
        <v>36.939522619131978</v>
      </c>
      <c r="K14" s="33">
        <f>Weight_Work!B13</f>
        <v>164.06047738086801</v>
      </c>
      <c r="L14" s="3"/>
      <c r="M14" s="3"/>
      <c r="N14" s="3"/>
      <c r="O14" s="3"/>
      <c r="P14" s="3"/>
    </row>
    <row r="15" spans="1:20" x14ac:dyDescent="0.2">
      <c r="A15" s="27">
        <v>12</v>
      </c>
      <c r="B15" s="19">
        <f t="shared" si="1"/>
        <v>49.87049546116998</v>
      </c>
      <c r="C15" s="19">
        <f t="shared" si="0"/>
        <v>43.870495461169988</v>
      </c>
      <c r="D15" s="19">
        <f t="shared" si="0"/>
        <v>37.870495461169988</v>
      </c>
      <c r="E15" s="19">
        <f t="shared" si="0"/>
        <v>31.870495461169988</v>
      </c>
      <c r="F15" s="19">
        <f t="shared" si="0"/>
        <v>25.870495461169988</v>
      </c>
      <c r="G15" s="19">
        <f t="shared" si="0"/>
        <v>19.870495461169988</v>
      </c>
      <c r="H15" s="19">
        <f t="shared" si="0"/>
        <v>13.870495461169988</v>
      </c>
      <c r="I15" s="19">
        <f t="shared" si="0"/>
        <v>7.8704954611699867</v>
      </c>
      <c r="J15" s="19">
        <f>Weight_Work!J13</f>
        <v>40.017751708269728</v>
      </c>
      <c r="K15" s="34">
        <f>Weight_Work!B14</f>
        <v>160.98224829173026</v>
      </c>
      <c r="L15" s="3"/>
      <c r="M15" s="3"/>
      <c r="N15" s="3"/>
      <c r="O15" s="3"/>
      <c r="P15" s="3"/>
    </row>
    <row r="16" spans="1:20" ht="17" thickBot="1" x14ac:dyDescent="0.25"/>
    <row r="17" spans="1:9" ht="17" thickBot="1" x14ac:dyDescent="0.25">
      <c r="B17" s="12" t="s">
        <v>44</v>
      </c>
      <c r="E17" s="46" t="s">
        <v>68</v>
      </c>
      <c r="F17" s="47">
        <f>IF(B32=L1,0.8*B19,IF(B32=M1,0.8*B19,IF(B32=N1,0.8*B19,IF(B32=O1,1.2*B19,IF(B32=P1, 1.6*B19,IF(B32=Q1, 1.6*B19,IF(B32=R1, 1.6*B19)))))))</f>
        <v>72.937653096000005</v>
      </c>
      <c r="G17" s="48">
        <f>IF(B32=L1,B19,IF(B32=M1,B19,IF(B32=N1,B19,IF(B32=O1,1.4*B19,IF(B32=P1, 2*B19,IF(B32=Q1, 2*B19,IF(B32=R1, 2*B19)))))))</f>
        <v>91.17206637000001</v>
      </c>
    </row>
    <row r="18" spans="1:9" ht="17" thickBot="1" x14ac:dyDescent="0.25">
      <c r="A18" s="6" t="s">
        <v>20</v>
      </c>
      <c r="B18" s="7">
        <v>201</v>
      </c>
      <c r="D18" s="13"/>
      <c r="E18" s="51" t="s">
        <v>66</v>
      </c>
      <c r="F18" s="49">
        <f>AVERAGE(F17:G17)</f>
        <v>82.054859733000001</v>
      </c>
      <c r="G18" s="13"/>
      <c r="H18" s="13"/>
      <c r="I18" s="13"/>
    </row>
    <row r="19" spans="1:9" ht="17" thickBot="1" x14ac:dyDescent="0.25">
      <c r="A19" s="6" t="s">
        <v>21</v>
      </c>
      <c r="B19" s="9">
        <f>B18*0.45359237</f>
        <v>91.17206637000001</v>
      </c>
      <c r="G19" s="30"/>
      <c r="H19" s="31"/>
    </row>
    <row r="20" spans="1:9" ht="17" thickBot="1" x14ac:dyDescent="0.25">
      <c r="E20" s="50" t="s">
        <v>62</v>
      </c>
      <c r="F20" s="52" t="s">
        <v>65</v>
      </c>
      <c r="G20" s="52" t="s">
        <v>63</v>
      </c>
      <c r="H20" s="53" t="s">
        <v>74</v>
      </c>
    </row>
    <row r="21" spans="1:9" x14ac:dyDescent="0.2">
      <c r="A21" s="6" t="s">
        <v>22</v>
      </c>
      <c r="B21" s="7">
        <v>5</v>
      </c>
      <c r="C21" s="7">
        <v>7</v>
      </c>
      <c r="E21" s="57" t="s">
        <v>29</v>
      </c>
      <c r="F21" s="61">
        <f>AVERAGE(G21:H21)</f>
        <v>82.054859733000001</v>
      </c>
      <c r="G21" s="61">
        <f>0.8*$B$19</f>
        <v>72.937653096000005</v>
      </c>
      <c r="H21" s="62">
        <f>$B$19</f>
        <v>91.17206637000001</v>
      </c>
    </row>
    <row r="22" spans="1:9" x14ac:dyDescent="0.2">
      <c r="A22" s="6" t="s">
        <v>23</v>
      </c>
      <c r="B22" s="9">
        <f>((B21*12)+C21)/0.3937079</f>
        <v>170.17692558366241</v>
      </c>
      <c r="E22" s="58" t="s">
        <v>30</v>
      </c>
      <c r="F22" s="63"/>
      <c r="G22" s="63"/>
      <c r="H22" s="64"/>
    </row>
    <row r="23" spans="1:9" ht="17" thickBot="1" x14ac:dyDescent="0.25">
      <c r="E23" s="59" t="s">
        <v>69</v>
      </c>
      <c r="F23" s="65"/>
      <c r="G23" s="65"/>
      <c r="H23" s="66"/>
    </row>
    <row r="24" spans="1:9" ht="17" thickBot="1" x14ac:dyDescent="0.25">
      <c r="A24" s="6" t="s">
        <v>24</v>
      </c>
      <c r="B24" s="7" t="s">
        <v>26</v>
      </c>
      <c r="E24" s="60" t="s">
        <v>70</v>
      </c>
      <c r="F24" s="47">
        <f t="shared" ref="F24:F25" si="2">AVERAGE(G24:H25)</f>
        <v>141.31670287349999</v>
      </c>
      <c r="G24" s="47">
        <f>1.2*$B19</f>
        <v>109.40647964400002</v>
      </c>
      <c r="H24" s="48">
        <f>1.4*$B19</f>
        <v>127.64089291800001</v>
      </c>
    </row>
    <row r="25" spans="1:9" x14ac:dyDescent="0.2">
      <c r="A25" s="6" t="s">
        <v>27</v>
      </c>
      <c r="B25" s="7">
        <v>22.42</v>
      </c>
      <c r="E25" s="57" t="s">
        <v>71</v>
      </c>
      <c r="F25" s="61">
        <f t="shared" si="2"/>
        <v>164.109719466</v>
      </c>
      <c r="G25" s="61">
        <f>1.6*B19</f>
        <v>145.87530619200001</v>
      </c>
      <c r="H25" s="62">
        <f>2*B19</f>
        <v>182.34413274000002</v>
      </c>
    </row>
    <row r="26" spans="1:9" x14ac:dyDescent="0.2">
      <c r="E26" s="58" t="s">
        <v>72</v>
      </c>
      <c r="F26" s="4"/>
      <c r="G26" s="4"/>
      <c r="H26" s="54"/>
    </row>
    <row r="27" spans="1:9" ht="17" thickBot="1" x14ac:dyDescent="0.25">
      <c r="A27" s="10" t="s">
        <v>25</v>
      </c>
      <c r="B27" s="11">
        <f>10*B19+6.25*$B$22-5*$B$25+IF(B24="M", 5, -161)</f>
        <v>1868.2264485978903</v>
      </c>
      <c r="E27" s="59" t="s">
        <v>73</v>
      </c>
      <c r="F27" s="55"/>
      <c r="G27" s="55"/>
      <c r="H27" s="56"/>
    </row>
    <row r="28" spans="1:9" x14ac:dyDescent="0.2">
      <c r="A28" s="10" t="s">
        <v>48</v>
      </c>
      <c r="B28" s="11">
        <f>IF(B24="M", 13.397*B19 + 4.799*B22- 5.677*B25 + 88.362,9.247*B19 + 3.098*B22 - 4.33*B25 + 447.593)</f>
        <v>1999.1948990348862</v>
      </c>
    </row>
    <row r="30" spans="1:9" x14ac:dyDescent="0.2">
      <c r="A30" s="6" t="s">
        <v>28</v>
      </c>
      <c r="B30" s="11">
        <f>AVERAGE(B27:B28)</f>
        <v>1933.7106738163884</v>
      </c>
    </row>
    <row r="32" spans="1:9" x14ac:dyDescent="0.2">
      <c r="A32" s="6" t="s">
        <v>36</v>
      </c>
      <c r="B32" s="7" t="s">
        <v>31</v>
      </c>
      <c r="D32" s="4" t="s">
        <v>40</v>
      </c>
    </row>
    <row r="33" spans="1:6" x14ac:dyDescent="0.2">
      <c r="A33" s="6" t="s">
        <v>47</v>
      </c>
      <c r="B33" s="6">
        <f>IF(B32=M1, M2, IF(B32=N1, N2, IF(B32=O1, O2, IF(B32=P1, P2, IF(B32=Q1, Q2, IF(B32=R1, R2))))))</f>
        <v>1.3331556503198294</v>
      </c>
      <c r="D33" s="4" t="s">
        <v>41</v>
      </c>
    </row>
    <row r="34" spans="1:6" x14ac:dyDescent="0.2">
      <c r="A34" s="6" t="s">
        <v>37</v>
      </c>
      <c r="B34" s="11">
        <f>B30*IF(B32=L1, L2, IF(B32=M1, M2, IF(B32=N1, N2, IF(B32=O1, O2, IF(B32=P1, P2, IF(B32=Q1, Q2, IF(B32=R1, R2)))))))</f>
        <v>2577.9373108820828</v>
      </c>
      <c r="D34" s="4" t="s">
        <v>42</v>
      </c>
    </row>
    <row r="35" spans="1:6" x14ac:dyDescent="0.2">
      <c r="D35" s="4"/>
    </row>
    <row r="37" spans="1:6" x14ac:dyDescent="0.2">
      <c r="A37" t="s">
        <v>45</v>
      </c>
      <c r="B37" s="14" t="s">
        <v>46</v>
      </c>
    </row>
    <row r="39" spans="1:6" x14ac:dyDescent="0.2">
      <c r="F39" t="s">
        <v>43</v>
      </c>
    </row>
  </sheetData>
  <conditionalFormatting sqref="B4:J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{DCCDA6CA-50DB-8F47-9DE6-6D0716954D61}</x14:id>
        </ext>
      </extLst>
    </cfRule>
  </conditionalFormatting>
  <conditionalFormatting sqref="F21:F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{86D742D4-4622-3B4B-AE3D-D1027D7EED38}</x14:id>
        </ext>
      </extLst>
    </cfRule>
  </conditionalFormatting>
  <conditionalFormatting sqref="F17:G1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{E779D924-8896-8D45-A1AD-706CAC6C46B7}</x14:id>
        </ext>
      </extLst>
    </cfRule>
  </conditionalFormatting>
  <conditionalFormatting sqref="G21:H2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{EBF4EB89-9DF9-124B-9DD1-34461256773D}</x14:id>
        </ext>
      </extLst>
    </cfRule>
  </conditionalFormatting>
  <conditionalFormatting sqref="G24:H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{FF26B2E6-3221-BD4C-AB3F-11DD55C60DE2}</x14:id>
        </ext>
      </extLst>
    </cfRule>
  </conditionalFormatting>
  <conditionalFormatting sqref="G25:H2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{60859AC6-4406-5040-8CE8-CB8145430170}</x14:id>
        </ext>
      </extLst>
    </cfRule>
  </conditionalFormatting>
  <dataValidations count="1">
    <dataValidation type="list" allowBlank="1" showInputMessage="1" showErrorMessage="1" sqref="B32" xr:uid="{2046EC70-49F2-8B4B-B77E-E9750A106473}">
      <formula1>$L$1:$R$1</formula1>
    </dataValidation>
  </dataValidations>
  <hyperlinks>
    <hyperlink ref="B37" r:id="rId1" xr:uid="{54C5611E-CFDC-BE44-9CCB-D82482E46390}"/>
  </hyperlinks>
  <pageMargins left="0.7" right="0.7" top="0.75" bottom="0.75" header="0.3" footer="0.3"/>
  <pageSetup orientation="portrait" horizontalDpi="0" verticalDpi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CDA6CA-50DB-8F47-9DE6-6D0716954D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B4:J4</xm:sqref>
        </x14:conditionalFormatting>
        <x14:conditionalFormatting xmlns:xm="http://schemas.microsoft.com/office/excel/2006/main">
          <x14:cfRule type="dataBar" id="{86D742D4-4622-3B4B-AE3D-D1027D7EE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F21:F25</xm:sqref>
        </x14:conditionalFormatting>
        <x14:conditionalFormatting xmlns:xm="http://schemas.microsoft.com/office/excel/2006/main">
          <x14:cfRule type="dataBar" id="{E779D924-8896-8D45-A1AD-706CAC6C46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F17:G17</xm:sqref>
        </x14:conditionalFormatting>
        <x14:conditionalFormatting xmlns:xm="http://schemas.microsoft.com/office/excel/2006/main">
          <x14:cfRule type="dataBar" id="{EBF4EB89-9DF9-124B-9DD1-3446125677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G21:H21</xm:sqref>
        </x14:conditionalFormatting>
        <x14:conditionalFormatting xmlns:xm="http://schemas.microsoft.com/office/excel/2006/main">
          <x14:cfRule type="dataBar" id="{FF26B2E6-3221-BD4C-AB3F-11DD55C60D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G24:H24</xm:sqref>
        </x14:conditionalFormatting>
        <x14:conditionalFormatting xmlns:xm="http://schemas.microsoft.com/office/excel/2006/main">
          <x14:cfRule type="dataBar" id="{60859AC6-4406-5040-8CE8-CB81454301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G25:H25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E95B0-08CE-DD4A-9F71-F2BA2891D7AD}">
  <dimension ref="A1:M28"/>
  <sheetViews>
    <sheetView workbookViewId="0">
      <selection activeCell="E9" sqref="E9"/>
    </sheetView>
  </sheetViews>
  <sheetFormatPr baseColWidth="10" defaultRowHeight="16" x14ac:dyDescent="0.2"/>
  <cols>
    <col min="1" max="1" width="12.6640625" bestFit="1" customWidth="1"/>
    <col min="2" max="2" width="7.6640625" bestFit="1" customWidth="1"/>
    <col min="3" max="3" width="23.6640625" bestFit="1" customWidth="1"/>
    <col min="4" max="4" width="17.83203125" bestFit="1" customWidth="1"/>
    <col min="5" max="5" width="23.6640625" bestFit="1" customWidth="1"/>
    <col min="6" max="6" width="17.83203125" bestFit="1" customWidth="1"/>
    <col min="7" max="7" width="15.6640625" bestFit="1" customWidth="1"/>
    <col min="8" max="8" width="10.5" bestFit="1" customWidth="1"/>
    <col min="9" max="9" width="13.33203125" bestFit="1" customWidth="1"/>
    <col min="11" max="11" width="12.6640625" bestFit="1" customWidth="1"/>
    <col min="13" max="13" width="13.33203125" bestFit="1" customWidth="1"/>
  </cols>
  <sheetData>
    <row r="1" spans="1:13" ht="17" thickBot="1" x14ac:dyDescent="0.25">
      <c r="A1" s="73" t="s">
        <v>77</v>
      </c>
    </row>
    <row r="2" spans="1:13" ht="17" thickBot="1" x14ac:dyDescent="0.25">
      <c r="B2" s="77">
        <v>45347</v>
      </c>
      <c r="C2" s="101">
        <v>45388</v>
      </c>
      <c r="D2" s="83">
        <v>45395</v>
      </c>
      <c r="E2" s="83">
        <v>45437</v>
      </c>
      <c r="F2" s="78">
        <v>45479</v>
      </c>
    </row>
    <row r="3" spans="1:13" x14ac:dyDescent="0.2">
      <c r="A3" s="35"/>
      <c r="B3" s="74" t="s">
        <v>56</v>
      </c>
      <c r="C3" s="75" t="s">
        <v>67</v>
      </c>
      <c r="D3" s="76" t="s">
        <v>75</v>
      </c>
      <c r="E3" s="75" t="s">
        <v>76</v>
      </c>
      <c r="F3" s="100" t="s">
        <v>87</v>
      </c>
    </row>
    <row r="4" spans="1:13" x14ac:dyDescent="0.2">
      <c r="A4" s="38" t="s">
        <v>57</v>
      </c>
      <c r="B4" s="40">
        <v>201</v>
      </c>
      <c r="C4" s="42">
        <v>178.9</v>
      </c>
      <c r="D4" s="40">
        <v>177.4</v>
      </c>
      <c r="E4" s="44">
        <f>165+0.46*6</f>
        <v>167.76</v>
      </c>
      <c r="F4" s="40">
        <f>160.4+0.46*6</f>
        <v>163.16</v>
      </c>
    </row>
    <row r="5" spans="1:13" x14ac:dyDescent="0.2">
      <c r="A5" s="39" t="s">
        <v>58</v>
      </c>
      <c r="B5" s="72">
        <v>0.27400000000000002</v>
      </c>
      <c r="C5" s="43">
        <f>C6/C4</f>
        <v>0.18431525992174408</v>
      </c>
      <c r="D5" s="41">
        <f>D6/D4</f>
        <v>0.17741826381059761</v>
      </c>
      <c r="E5" s="45">
        <f>E6/E4</f>
        <v>0.11369814020028621</v>
      </c>
      <c r="F5" s="41">
        <f>F6/F4</f>
        <v>7.179455748958094E-2</v>
      </c>
    </row>
    <row r="6" spans="1:13" x14ac:dyDescent="0.2">
      <c r="A6" s="39" t="s">
        <v>60</v>
      </c>
      <c r="B6" s="20">
        <f>B4*B5</f>
        <v>55.074000000000005</v>
      </c>
      <c r="C6" s="67">
        <f>C4-C7</f>
        <v>32.974000000000018</v>
      </c>
      <c r="D6" s="20">
        <f>D4-D7</f>
        <v>31.474000000000018</v>
      </c>
      <c r="E6" s="68">
        <f>E4-E7</f>
        <v>19.074000000000012</v>
      </c>
      <c r="F6" s="20">
        <f>F4-F7</f>
        <v>11.714000000000027</v>
      </c>
    </row>
    <row r="7" spans="1:13" x14ac:dyDescent="0.2">
      <c r="A7" s="28" t="s">
        <v>59</v>
      </c>
      <c r="B7" s="69">
        <f>B4-B6</f>
        <v>145.92599999999999</v>
      </c>
      <c r="C7" s="70">
        <f>B7</f>
        <v>145.92599999999999</v>
      </c>
      <c r="D7" s="69">
        <f>B7</f>
        <v>145.92599999999999</v>
      </c>
      <c r="E7" s="71">
        <f>D7+0.46*6</f>
        <v>148.68599999999998</v>
      </c>
      <c r="F7" s="69">
        <f>E7+0.46*6</f>
        <v>151.44599999999997</v>
      </c>
    </row>
    <row r="9" spans="1:13" x14ac:dyDescent="0.2">
      <c r="A9" s="81" t="s">
        <v>78</v>
      </c>
      <c r="B9" s="37" t="s">
        <v>83</v>
      </c>
      <c r="C9" s="80" t="s">
        <v>84</v>
      </c>
      <c r="D9" s="36" t="s">
        <v>85</v>
      </c>
      <c r="E9" s="80" t="s">
        <v>86</v>
      </c>
      <c r="F9" s="37" t="s">
        <v>57</v>
      </c>
      <c r="G9" s="80" t="s">
        <v>79</v>
      </c>
      <c r="H9" s="37" t="s">
        <v>58</v>
      </c>
      <c r="I9" s="80" t="s">
        <v>80</v>
      </c>
      <c r="J9" s="37" t="s">
        <v>60</v>
      </c>
      <c r="K9" s="80" t="s">
        <v>81</v>
      </c>
      <c r="L9" s="36" t="s">
        <v>59</v>
      </c>
      <c r="M9" s="80" t="s">
        <v>82</v>
      </c>
    </row>
    <row r="10" spans="1:13" x14ac:dyDescent="0.2">
      <c r="A10" s="97">
        <v>45353</v>
      </c>
      <c r="B10" s="35">
        <v>776</v>
      </c>
      <c r="C10" s="92">
        <v>0</v>
      </c>
      <c r="D10" s="91">
        <v>83.3</v>
      </c>
      <c r="E10" s="92">
        <v>0</v>
      </c>
      <c r="F10" s="35"/>
      <c r="G10" s="92">
        <f>201-F10</f>
        <v>201</v>
      </c>
      <c r="H10" s="35"/>
      <c r="I10" s="98">
        <f>27.4%-H10</f>
        <v>0.27399999999999997</v>
      </c>
      <c r="J10" s="35"/>
      <c r="K10" s="92">
        <f>55.07-J10</f>
        <v>55.07</v>
      </c>
      <c r="L10" s="91"/>
      <c r="M10" s="92">
        <f>145.9-L10</f>
        <v>145.9</v>
      </c>
    </row>
    <row r="11" spans="1:13" x14ac:dyDescent="0.2">
      <c r="A11" s="84">
        <v>45360</v>
      </c>
      <c r="B11" s="93">
        <v>623</v>
      </c>
      <c r="C11" s="95">
        <f>B10-B11</f>
        <v>153</v>
      </c>
      <c r="D11" s="94">
        <v>80.599999999999994</v>
      </c>
      <c r="E11" s="95">
        <f>D10-D11</f>
        <v>2.7000000000000028</v>
      </c>
      <c r="F11" s="93"/>
      <c r="G11" s="95">
        <f>F10-F11</f>
        <v>0</v>
      </c>
      <c r="H11" s="93"/>
      <c r="I11" s="99">
        <f>H10-H11</f>
        <v>0</v>
      </c>
      <c r="J11" s="93"/>
      <c r="K11" s="95">
        <f>J10-J11</f>
        <v>0</v>
      </c>
      <c r="L11" s="94"/>
      <c r="M11" s="95">
        <f>L10-L11</f>
        <v>0</v>
      </c>
    </row>
    <row r="12" spans="1:13" x14ac:dyDescent="0.2">
      <c r="A12" s="82">
        <v>45367</v>
      </c>
      <c r="B12" s="85">
        <v>1024</v>
      </c>
      <c r="C12" s="86">
        <f t="shared" ref="C12:C28" si="0">B11-B12</f>
        <v>-401</v>
      </c>
      <c r="D12">
        <v>77.400000000000006</v>
      </c>
      <c r="E12" s="86">
        <f t="shared" ref="E12:E28" si="1">D11-D12</f>
        <v>3.1999999999999886</v>
      </c>
      <c r="F12" s="85"/>
      <c r="G12" s="86">
        <f t="shared" ref="G12:G21" si="2">F11-F12</f>
        <v>0</v>
      </c>
      <c r="H12" s="85"/>
      <c r="I12" s="89">
        <f t="shared" ref="I12:I22" si="3">H11-H12</f>
        <v>0</v>
      </c>
      <c r="J12" s="85"/>
      <c r="K12" s="86">
        <f t="shared" ref="K12:K22" si="4">J11-J12</f>
        <v>0</v>
      </c>
      <c r="M12" s="86">
        <f t="shared" ref="M12:M22" si="5">L11-L12</f>
        <v>0</v>
      </c>
    </row>
    <row r="13" spans="1:13" x14ac:dyDescent="0.2">
      <c r="A13" s="82">
        <v>45374</v>
      </c>
      <c r="B13" s="85"/>
      <c r="C13" s="86">
        <f t="shared" si="0"/>
        <v>1024</v>
      </c>
      <c r="E13" s="86">
        <f t="shared" si="1"/>
        <v>77.400000000000006</v>
      </c>
      <c r="F13" s="85"/>
      <c r="G13" s="86">
        <f t="shared" si="2"/>
        <v>0</v>
      </c>
      <c r="H13" s="85"/>
      <c r="I13" s="89">
        <f t="shared" si="3"/>
        <v>0</v>
      </c>
      <c r="J13" s="85"/>
      <c r="K13" s="86">
        <f t="shared" si="4"/>
        <v>0</v>
      </c>
      <c r="M13" s="86">
        <f t="shared" si="5"/>
        <v>0</v>
      </c>
    </row>
    <row r="14" spans="1:13" x14ac:dyDescent="0.2">
      <c r="A14" s="82">
        <v>45381</v>
      </c>
      <c r="B14" s="85"/>
      <c r="C14" s="86">
        <f t="shared" si="0"/>
        <v>0</v>
      </c>
      <c r="E14" s="86">
        <f t="shared" si="1"/>
        <v>0</v>
      </c>
      <c r="F14" s="85"/>
      <c r="G14" s="86">
        <f t="shared" si="2"/>
        <v>0</v>
      </c>
      <c r="H14" s="85"/>
      <c r="I14" s="89">
        <f t="shared" si="3"/>
        <v>0</v>
      </c>
      <c r="J14" s="85"/>
      <c r="K14" s="86">
        <f t="shared" si="4"/>
        <v>0</v>
      </c>
      <c r="M14" s="86">
        <f t="shared" si="5"/>
        <v>0</v>
      </c>
    </row>
    <row r="15" spans="1:13" ht="17" thickBot="1" x14ac:dyDescent="0.25">
      <c r="A15" s="82">
        <v>45388</v>
      </c>
      <c r="B15" s="85"/>
      <c r="C15" s="86">
        <f t="shared" si="0"/>
        <v>0</v>
      </c>
      <c r="E15" s="86">
        <f t="shared" si="1"/>
        <v>0</v>
      </c>
      <c r="F15" s="85"/>
      <c r="G15" s="86">
        <f t="shared" si="2"/>
        <v>0</v>
      </c>
      <c r="H15" s="85"/>
      <c r="I15" s="89">
        <f t="shared" si="3"/>
        <v>0</v>
      </c>
      <c r="J15" s="85"/>
      <c r="K15" s="86">
        <f t="shared" si="4"/>
        <v>0</v>
      </c>
      <c r="M15" s="86">
        <f t="shared" si="5"/>
        <v>0</v>
      </c>
    </row>
    <row r="16" spans="1:13" ht="17" thickBot="1" x14ac:dyDescent="0.25">
      <c r="A16" s="96">
        <v>45395</v>
      </c>
      <c r="B16" s="79">
        <v>2000</v>
      </c>
      <c r="C16" s="88">
        <f t="shared" si="0"/>
        <v>-2000</v>
      </c>
      <c r="D16" s="79"/>
      <c r="E16" s="79">
        <f t="shared" si="1"/>
        <v>0</v>
      </c>
      <c r="F16" s="87"/>
      <c r="G16" s="79">
        <f t="shared" si="2"/>
        <v>0</v>
      </c>
      <c r="H16" s="79"/>
      <c r="I16" s="90">
        <f t="shared" si="3"/>
        <v>0</v>
      </c>
      <c r="J16" s="79"/>
      <c r="K16" s="88">
        <f t="shared" si="4"/>
        <v>0</v>
      </c>
      <c r="L16" s="79"/>
      <c r="M16" s="88">
        <f t="shared" si="5"/>
        <v>0</v>
      </c>
    </row>
    <row r="17" spans="1:13" x14ac:dyDescent="0.2">
      <c r="A17" s="82">
        <v>45402</v>
      </c>
      <c r="B17" s="85">
        <v>1500</v>
      </c>
      <c r="C17" s="86">
        <f t="shared" si="0"/>
        <v>500</v>
      </c>
      <c r="E17" s="86">
        <f t="shared" si="1"/>
        <v>0</v>
      </c>
      <c r="F17" s="85"/>
      <c r="G17" s="86">
        <f t="shared" si="2"/>
        <v>0</v>
      </c>
      <c r="H17" s="85"/>
      <c r="I17" s="89">
        <f t="shared" si="3"/>
        <v>0</v>
      </c>
      <c r="J17" s="85"/>
      <c r="K17" s="86">
        <f t="shared" si="4"/>
        <v>0</v>
      </c>
      <c r="M17" s="86">
        <f t="shared" si="5"/>
        <v>0</v>
      </c>
    </row>
    <row r="18" spans="1:13" x14ac:dyDescent="0.2">
      <c r="A18" s="82">
        <v>45409</v>
      </c>
      <c r="B18" s="85"/>
      <c r="C18" s="86">
        <f t="shared" si="0"/>
        <v>1500</v>
      </c>
      <c r="E18" s="86">
        <f t="shared" si="1"/>
        <v>0</v>
      </c>
      <c r="F18" s="85"/>
      <c r="G18" s="86">
        <f t="shared" si="2"/>
        <v>0</v>
      </c>
      <c r="H18" s="85"/>
      <c r="I18" s="89">
        <f t="shared" si="3"/>
        <v>0</v>
      </c>
      <c r="J18" s="85"/>
      <c r="K18" s="86">
        <f t="shared" si="4"/>
        <v>0</v>
      </c>
      <c r="M18" s="86">
        <f t="shared" si="5"/>
        <v>0</v>
      </c>
    </row>
    <row r="19" spans="1:13" x14ac:dyDescent="0.2">
      <c r="A19" s="82">
        <v>45416</v>
      </c>
      <c r="B19" s="85"/>
      <c r="C19" s="86">
        <f t="shared" si="0"/>
        <v>0</v>
      </c>
      <c r="E19" s="86">
        <f t="shared" si="1"/>
        <v>0</v>
      </c>
      <c r="F19" s="85"/>
      <c r="G19" s="86">
        <f t="shared" si="2"/>
        <v>0</v>
      </c>
      <c r="H19" s="85"/>
      <c r="I19" s="89">
        <f t="shared" si="3"/>
        <v>0</v>
      </c>
      <c r="J19" s="85"/>
      <c r="K19" s="86">
        <f t="shared" si="4"/>
        <v>0</v>
      </c>
      <c r="M19" s="86">
        <f t="shared" si="5"/>
        <v>0</v>
      </c>
    </row>
    <row r="20" spans="1:13" x14ac:dyDescent="0.2">
      <c r="A20" s="82">
        <v>45423</v>
      </c>
      <c r="B20" s="85"/>
      <c r="C20" s="86">
        <f t="shared" si="0"/>
        <v>0</v>
      </c>
      <c r="E20" s="86">
        <f t="shared" si="1"/>
        <v>0</v>
      </c>
      <c r="F20" s="85"/>
      <c r="G20" s="86">
        <f t="shared" si="2"/>
        <v>0</v>
      </c>
      <c r="H20" s="85"/>
      <c r="I20" s="89">
        <f t="shared" si="3"/>
        <v>0</v>
      </c>
      <c r="J20" s="85"/>
      <c r="K20" s="86">
        <f t="shared" si="4"/>
        <v>0</v>
      </c>
      <c r="M20" s="86">
        <f t="shared" si="5"/>
        <v>0</v>
      </c>
    </row>
    <row r="21" spans="1:13" x14ac:dyDescent="0.2">
      <c r="A21" s="82">
        <v>45430</v>
      </c>
      <c r="B21" s="85"/>
      <c r="C21" s="86">
        <f t="shared" si="0"/>
        <v>0</v>
      </c>
      <c r="E21" s="86">
        <f t="shared" si="1"/>
        <v>0</v>
      </c>
      <c r="F21" s="85"/>
      <c r="G21" s="86">
        <f t="shared" si="2"/>
        <v>0</v>
      </c>
      <c r="H21" s="85"/>
      <c r="I21" s="89">
        <f t="shared" si="3"/>
        <v>0</v>
      </c>
      <c r="J21" s="85"/>
      <c r="K21" s="86">
        <f t="shared" si="4"/>
        <v>0</v>
      </c>
      <c r="M21" s="86">
        <f t="shared" si="5"/>
        <v>0</v>
      </c>
    </row>
    <row r="22" spans="1:13" x14ac:dyDescent="0.2">
      <c r="A22" s="84">
        <v>45437</v>
      </c>
      <c r="B22" s="93"/>
      <c r="C22" s="95">
        <f t="shared" si="0"/>
        <v>0</v>
      </c>
      <c r="D22" s="94"/>
      <c r="E22" s="95">
        <f t="shared" si="1"/>
        <v>0</v>
      </c>
      <c r="F22" s="93"/>
      <c r="G22" s="95">
        <f>F21-F22</f>
        <v>0</v>
      </c>
      <c r="H22" s="93"/>
      <c r="I22" s="99">
        <f t="shared" si="3"/>
        <v>0</v>
      </c>
      <c r="J22" s="93"/>
      <c r="K22" s="95">
        <f t="shared" si="4"/>
        <v>0</v>
      </c>
      <c r="L22" s="94"/>
      <c r="M22" s="95">
        <f t="shared" si="5"/>
        <v>0</v>
      </c>
    </row>
    <row r="23" spans="1:13" x14ac:dyDescent="0.2">
      <c r="A23" s="82">
        <v>45444</v>
      </c>
      <c r="B23" s="85">
        <v>2000</v>
      </c>
      <c r="C23" s="86">
        <f t="shared" si="0"/>
        <v>-2000</v>
      </c>
      <c r="E23" s="86">
        <f t="shared" si="1"/>
        <v>0</v>
      </c>
      <c r="F23" s="85"/>
      <c r="G23" s="86">
        <f t="shared" ref="G23:G27" si="6">F22-F23</f>
        <v>0</v>
      </c>
      <c r="H23" s="85"/>
      <c r="I23" s="89">
        <f t="shared" ref="I23:I28" si="7">H22-H23</f>
        <v>0</v>
      </c>
      <c r="J23" s="85"/>
      <c r="K23" s="86">
        <f t="shared" ref="K23:K28" si="8">J22-J23</f>
        <v>0</v>
      </c>
      <c r="M23" s="86">
        <f t="shared" ref="M23:M28" si="9">L22-L23</f>
        <v>0</v>
      </c>
    </row>
    <row r="24" spans="1:13" x14ac:dyDescent="0.2">
      <c r="A24" s="82">
        <v>45451</v>
      </c>
      <c r="B24" s="85"/>
      <c r="C24" s="86">
        <f t="shared" si="0"/>
        <v>2000</v>
      </c>
      <c r="E24" s="86">
        <f t="shared" si="1"/>
        <v>0</v>
      </c>
      <c r="F24" s="85"/>
      <c r="G24" s="86">
        <f t="shared" si="6"/>
        <v>0</v>
      </c>
      <c r="H24" s="85"/>
      <c r="I24" s="89">
        <f t="shared" si="7"/>
        <v>0</v>
      </c>
      <c r="J24" s="85"/>
      <c r="K24" s="86">
        <f t="shared" si="8"/>
        <v>0</v>
      </c>
      <c r="M24" s="86">
        <f t="shared" si="9"/>
        <v>0</v>
      </c>
    </row>
    <row r="25" spans="1:13" x14ac:dyDescent="0.2">
      <c r="A25" s="82">
        <v>45458</v>
      </c>
      <c r="B25" s="85"/>
      <c r="C25" s="86">
        <f t="shared" si="0"/>
        <v>0</v>
      </c>
      <c r="E25" s="86">
        <f t="shared" si="1"/>
        <v>0</v>
      </c>
      <c r="F25" s="85"/>
      <c r="G25" s="86">
        <f t="shared" si="6"/>
        <v>0</v>
      </c>
      <c r="H25" s="85"/>
      <c r="I25" s="89">
        <f t="shared" si="7"/>
        <v>0</v>
      </c>
      <c r="J25" s="85"/>
      <c r="K25" s="86">
        <f t="shared" si="8"/>
        <v>0</v>
      </c>
      <c r="M25" s="86">
        <f t="shared" si="9"/>
        <v>0</v>
      </c>
    </row>
    <row r="26" spans="1:13" x14ac:dyDescent="0.2">
      <c r="A26" s="82">
        <v>45465</v>
      </c>
      <c r="B26" s="85"/>
      <c r="C26" s="86">
        <f t="shared" si="0"/>
        <v>0</v>
      </c>
      <c r="E26" s="86">
        <f t="shared" si="1"/>
        <v>0</v>
      </c>
      <c r="F26" s="85"/>
      <c r="G26" s="86">
        <f t="shared" si="6"/>
        <v>0</v>
      </c>
      <c r="H26" s="85"/>
      <c r="I26" s="89">
        <f t="shared" si="7"/>
        <v>0</v>
      </c>
      <c r="J26" s="85"/>
      <c r="K26" s="86">
        <f t="shared" si="8"/>
        <v>0</v>
      </c>
      <c r="M26" s="86">
        <f t="shared" si="9"/>
        <v>0</v>
      </c>
    </row>
    <row r="27" spans="1:13" x14ac:dyDescent="0.2">
      <c r="A27" s="82">
        <v>45472</v>
      </c>
      <c r="B27" s="85"/>
      <c r="C27" s="86">
        <f t="shared" si="0"/>
        <v>0</v>
      </c>
      <c r="E27" s="86">
        <f t="shared" si="1"/>
        <v>0</v>
      </c>
      <c r="F27" s="85"/>
      <c r="G27" s="86">
        <f t="shared" si="6"/>
        <v>0</v>
      </c>
      <c r="H27" s="85"/>
      <c r="I27" s="89">
        <f t="shared" si="7"/>
        <v>0</v>
      </c>
      <c r="J27" s="85"/>
      <c r="K27" s="86">
        <f t="shared" si="8"/>
        <v>0</v>
      </c>
      <c r="M27" s="86">
        <f t="shared" si="9"/>
        <v>0</v>
      </c>
    </row>
    <row r="28" spans="1:13" x14ac:dyDescent="0.2">
      <c r="A28" s="84">
        <v>45479</v>
      </c>
      <c r="B28" s="93"/>
      <c r="C28" s="95">
        <f t="shared" si="0"/>
        <v>0</v>
      </c>
      <c r="D28" s="94"/>
      <c r="E28" s="95">
        <f t="shared" si="1"/>
        <v>0</v>
      </c>
      <c r="F28" s="93"/>
      <c r="G28" s="95">
        <f>F27-F28</f>
        <v>0</v>
      </c>
      <c r="H28" s="93"/>
      <c r="I28" s="99">
        <f t="shared" si="7"/>
        <v>0</v>
      </c>
      <c r="J28" s="93"/>
      <c r="K28" s="95">
        <f t="shared" si="8"/>
        <v>0</v>
      </c>
      <c r="L28" s="94"/>
      <c r="M28" s="95">
        <f t="shared" si="9"/>
        <v>0</v>
      </c>
    </row>
  </sheetData>
  <conditionalFormatting sqref="B5:F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{7C48F40C-C878-2E42-B737-53FA2C8EAF10}</x14:id>
        </ext>
      </extLst>
    </cfRule>
  </conditionalFormatting>
  <conditionalFormatting sqref="B6:F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{919B8F58-A5ED-5A40-906D-E8FD56502875}</x14:id>
        </ext>
      </extLst>
    </cfRule>
  </conditionalFormatting>
  <conditionalFormatting sqref="G10:G28">
    <cfRule type="cellIs" dxfId="7" priority="10" operator="greaterThanOrEqual">
      <formula>0</formula>
    </cfRule>
    <cfRule type="cellIs" dxfId="6" priority="11" operator="lessThan">
      <formula>0</formula>
    </cfRule>
  </conditionalFormatting>
  <conditionalFormatting sqref="I10:I28">
    <cfRule type="cellIs" dxfId="5" priority="8" operator="lessThan">
      <formula>0</formula>
    </cfRule>
    <cfRule type="cellIs" dxfId="4" priority="9" operator="greaterThanOrEqual">
      <formula>0</formula>
    </cfRule>
  </conditionalFormatting>
  <conditionalFormatting sqref="K10:K28">
    <cfRule type="cellIs" dxfId="3" priority="6" operator="lessThan">
      <formula>0</formula>
    </cfRule>
    <cfRule type="cellIs" dxfId="2" priority="7" operator="greaterThanOrEqual">
      <formula>0</formula>
    </cfRule>
  </conditionalFormatting>
  <conditionalFormatting sqref="M10:M28">
    <cfRule type="cellIs" dxfId="1" priority="4" operator="lessThan">
      <formula>0</formula>
    </cfRule>
    <cfRule type="cellIs" dxfId="0" priority="5" operator="greaterThanOrEqual">
      <formula>0</formula>
    </cfRule>
  </conditionalFormatting>
  <pageMargins left="0.7" right="0.7" top="0.75" bottom="0.75" header="0.3" footer="0.3"/>
  <ignoredErrors>
    <ignoredError sqref="D7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48F40C-C878-2E42-B737-53FA2C8EAF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B5:F5</xm:sqref>
        </x14:conditionalFormatting>
        <x14:conditionalFormatting xmlns:xm="http://schemas.microsoft.com/office/excel/2006/main">
          <x14:cfRule type="dataBar" id="{919B8F58-A5ED-5A40-906D-E8FD56502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B6:F6</xm:sqref>
        </x14:conditionalFormatting>
        <x14:conditionalFormatting xmlns:xm="http://schemas.microsoft.com/office/excel/2006/main">
          <x14:cfRule type="iconSet" priority="1" id="{35E73314-0CBD-8542-AF56-7309512B0EC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C10:C28</xm:sqref>
        </x14:conditionalFormatting>
        <x14:conditionalFormatting xmlns:xm="http://schemas.microsoft.com/office/excel/2006/main">
          <x14:cfRule type="iconSet" priority="2" id="{DA306D8F-2D8E-924E-8770-462EB74CBB0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2"/>
              <x14:cfIcon iconSet="3Arrows" iconId="1"/>
              <x14:cfIcon iconSet="3Arrows" iconId="0"/>
            </x14:iconSet>
          </x14:cfRule>
          <xm:sqref>E10:E28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C2B6-77C8-C149-8580-8368901CD51E}">
  <dimension ref="A1:C32"/>
  <sheetViews>
    <sheetView workbookViewId="0">
      <selection activeCell="C28" sqref="C28"/>
    </sheetView>
  </sheetViews>
  <sheetFormatPr baseColWidth="10" defaultRowHeight="16" x14ac:dyDescent="0.2"/>
  <cols>
    <col min="2" max="2" width="32.5" customWidth="1"/>
    <col min="3" max="3" width="21.6640625" customWidth="1"/>
  </cols>
  <sheetData>
    <row r="1" spans="1:3" ht="17" x14ac:dyDescent="0.2">
      <c r="A1" s="2"/>
      <c r="C1" s="1"/>
    </row>
    <row r="2" spans="1:3" x14ac:dyDescent="0.2">
      <c r="A2" t="s">
        <v>9</v>
      </c>
      <c r="B2" t="s">
        <v>1</v>
      </c>
    </row>
    <row r="3" spans="1:3" x14ac:dyDescent="0.2">
      <c r="B3" t="s">
        <v>19</v>
      </c>
    </row>
    <row r="4" spans="1:3" x14ac:dyDescent="0.2">
      <c r="B4" t="s">
        <v>2</v>
      </c>
    </row>
    <row r="5" spans="1:3" x14ac:dyDescent="0.2">
      <c r="B5" t="s">
        <v>17</v>
      </c>
    </row>
    <row r="6" spans="1:3" x14ac:dyDescent="0.2">
      <c r="B6" t="s">
        <v>10</v>
      </c>
    </row>
    <row r="7" spans="1:3" x14ac:dyDescent="0.2">
      <c r="B7" t="s">
        <v>11</v>
      </c>
    </row>
    <row r="9" spans="1:3" x14ac:dyDescent="0.2">
      <c r="A9" t="s">
        <v>12</v>
      </c>
      <c r="B9" t="s">
        <v>8</v>
      </c>
    </row>
    <row r="10" spans="1:3" x14ac:dyDescent="0.2">
      <c r="B10" t="s">
        <v>10</v>
      </c>
    </row>
    <row r="11" spans="1:3" x14ac:dyDescent="0.2">
      <c r="B11" t="s">
        <v>11</v>
      </c>
    </row>
    <row r="13" spans="1:3" x14ac:dyDescent="0.2">
      <c r="A13" t="s">
        <v>13</v>
      </c>
      <c r="B13" t="s">
        <v>14</v>
      </c>
    </row>
    <row r="15" spans="1:3" x14ac:dyDescent="0.2">
      <c r="A15" t="s">
        <v>15</v>
      </c>
      <c r="B15" t="s">
        <v>8</v>
      </c>
    </row>
    <row r="16" spans="1:3" x14ac:dyDescent="0.2">
      <c r="B16" t="s">
        <v>1</v>
      </c>
    </row>
    <row r="17" spans="1:2" x14ac:dyDescent="0.2">
      <c r="B17" t="s">
        <v>19</v>
      </c>
    </row>
    <row r="18" spans="1:2" x14ac:dyDescent="0.2">
      <c r="B18" t="s">
        <v>2</v>
      </c>
    </row>
    <row r="19" spans="1:2" x14ac:dyDescent="0.2">
      <c r="B19" t="s">
        <v>17</v>
      </c>
    </row>
    <row r="21" spans="1:2" x14ac:dyDescent="0.2">
      <c r="A21" t="s">
        <v>16</v>
      </c>
      <c r="B21" t="s">
        <v>18</v>
      </c>
    </row>
    <row r="23" spans="1:2" x14ac:dyDescent="0.2">
      <c r="A23" t="s">
        <v>0</v>
      </c>
      <c r="B23" t="s">
        <v>1</v>
      </c>
    </row>
    <row r="24" spans="1:2" x14ac:dyDescent="0.2">
      <c r="B24" t="s">
        <v>2</v>
      </c>
    </row>
    <row r="25" spans="1:2" x14ac:dyDescent="0.2">
      <c r="B25" t="s">
        <v>19</v>
      </c>
    </row>
    <row r="26" spans="1:2" x14ac:dyDescent="0.2">
      <c r="B26" t="s">
        <v>17</v>
      </c>
    </row>
    <row r="28" spans="1:2" x14ac:dyDescent="0.2">
      <c r="A28" t="s">
        <v>3</v>
      </c>
      <c r="B28" t="s">
        <v>4</v>
      </c>
    </row>
    <row r="29" spans="1:2" x14ac:dyDescent="0.2">
      <c r="B29" t="s">
        <v>5</v>
      </c>
    </row>
    <row r="30" spans="1:2" x14ac:dyDescent="0.2">
      <c r="B30" t="s">
        <v>6</v>
      </c>
    </row>
    <row r="31" spans="1:2" x14ac:dyDescent="0.2">
      <c r="B31" t="s">
        <v>7</v>
      </c>
    </row>
    <row r="32" spans="1:2" x14ac:dyDescent="0.2">
      <c r="B3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8A32-3608-3A44-92A7-E4809FA70D04}">
  <dimension ref="A1:K14"/>
  <sheetViews>
    <sheetView workbookViewId="0">
      <selection activeCell="H31" sqref="H31"/>
    </sheetView>
  </sheetViews>
  <sheetFormatPr baseColWidth="10" defaultRowHeight="16" x14ac:dyDescent="0.2"/>
  <cols>
    <col min="2" max="2" width="15.83203125" bestFit="1" customWidth="1"/>
    <col min="3" max="3" width="15.33203125" bestFit="1" customWidth="1"/>
    <col min="6" max="6" width="20.6640625" bestFit="1" customWidth="1"/>
    <col min="7" max="7" width="29.1640625" bestFit="1" customWidth="1"/>
    <col min="8" max="8" width="12.1640625" bestFit="1" customWidth="1"/>
    <col min="9" max="9" width="24.6640625" bestFit="1" customWidth="1"/>
    <col min="10" max="10" width="15.83203125" bestFit="1" customWidth="1"/>
    <col min="11" max="11" width="11.33203125" bestFit="1" customWidth="1"/>
  </cols>
  <sheetData>
    <row r="1" spans="1:11" x14ac:dyDescent="0.2">
      <c r="A1" s="10" t="s">
        <v>50</v>
      </c>
      <c r="B1" s="10" t="s">
        <v>53</v>
      </c>
      <c r="C1" s="10" t="s">
        <v>54</v>
      </c>
      <c r="D1" s="10" t="s">
        <v>27</v>
      </c>
      <c r="E1" s="10" t="s">
        <v>47</v>
      </c>
      <c r="F1" s="10" t="s">
        <v>25</v>
      </c>
      <c r="G1" s="10" t="s">
        <v>48</v>
      </c>
      <c r="H1" s="10" t="s">
        <v>49</v>
      </c>
      <c r="I1" s="10" t="s">
        <v>51</v>
      </c>
      <c r="J1" s="10" t="s">
        <v>52</v>
      </c>
      <c r="K1" s="10" t="s">
        <v>61</v>
      </c>
    </row>
    <row r="2" spans="1:11" x14ac:dyDescent="0.2">
      <c r="A2" s="10">
        <v>0</v>
      </c>
      <c r="B2" s="9">
        <f>Weight!B18</f>
        <v>201</v>
      </c>
      <c r="C2" s="9">
        <f>0.45359237*B2</f>
        <v>91.17206637000001</v>
      </c>
      <c r="D2" s="8">
        <f>Weight!B25</f>
        <v>22.42</v>
      </c>
      <c r="E2" s="6">
        <f>Weight!$B$33</f>
        <v>1.3331556503198294</v>
      </c>
      <c r="F2" s="11">
        <f>10*C2+6.25*Weight!$B$22-5*D2+IF(Weight!$B$24="M", 5, -161)</f>
        <v>1868.2264485978903</v>
      </c>
      <c r="G2" s="11">
        <f>IF(Weight!$B$24="M", 13.397*C2 + 4.799*(Weight!$B$22)- 5.677*D2+ 88.362,9.247*C2 + 3.098*(Weight!$B$22) - 4.33*D2 + 447.593)</f>
        <v>1999.1948990348862</v>
      </c>
      <c r="H2" s="11">
        <f>E2*AVERAGE(F2,G2)</f>
        <v>2577.9373108820828</v>
      </c>
      <c r="I2" s="8">
        <f>(H2-Weight!$J$2)/500</f>
        <v>3.6038746217641657</v>
      </c>
      <c r="J2" s="8">
        <f>SUM($I$2:I2)</f>
        <v>3.6038746217641657</v>
      </c>
      <c r="K2" s="8">
        <v>0</v>
      </c>
    </row>
    <row r="3" spans="1:11" x14ac:dyDescent="0.2">
      <c r="A3" s="10">
        <v>1</v>
      </c>
      <c r="B3" s="9">
        <f>B2-I2+K2</f>
        <v>197.39612537823584</v>
      </c>
      <c r="C3" s="9">
        <f t="shared" ref="C3:C13" si="0">0.45359237*B3</f>
        <v>89.537376339131143</v>
      </c>
      <c r="D3" s="8">
        <f>D2+1/52</f>
        <v>22.439230769230772</v>
      </c>
      <c r="E3" s="6">
        <f>Weight!$B$33</f>
        <v>1.3331556503198294</v>
      </c>
      <c r="F3" s="11">
        <f>10*C3+6.25*Weight!$B$22-5*D3+IF(Weight!$B$24="M", 5, -161)</f>
        <v>1851.7833944430474</v>
      </c>
      <c r="G3" s="11">
        <f>IF(Weight!$B$24="M", 13.397*C3 + 4.799*(Weight!$B$22)- 5.677*D3+ 88.362,9.247*C3 + 3.098*(Weight!$B$22) - 4.33*D3 + 447.593)</f>
        <v>1977.1857836144129</v>
      </c>
      <c r="H3" s="11">
        <f t="shared" ref="H3:H13" si="1">E3*AVERAGE(F3,G3)</f>
        <v>2552.3059473138883</v>
      </c>
      <c r="I3" s="8">
        <f>(H3-Weight!$J$2)/500</f>
        <v>3.5526118946277765</v>
      </c>
      <c r="J3" s="8">
        <f>SUM($I$2:I3)</f>
        <v>7.1564865163919418</v>
      </c>
      <c r="K3" s="8">
        <v>0</v>
      </c>
    </row>
    <row r="4" spans="1:11" x14ac:dyDescent="0.2">
      <c r="A4" s="10">
        <v>2</v>
      </c>
      <c r="B4" s="9">
        <f t="shared" ref="B4:B13" si="2">B3-I3+K3</f>
        <v>193.84351348360806</v>
      </c>
      <c r="C4" s="9">
        <f t="shared" si="0"/>
        <v>87.925938690156741</v>
      </c>
      <c r="D4" s="8">
        <f t="shared" ref="D4:D14" si="3">D3+1/52</f>
        <v>22.458461538461542</v>
      </c>
      <c r="E4" s="6">
        <f>Weight!$B$33</f>
        <v>1.3331556503198294</v>
      </c>
      <c r="F4" s="11">
        <f>10*C4+6.25*Weight!$B$22-5*D4+IF(Weight!$B$24="M", 5, -161)</f>
        <v>1835.5728641071498</v>
      </c>
      <c r="G4" s="11">
        <f>IF(Weight!$B$24="M", 13.397*C4 + 4.799*(Weight!$B$22)- 5.677*D4+ 88.362,9.247*C4 + 3.098*(Weight!$B$22) - 4.33*D4 + 447.593)</f>
        <v>1955.4881803541798</v>
      </c>
      <c r="H4" s="11">
        <f t="shared" si="1"/>
        <v>2527.0372260655076</v>
      </c>
      <c r="I4" s="8">
        <f>(H4-Weight!$J$2)/500</f>
        <v>3.5020744521310152</v>
      </c>
      <c r="J4" s="8">
        <f>SUM($I$2:I4)</f>
        <v>10.658560968522957</v>
      </c>
      <c r="K4" s="8">
        <v>0</v>
      </c>
    </row>
    <row r="5" spans="1:11" x14ac:dyDescent="0.2">
      <c r="A5" s="15">
        <v>3</v>
      </c>
      <c r="B5" s="22">
        <f t="shared" si="2"/>
        <v>190.34143903147705</v>
      </c>
      <c r="C5" s="22">
        <f t="shared" si="0"/>
        <v>86.337424439498179</v>
      </c>
      <c r="D5" s="16">
        <f t="shared" si="3"/>
        <v>22.477692307692312</v>
      </c>
      <c r="E5" s="17">
        <f>Weight!$B$33</f>
        <v>1.3331556503198294</v>
      </c>
      <c r="F5" s="18">
        <f>10*C5+6.25*Weight!$B$22-5*D5+IF(Weight!$B$24="M", 5, -161)</f>
        <v>1819.5915677544103</v>
      </c>
      <c r="G5" s="18">
        <f>IF(Weight!$B$24="M", 13.397*C5 + 4.799*(Weight!$B$22)- 5.677*D5+ 88.362,9.247*C5 + 3.098*(Weight!$B$22) - 4.33*D5 + 447.593)</f>
        <v>1934.0976818611839</v>
      </c>
      <c r="H5" s="18">
        <f t="shared" si="1"/>
        <v>2502.1260163349152</v>
      </c>
      <c r="I5" s="16">
        <f>(H5-Weight!$J$2)/500</f>
        <v>3.4522520326698305</v>
      </c>
      <c r="J5" s="16">
        <f>SUM($I$2:I5)</f>
        <v>14.110813001192788</v>
      </c>
      <c r="K5" s="16">
        <v>0</v>
      </c>
    </row>
    <row r="6" spans="1:11" x14ac:dyDescent="0.2">
      <c r="A6" s="10">
        <v>4</v>
      </c>
      <c r="B6" s="9">
        <f t="shared" si="2"/>
        <v>186.88918699880722</v>
      </c>
      <c r="C6" s="9">
        <f t="shared" si="0"/>
        <v>84.771509258162155</v>
      </c>
      <c r="D6" s="8">
        <f t="shared" si="3"/>
        <v>22.496923076923082</v>
      </c>
      <c r="E6" s="6">
        <f>Weight!$B$33</f>
        <v>1.3331556503198294</v>
      </c>
      <c r="F6" s="11">
        <f>10*C6+6.25*Weight!$B$22-5*D6+IF(Weight!$B$24="M", 5, -161)</f>
        <v>1803.8362620948963</v>
      </c>
      <c r="G6" s="11">
        <f>IF(Weight!$B$24="M", 13.397*C6 + 4.799*(Weight!$B$22)- 5.677*D6+ 88.362,9.247*C6 + 3.098*(Weight!$B$22) - 4.33*D6 + 447.593)</f>
        <v>1913.0099430999021</v>
      </c>
      <c r="H6" s="11">
        <f t="shared" si="1"/>
        <v>2477.5672599126306</v>
      </c>
      <c r="I6" s="8">
        <f>(H6-Weight!$J$2)/500</f>
        <v>3.4031345198252612</v>
      </c>
      <c r="J6" s="8">
        <f>SUM($I$2:I6)</f>
        <v>17.51394752101805</v>
      </c>
      <c r="K6" s="8">
        <v>0</v>
      </c>
    </row>
    <row r="7" spans="1:11" x14ac:dyDescent="0.2">
      <c r="A7" s="10">
        <v>5</v>
      </c>
      <c r="B7" s="9">
        <f t="shared" si="2"/>
        <v>183.48605247898195</v>
      </c>
      <c r="C7" s="9">
        <f t="shared" si="0"/>
        <v>83.227873405885802</v>
      </c>
      <c r="D7" s="8">
        <f t="shared" si="3"/>
        <v>22.516153846153852</v>
      </c>
      <c r="E7" s="6">
        <f>Weight!$B$33</f>
        <v>1.3331556503198294</v>
      </c>
      <c r="F7" s="11">
        <f>10*C7+6.25*Weight!$B$22-5*D7+IF(Weight!$B$24="M", 5, -161)</f>
        <v>1788.3037497259791</v>
      </c>
      <c r="G7" s="11">
        <f>IF(Weight!$B$24="M", 13.397*C7 + 4.799*(Weight!$B$22)- 5.677*D7+ 88.362,9.247*C7 + 3.098*(Weight!$B$22) - 4.33*D7 + 447.593)</f>
        <v>1892.2206805100327</v>
      </c>
      <c r="H7" s="11">
        <f t="shared" si="1"/>
        <v>2453.3559701546546</v>
      </c>
      <c r="I7" s="8">
        <f>(H7-Weight!$J$2)/500</f>
        <v>3.3547119403093091</v>
      </c>
      <c r="J7" s="8">
        <f>SUM($I$2:I7)</f>
        <v>20.868659461327358</v>
      </c>
      <c r="K7" s="8">
        <v>0</v>
      </c>
    </row>
    <row r="8" spans="1:11" x14ac:dyDescent="0.2">
      <c r="A8" s="10">
        <v>6</v>
      </c>
      <c r="B8" s="9">
        <f t="shared" si="2"/>
        <v>180.13134053867265</v>
      </c>
      <c r="C8" s="9">
        <f t="shared" si="0"/>
        <v>81.706201666213602</v>
      </c>
      <c r="D8" s="8">
        <f t="shared" si="3"/>
        <v>22.535384615384622</v>
      </c>
      <c r="E8" s="6">
        <f>Weight!$B$33</f>
        <v>1.3331556503198294</v>
      </c>
      <c r="F8" s="11">
        <f>10*C8+6.25*Weight!$B$22-5*D8+IF(Weight!$B$24="M", 5, -161)</f>
        <v>1772.9908784831027</v>
      </c>
      <c r="G8" s="11">
        <f>IF(Weight!$B$24="M", 13.397*C8 + 4.799*(Weight!$B$22)- 5.677*D8+ 88.362,9.247*C8 + 3.098*(Weight!$B$22) - 4.33*D8 + 447.593)</f>
        <v>1871.7256711367213</v>
      </c>
      <c r="H8" s="11">
        <f t="shared" si="1"/>
        <v>2429.4872309699308</v>
      </c>
      <c r="I8" s="8">
        <f>(H8-Weight!$J$2)/500</f>
        <v>3.3069744619398618</v>
      </c>
      <c r="J8" s="8">
        <f>SUM($I$2:I8)</f>
        <v>24.17563392326722</v>
      </c>
      <c r="K8" s="8">
        <v>0</v>
      </c>
    </row>
    <row r="9" spans="1:11" x14ac:dyDescent="0.2">
      <c r="A9" s="15">
        <v>7</v>
      </c>
      <c r="B9" s="22">
        <f t="shared" si="2"/>
        <v>176.82436607673279</v>
      </c>
      <c r="C9" s="22">
        <f t="shared" si="0"/>
        <v>80.20618328249283</v>
      </c>
      <c r="D9" s="16">
        <f t="shared" si="3"/>
        <v>22.554615384615392</v>
      </c>
      <c r="E9" s="17">
        <f>Weight!$B$33</f>
        <v>1.3331556503198294</v>
      </c>
      <c r="F9" s="18">
        <f>10*C9+6.25*Weight!$B$22-5*D9+IF(Weight!$B$24="M", 5, -161)</f>
        <v>1757.8945407997412</v>
      </c>
      <c r="G9" s="18">
        <f>IF(Weight!$B$24="M", 13.397*C9 + 4.799*(Weight!$B$22)- 5.677*D9+ 88.362,9.247*C9 + 3.098*(Weight!$B$22) - 4.33*D9 + 447.593)</f>
        <v>1851.520751773091</v>
      </c>
      <c r="H9" s="18">
        <f t="shared" si="1"/>
        <v>2405.9561958221357</v>
      </c>
      <c r="I9" s="16">
        <f>(H9-Weight!$J$2)/500</f>
        <v>3.2599123916442712</v>
      </c>
      <c r="J9" s="16">
        <f>SUM($I$2:I9)</f>
        <v>27.435546314911491</v>
      </c>
      <c r="K9" s="16">
        <v>0</v>
      </c>
    </row>
    <row r="10" spans="1:11" x14ac:dyDescent="0.2">
      <c r="A10" s="10">
        <v>8</v>
      </c>
      <c r="B10" s="9">
        <f t="shared" si="2"/>
        <v>173.56445368508852</v>
      </c>
      <c r="C10" s="9">
        <f t="shared" si="0"/>
        <v>78.727511894774537</v>
      </c>
      <c r="D10" s="8">
        <f t="shared" si="3"/>
        <v>22.573846153846162</v>
      </c>
      <c r="E10" s="6">
        <f>Weight!$B$33</f>
        <v>1.3331556503198294</v>
      </c>
      <c r="F10" s="11">
        <f>10*C10+6.25*Weight!$B$22-5*D10+IF(Weight!$B$24="M", 5, -161)</f>
        <v>1743.0116730764046</v>
      </c>
      <c r="G10" s="11">
        <f>IF(Weight!$B$24="M", 13.397*C10 + 4.799*(Weight!$B$22)- 5.677*D10+ 88.362,9.247*C10 + 3.098*(Weight!$B$22) - 4.33*D10 + 447.593)</f>
        <v>1831.6018181149059</v>
      </c>
      <c r="H10" s="11">
        <f t="shared" si="1"/>
        <v>2382.7580867455936</v>
      </c>
      <c r="I10" s="8">
        <f>(H10-Weight!$J$2)/500</f>
        <v>3.213516173491187</v>
      </c>
      <c r="J10" s="8">
        <f>SUM($I$2:I10)</f>
        <v>30.649062488402677</v>
      </c>
      <c r="K10" s="8">
        <v>0</v>
      </c>
    </row>
    <row r="11" spans="1:11" x14ac:dyDescent="0.2">
      <c r="A11" s="10">
        <v>9</v>
      </c>
      <c r="B11" s="9">
        <f t="shared" si="2"/>
        <v>170.35093751159732</v>
      </c>
      <c r="C11" s="9">
        <f t="shared" si="0"/>
        <v>77.269885477607332</v>
      </c>
      <c r="D11" s="8">
        <f t="shared" si="3"/>
        <v>22.593076923076932</v>
      </c>
      <c r="E11" s="6">
        <f>Weight!$B$33</f>
        <v>1.3331556503198294</v>
      </c>
      <c r="F11" s="11">
        <f>10*C11+6.25*Weight!$B$22-5*D11+IF(Weight!$B$24="M", 5, -161)</f>
        <v>1728.3392550585786</v>
      </c>
      <c r="G11" s="11">
        <f>IF(Weight!$B$24="M", 13.397*C11 + 4.799*(Weight!$B$22)- 5.677*D11+ 88.362,9.247*C11 + 3.098*(Weight!$B$22) - 4.33*D11 + 447.593)</f>
        <v>1811.9648239271937</v>
      </c>
      <c r="H11" s="11">
        <f t="shared" si="1"/>
        <v>2359.8881933751109</v>
      </c>
      <c r="I11" s="8">
        <f>(H11-Weight!$J$2)/500</f>
        <v>3.1677763867502216</v>
      </c>
      <c r="J11" s="8">
        <f>SUM($I$2:I11)</f>
        <v>33.816838875152897</v>
      </c>
      <c r="K11" s="8">
        <v>0</v>
      </c>
    </row>
    <row r="12" spans="1:11" x14ac:dyDescent="0.2">
      <c r="A12" s="10">
        <v>10</v>
      </c>
      <c r="B12" s="9">
        <f t="shared" si="2"/>
        <v>167.18316112484709</v>
      </c>
      <c r="C12" s="9">
        <f t="shared" si="0"/>
        <v>75.833006278711267</v>
      </c>
      <c r="D12" s="8">
        <f t="shared" si="3"/>
        <v>22.612307692307702</v>
      </c>
      <c r="E12" s="6">
        <f>Weight!$B$33</f>
        <v>1.3331556503198294</v>
      </c>
      <c r="F12" s="11">
        <f>10*C12+6.25*Weight!$B$22-5*D12+IF(Weight!$B$24="M", 5, -161)</f>
        <v>1713.8743092234643</v>
      </c>
      <c r="G12" s="11">
        <f>IF(Weight!$B$24="M", 13.397*C12 + 4.799*(Weight!$B$22)- 5.677*D12+ 88.362,9.247*C12 + 3.098*(Weight!$B$22) - 4.33*D12 + 447.593)</f>
        <v>1792.6057802226603</v>
      </c>
      <c r="H12" s="11">
        <f t="shared" si="1"/>
        <v>2337.3418719895408</v>
      </c>
      <c r="I12" s="8">
        <f>(H12-Weight!$J$2)/500</f>
        <v>3.1226837439790818</v>
      </c>
      <c r="J12" s="8">
        <f>SUM($I$2:I12)</f>
        <v>36.939522619131978</v>
      </c>
      <c r="K12" s="8">
        <v>0</v>
      </c>
    </row>
    <row r="13" spans="1:11" x14ac:dyDescent="0.2">
      <c r="A13" s="15">
        <v>11</v>
      </c>
      <c r="B13" s="22">
        <f t="shared" si="2"/>
        <v>164.06047738086801</v>
      </c>
      <c r="C13" s="22">
        <f t="shared" si="0"/>
        <v>74.416580758519316</v>
      </c>
      <c r="D13" s="16">
        <f t="shared" si="3"/>
        <v>22.631538461538472</v>
      </c>
      <c r="E13" s="17">
        <f>Weight!$B$33</f>
        <v>1.3331556503198294</v>
      </c>
      <c r="F13" s="18">
        <f>10*C13+6.25*Weight!$B$22-5*D13+IF(Weight!$B$24="M", 5, -161)</f>
        <v>1699.6139001753909</v>
      </c>
      <c r="G13" s="18">
        <f>IF(Weight!$B$24="M", 13.397*C13 + 4.799*(Weight!$B$22)- 5.677*D13+ 88.362,9.247*C13 + 3.098*(Weight!$B$22) - 4.33*D13 + 447.593)</f>
        <v>1773.5207544517255</v>
      </c>
      <c r="H13" s="18">
        <f t="shared" si="1"/>
        <v>2315.1145445688744</v>
      </c>
      <c r="I13" s="16">
        <f>(H13-Weight!$J$2)/500</f>
        <v>3.0782290891377486</v>
      </c>
      <c r="J13" s="16">
        <f>SUM($I$2:I13)</f>
        <v>40.017751708269728</v>
      </c>
      <c r="K13" s="16">
        <v>0</v>
      </c>
    </row>
    <row r="14" spans="1:11" x14ac:dyDescent="0.2">
      <c r="A14" s="10">
        <v>12</v>
      </c>
      <c r="B14" s="9">
        <f t="shared" ref="B14" si="4">B13-I13+K13</f>
        <v>160.98224829173026</v>
      </c>
      <c r="C14" s="9">
        <f t="shared" ref="C14" si="5">0.45359237*B14</f>
        <v>73.020319530574383</v>
      </c>
      <c r="D14" s="8">
        <f t="shared" si="3"/>
        <v>22.650769230769242</v>
      </c>
      <c r="E14" s="6">
        <f>Weight!$B$33</f>
        <v>1.3331556503198294</v>
      </c>
      <c r="F14" s="11">
        <f>10*C14+6.25*Weight!$B$22-5*D14+IF(Weight!$B$24="M", 5, -161)</f>
        <v>1685.5551340497877</v>
      </c>
      <c r="G14" s="11">
        <f>IF(Weight!$B$24="M", 13.397*C14 + 4.799*(Weight!$B$22)- 5.677*D14+ 88.362,9.247*C14 + 3.098*(Weight!$B$22) - 4.33*D14 + 447.593)</f>
        <v>1754.7058697040241</v>
      </c>
      <c r="H14" s="11">
        <f t="shared" ref="H14" si="6">E14*AVERAGE(F14,G14)</f>
        <v>2293.2016978646807</v>
      </c>
      <c r="I14" s="8">
        <f>(H14-Weight!$J$2)/500</f>
        <v>3.0344033957293615</v>
      </c>
      <c r="J14" s="8">
        <f>SUM($I$2:I14)</f>
        <v>43.052155103999091</v>
      </c>
      <c r="K1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16BC-993E-DB43-BAA6-3DC6FAC7160B}">
  <dimension ref="A1:F50"/>
  <sheetViews>
    <sheetView tabSelected="1" zoomScale="84" workbookViewId="0">
      <selection activeCell="C38" sqref="C38"/>
    </sheetView>
  </sheetViews>
  <sheetFormatPr baseColWidth="10" defaultRowHeight="16" x14ac:dyDescent="0.2"/>
  <cols>
    <col min="1" max="1" width="30.5" bestFit="1" customWidth="1"/>
    <col min="2" max="2" width="16" bestFit="1" customWidth="1"/>
    <col min="3" max="3" width="58.83203125" customWidth="1"/>
    <col min="4" max="4" width="87.1640625" bestFit="1" customWidth="1"/>
    <col min="5" max="5" width="64.5" bestFit="1" customWidth="1"/>
    <col min="6" max="6" width="60.33203125" bestFit="1" customWidth="1"/>
  </cols>
  <sheetData>
    <row r="1" spans="1:6" x14ac:dyDescent="0.2">
      <c r="A1" s="37" t="s">
        <v>88</v>
      </c>
      <c r="B1" s="80" t="s">
        <v>89</v>
      </c>
      <c r="C1" s="37" t="s">
        <v>90</v>
      </c>
      <c r="D1" s="80" t="s">
        <v>91</v>
      </c>
      <c r="E1" s="81" t="s">
        <v>98</v>
      </c>
      <c r="F1" s="81" t="s">
        <v>112</v>
      </c>
    </row>
    <row r="2" spans="1:6" x14ac:dyDescent="0.2">
      <c r="A2" s="122" t="s">
        <v>92</v>
      </c>
      <c r="B2" s="102" t="s">
        <v>93</v>
      </c>
      <c r="C2" s="107" t="s">
        <v>95</v>
      </c>
      <c r="D2" s="102" t="s">
        <v>97</v>
      </c>
      <c r="E2" s="111" t="s">
        <v>100</v>
      </c>
      <c r="F2" s="102" t="s">
        <v>134</v>
      </c>
    </row>
    <row r="3" spans="1:6" x14ac:dyDescent="0.2">
      <c r="A3" s="123"/>
      <c r="B3" s="103"/>
      <c r="C3" s="108" t="s">
        <v>94</v>
      </c>
      <c r="D3" s="103" t="s">
        <v>101</v>
      </c>
      <c r="E3" s="112" t="s">
        <v>99</v>
      </c>
      <c r="F3" s="103"/>
    </row>
    <row r="4" spans="1:6" x14ac:dyDescent="0.2">
      <c r="A4" s="123"/>
      <c r="B4" s="103"/>
      <c r="C4" s="108" t="s">
        <v>96</v>
      </c>
      <c r="D4" s="103"/>
      <c r="E4" s="112"/>
      <c r="F4" s="103"/>
    </row>
    <row r="5" spans="1:6" x14ac:dyDescent="0.2">
      <c r="A5" s="123"/>
      <c r="B5" s="103"/>
      <c r="C5" s="108" t="s">
        <v>118</v>
      </c>
      <c r="D5" s="103"/>
      <c r="E5" s="112"/>
      <c r="F5" s="103"/>
    </row>
    <row r="6" spans="1:6" x14ac:dyDescent="0.2">
      <c r="A6" s="123"/>
      <c r="B6" s="103"/>
      <c r="C6" s="108" t="s">
        <v>159</v>
      </c>
      <c r="D6" s="103"/>
      <c r="E6" s="112"/>
      <c r="F6" s="103"/>
    </row>
    <row r="7" spans="1:6" x14ac:dyDescent="0.2">
      <c r="A7" s="123"/>
      <c r="B7" s="103"/>
      <c r="C7" s="108" t="s">
        <v>177</v>
      </c>
      <c r="D7" s="103"/>
      <c r="E7" s="112"/>
      <c r="F7" s="103"/>
    </row>
    <row r="8" spans="1:6" x14ac:dyDescent="0.2">
      <c r="A8" s="124"/>
      <c r="B8" s="106"/>
      <c r="C8" s="110" t="s">
        <v>104</v>
      </c>
      <c r="D8" s="106"/>
      <c r="E8" s="114"/>
      <c r="F8" s="106"/>
    </row>
    <row r="9" spans="1:6" x14ac:dyDescent="0.2">
      <c r="A9" s="125" t="s">
        <v>102</v>
      </c>
      <c r="B9" s="104" t="s">
        <v>103</v>
      </c>
      <c r="C9" s="109" t="s">
        <v>115</v>
      </c>
      <c r="D9" s="104" t="s">
        <v>114</v>
      </c>
      <c r="E9" s="113" t="s">
        <v>116</v>
      </c>
      <c r="F9" s="104" t="s">
        <v>134</v>
      </c>
    </row>
    <row r="10" spans="1:6" x14ac:dyDescent="0.2">
      <c r="A10" s="126"/>
      <c r="B10" s="104"/>
      <c r="C10" s="109" t="s">
        <v>105</v>
      </c>
      <c r="D10" s="104" t="s">
        <v>117</v>
      </c>
      <c r="E10" s="113"/>
      <c r="F10" s="104"/>
    </row>
    <row r="11" spans="1:6" x14ac:dyDescent="0.2">
      <c r="A11" s="127"/>
      <c r="B11" s="115"/>
      <c r="C11" s="116" t="s">
        <v>113</v>
      </c>
      <c r="D11" s="115"/>
      <c r="E11" s="117"/>
      <c r="F11" s="115"/>
    </row>
    <row r="12" spans="1:6" x14ac:dyDescent="0.2">
      <c r="A12" s="128" t="s">
        <v>106</v>
      </c>
      <c r="B12" s="103" t="s">
        <v>107</v>
      </c>
      <c r="C12" s="108" t="s">
        <v>111</v>
      </c>
      <c r="D12" s="103" t="s">
        <v>120</v>
      </c>
      <c r="E12" s="112" t="s">
        <v>109</v>
      </c>
      <c r="F12" s="103" t="s">
        <v>119</v>
      </c>
    </row>
    <row r="13" spans="1:6" x14ac:dyDescent="0.2">
      <c r="A13" s="128"/>
      <c r="B13" s="103"/>
      <c r="C13" s="108" t="s">
        <v>108</v>
      </c>
      <c r="D13" s="103" t="s">
        <v>130</v>
      </c>
      <c r="E13" s="112" t="s">
        <v>110</v>
      </c>
      <c r="F13" s="103"/>
    </row>
    <row r="14" spans="1:6" x14ac:dyDescent="0.2">
      <c r="A14" s="129"/>
      <c r="B14" s="106"/>
      <c r="C14" s="110" t="s">
        <v>121</v>
      </c>
      <c r="D14" s="106"/>
      <c r="E14" s="114"/>
      <c r="F14" s="106"/>
    </row>
    <row r="15" spans="1:6" x14ac:dyDescent="0.2">
      <c r="A15" s="130" t="s">
        <v>122</v>
      </c>
      <c r="B15" s="86" t="s">
        <v>147</v>
      </c>
      <c r="C15" s="109" t="s">
        <v>123</v>
      </c>
      <c r="D15" s="104" t="s">
        <v>126</v>
      </c>
      <c r="E15" s="113" t="s">
        <v>109</v>
      </c>
      <c r="F15" s="86" t="s">
        <v>119</v>
      </c>
    </row>
    <row r="16" spans="1:6" x14ac:dyDescent="0.2">
      <c r="A16" s="130"/>
      <c r="B16" s="86"/>
      <c r="C16" s="109" t="s">
        <v>124</v>
      </c>
      <c r="D16" s="104" t="s">
        <v>130</v>
      </c>
      <c r="E16" s="113" t="s">
        <v>132</v>
      </c>
      <c r="F16" s="86"/>
    </row>
    <row r="17" spans="1:6" x14ac:dyDescent="0.2">
      <c r="A17" s="130"/>
      <c r="B17" s="86"/>
      <c r="C17" s="109" t="s">
        <v>125</v>
      </c>
      <c r="D17" s="86"/>
      <c r="E17" s="5"/>
      <c r="F17" s="86"/>
    </row>
    <row r="18" spans="1:6" x14ac:dyDescent="0.2">
      <c r="A18" s="122" t="s">
        <v>128</v>
      </c>
      <c r="B18" s="102" t="s">
        <v>107</v>
      </c>
      <c r="C18" s="107" t="s">
        <v>123</v>
      </c>
      <c r="D18" s="102" t="s">
        <v>129</v>
      </c>
      <c r="E18" s="111" t="s">
        <v>132</v>
      </c>
      <c r="F18" s="102"/>
    </row>
    <row r="19" spans="1:6" x14ac:dyDescent="0.2">
      <c r="A19" s="128"/>
      <c r="B19" s="103" t="s">
        <v>148</v>
      </c>
      <c r="C19" s="108" t="s">
        <v>95</v>
      </c>
      <c r="D19" s="103" t="s">
        <v>131</v>
      </c>
      <c r="E19" s="112"/>
      <c r="F19" s="103"/>
    </row>
    <row r="20" spans="1:6" x14ac:dyDescent="0.2">
      <c r="A20" s="131" t="s">
        <v>133</v>
      </c>
      <c r="B20" s="92" t="s">
        <v>147</v>
      </c>
      <c r="C20" s="118" t="s">
        <v>123</v>
      </c>
      <c r="D20" s="119" t="s">
        <v>136</v>
      </c>
      <c r="E20" s="120" t="s">
        <v>142</v>
      </c>
      <c r="F20" s="92" t="s">
        <v>138</v>
      </c>
    </row>
    <row r="21" spans="1:6" x14ac:dyDescent="0.2">
      <c r="A21" s="130"/>
      <c r="B21" s="86"/>
      <c r="C21" s="109" t="s">
        <v>135</v>
      </c>
      <c r="D21" s="104" t="s">
        <v>137</v>
      </c>
      <c r="E21" s="113" t="s">
        <v>143</v>
      </c>
      <c r="F21" s="86" t="s">
        <v>134</v>
      </c>
    </row>
    <row r="22" spans="1:6" x14ac:dyDescent="0.2">
      <c r="A22" s="130"/>
      <c r="B22" s="86"/>
      <c r="C22" s="109" t="s">
        <v>139</v>
      </c>
      <c r="D22" s="104" t="s">
        <v>141</v>
      </c>
      <c r="E22" s="113" t="s">
        <v>145</v>
      </c>
      <c r="F22" s="86"/>
    </row>
    <row r="23" spans="1:6" x14ac:dyDescent="0.2">
      <c r="A23" s="130"/>
      <c r="B23" s="86"/>
      <c r="C23" s="109" t="s">
        <v>140</v>
      </c>
      <c r="D23" s="86"/>
      <c r="E23" s="5"/>
      <c r="F23" s="86"/>
    </row>
    <row r="24" spans="1:6" x14ac:dyDescent="0.2">
      <c r="A24" s="130"/>
      <c r="B24" s="86"/>
      <c r="C24" s="109" t="s">
        <v>144</v>
      </c>
      <c r="D24" s="86"/>
      <c r="E24" s="5"/>
      <c r="F24" s="86"/>
    </row>
    <row r="25" spans="1:6" x14ac:dyDescent="0.2">
      <c r="A25" s="122" t="s">
        <v>146</v>
      </c>
      <c r="B25" s="102" t="s">
        <v>147</v>
      </c>
      <c r="C25" s="107" t="s">
        <v>150</v>
      </c>
      <c r="D25" s="102"/>
      <c r="E25" s="111" t="s">
        <v>152</v>
      </c>
      <c r="F25" s="102" t="s">
        <v>149</v>
      </c>
    </row>
    <row r="26" spans="1:6" x14ac:dyDescent="0.2">
      <c r="A26" s="128"/>
      <c r="B26" s="103"/>
      <c r="C26" s="108" t="s">
        <v>123</v>
      </c>
      <c r="D26" s="103"/>
      <c r="E26" s="112"/>
      <c r="F26" s="103"/>
    </row>
    <row r="27" spans="1:6" x14ac:dyDescent="0.2">
      <c r="A27" s="128"/>
      <c r="B27" s="103"/>
      <c r="C27" s="108" t="s">
        <v>151</v>
      </c>
      <c r="D27" s="103"/>
      <c r="E27" s="112"/>
      <c r="F27" s="103"/>
    </row>
    <row r="28" spans="1:6" x14ac:dyDescent="0.2">
      <c r="A28" s="128"/>
      <c r="B28" s="103"/>
      <c r="C28" s="108" t="s">
        <v>139</v>
      </c>
      <c r="D28" s="103"/>
      <c r="E28" s="112"/>
      <c r="F28" s="103"/>
    </row>
    <row r="29" spans="1:6" x14ac:dyDescent="0.2">
      <c r="A29" s="132" t="s">
        <v>153</v>
      </c>
      <c r="B29" s="92" t="s">
        <v>154</v>
      </c>
      <c r="C29" s="118" t="s">
        <v>165</v>
      </c>
      <c r="D29" s="119" t="s">
        <v>162</v>
      </c>
      <c r="E29" s="121"/>
      <c r="F29" s="92"/>
    </row>
    <row r="30" spans="1:6" x14ac:dyDescent="0.2">
      <c r="A30" s="130"/>
      <c r="B30" s="86"/>
      <c r="C30" s="109" t="s">
        <v>155</v>
      </c>
      <c r="D30" s="86"/>
      <c r="E30" s="5"/>
      <c r="F30" s="86"/>
    </row>
    <row r="31" spans="1:6" x14ac:dyDescent="0.2">
      <c r="A31" s="130"/>
      <c r="B31" s="86"/>
      <c r="C31" s="109" t="s">
        <v>156</v>
      </c>
      <c r="D31" s="86"/>
      <c r="E31" s="5"/>
      <c r="F31" s="86"/>
    </row>
    <row r="32" spans="1:6" x14ac:dyDescent="0.2">
      <c r="A32" s="130"/>
      <c r="B32" s="86"/>
      <c r="C32" s="109" t="s">
        <v>157</v>
      </c>
      <c r="D32" s="86"/>
      <c r="E32" s="5"/>
      <c r="F32" s="86"/>
    </row>
    <row r="33" spans="1:6" x14ac:dyDescent="0.2">
      <c r="A33" s="130"/>
      <c r="B33" s="86"/>
      <c r="C33" s="109" t="s">
        <v>190</v>
      </c>
      <c r="D33" s="86"/>
      <c r="E33" s="5"/>
      <c r="F33" s="86"/>
    </row>
    <row r="34" spans="1:6" x14ac:dyDescent="0.2">
      <c r="A34" s="130"/>
      <c r="B34" s="86"/>
      <c r="C34" s="109" t="s">
        <v>158</v>
      </c>
      <c r="D34" s="86"/>
      <c r="E34" s="5"/>
      <c r="F34" s="86"/>
    </row>
    <row r="35" spans="1:6" x14ac:dyDescent="0.2">
      <c r="A35" s="130"/>
      <c r="B35" s="86"/>
      <c r="C35" s="109" t="s">
        <v>164</v>
      </c>
      <c r="D35" s="86"/>
      <c r="E35" s="5"/>
      <c r="F35" s="86"/>
    </row>
    <row r="36" spans="1:6" x14ac:dyDescent="0.2">
      <c r="A36" s="122" t="s">
        <v>160</v>
      </c>
      <c r="B36" s="102" t="s">
        <v>154</v>
      </c>
      <c r="C36" s="107" t="s">
        <v>167</v>
      </c>
      <c r="D36" s="102" t="s">
        <v>161</v>
      </c>
      <c r="E36" s="111"/>
      <c r="F36" s="102"/>
    </row>
    <row r="37" spans="1:6" x14ac:dyDescent="0.2">
      <c r="A37" s="128"/>
      <c r="B37" s="103"/>
      <c r="C37" s="108" t="s">
        <v>168</v>
      </c>
      <c r="D37" s="103" t="s">
        <v>163</v>
      </c>
      <c r="E37" s="112"/>
      <c r="F37" s="103"/>
    </row>
    <row r="38" spans="1:6" x14ac:dyDescent="0.2">
      <c r="A38" s="128"/>
      <c r="B38" s="103"/>
      <c r="C38" s="108" t="s">
        <v>164</v>
      </c>
      <c r="D38" s="103" t="s">
        <v>166</v>
      </c>
      <c r="E38" s="112"/>
      <c r="F38" s="103"/>
    </row>
    <row r="39" spans="1:6" x14ac:dyDescent="0.2">
      <c r="A39" s="131" t="s">
        <v>173</v>
      </c>
      <c r="B39" s="92" t="s">
        <v>147</v>
      </c>
      <c r="C39" s="118" t="s">
        <v>171</v>
      </c>
      <c r="D39" s="119" t="s">
        <v>186</v>
      </c>
      <c r="E39" s="120" t="s">
        <v>174</v>
      </c>
      <c r="F39" s="119" t="s">
        <v>175</v>
      </c>
    </row>
    <row r="40" spans="1:6" x14ac:dyDescent="0.2">
      <c r="A40" s="130"/>
      <c r="B40" s="86"/>
      <c r="C40" s="109" t="s">
        <v>169</v>
      </c>
      <c r="D40" s="86"/>
      <c r="E40" s="5" t="s">
        <v>182</v>
      </c>
      <c r="F40" s="86" t="s">
        <v>176</v>
      </c>
    </row>
    <row r="41" spans="1:6" x14ac:dyDescent="0.2">
      <c r="A41" s="130"/>
      <c r="B41" s="86"/>
      <c r="C41" s="109" t="s">
        <v>170</v>
      </c>
      <c r="D41" s="86"/>
      <c r="E41" s="5"/>
      <c r="F41" s="86"/>
    </row>
    <row r="42" spans="1:6" x14ac:dyDescent="0.2">
      <c r="A42" s="130"/>
      <c r="B42" s="86"/>
      <c r="C42" s="109" t="s">
        <v>159</v>
      </c>
      <c r="D42" s="86"/>
      <c r="E42" s="5"/>
      <c r="F42" s="86"/>
    </row>
    <row r="43" spans="1:6" x14ac:dyDescent="0.2">
      <c r="A43" s="130"/>
      <c r="B43" s="86"/>
      <c r="C43" s="109" t="s">
        <v>172</v>
      </c>
      <c r="D43" s="86"/>
      <c r="E43" s="5"/>
      <c r="F43" s="86"/>
    </row>
    <row r="44" spans="1:6" x14ac:dyDescent="0.2">
      <c r="A44" s="130"/>
      <c r="B44" s="86"/>
      <c r="C44" s="109" t="s">
        <v>189</v>
      </c>
      <c r="D44" s="86"/>
      <c r="E44" s="5"/>
      <c r="F44" s="86"/>
    </row>
    <row r="45" spans="1:6" x14ac:dyDescent="0.2">
      <c r="A45" s="130"/>
      <c r="B45" s="86"/>
      <c r="C45" s="109" t="s">
        <v>178</v>
      </c>
      <c r="D45" s="86"/>
      <c r="E45" s="5"/>
      <c r="F45" s="86"/>
    </row>
    <row r="46" spans="1:6" x14ac:dyDescent="0.2">
      <c r="A46" s="130"/>
      <c r="B46" s="86"/>
      <c r="C46" s="109" t="s">
        <v>179</v>
      </c>
      <c r="D46" s="86"/>
      <c r="E46" s="5"/>
      <c r="F46" s="86"/>
    </row>
    <row r="47" spans="1:6" x14ac:dyDescent="0.2">
      <c r="A47" s="130"/>
      <c r="B47" s="86"/>
      <c r="C47" s="109" t="s">
        <v>181</v>
      </c>
      <c r="D47" s="86"/>
      <c r="E47" s="5"/>
      <c r="F47" s="86"/>
    </row>
    <row r="48" spans="1:6" x14ac:dyDescent="0.2">
      <c r="A48" s="130"/>
      <c r="B48" s="86"/>
      <c r="C48" s="109" t="s">
        <v>180</v>
      </c>
      <c r="D48" s="86"/>
      <c r="E48" s="5"/>
      <c r="F48" s="86"/>
    </row>
    <row r="49" spans="1:6" x14ac:dyDescent="0.2">
      <c r="A49" s="122" t="s">
        <v>183</v>
      </c>
      <c r="B49" s="102" t="s">
        <v>147</v>
      </c>
      <c r="C49" s="107" t="s">
        <v>188</v>
      </c>
      <c r="D49" s="102" t="s">
        <v>185</v>
      </c>
      <c r="E49" s="111" t="s">
        <v>127</v>
      </c>
      <c r="F49" s="102" t="s">
        <v>184</v>
      </c>
    </row>
    <row r="50" spans="1:6" x14ac:dyDescent="0.2">
      <c r="A50" s="105"/>
      <c r="B50" s="106"/>
      <c r="C50" s="110" t="s">
        <v>187</v>
      </c>
      <c r="D50" s="106"/>
      <c r="E50" s="114"/>
      <c r="F50" s="10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</vt:lpstr>
      <vt:lpstr>Body Comp</vt:lpstr>
      <vt:lpstr>Workout</vt:lpstr>
      <vt:lpstr>Weight_Work</vt:lpstr>
      <vt:lpstr>Foods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TASHRIF.APON@baruchmail.cuny.edu</dc:creator>
  <cp:lastModifiedBy>TASHRIF.APON@baruchmail.cuny.edu</cp:lastModifiedBy>
  <dcterms:created xsi:type="dcterms:W3CDTF">2023-11-13T08:25:46Z</dcterms:created>
  <dcterms:modified xsi:type="dcterms:W3CDTF">2024-02-26T13:50:11Z</dcterms:modified>
</cp:coreProperties>
</file>