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rifapon/Desktop/"/>
    </mc:Choice>
  </mc:AlternateContent>
  <xr:revisionPtr revIDLastSave="0" documentId="13_ncr:1_{15A260F5-3F60-8840-A3A0-71E435409B4B}" xr6:coauthVersionLast="47" xr6:coauthVersionMax="47" xr10:uidLastSave="{00000000-0000-0000-0000-000000000000}"/>
  <bookViews>
    <workbookView xWindow="0" yWindow="740" windowWidth="30240" windowHeight="18900" xr2:uid="{A60149AE-37F7-3E40-82A1-031C3C0D1B14}"/>
  </bookViews>
  <sheets>
    <sheet name="Current" sheetId="14" r:id="rId1"/>
    <sheet name="Cars" sheetId="1" r:id="rId2"/>
    <sheet name="Car Payments" sheetId="2" r:id="rId3"/>
    <sheet name="Car Insurance" sheetId="13" r:id="rId4"/>
    <sheet name="Finances" sheetId="3" r:id="rId5"/>
    <sheet name="Home" sheetId="4" r:id="rId6"/>
    <sheet name="Finance Post Home" sheetId="5" r:id="rId7"/>
    <sheet name="Retirement" sheetId="9" r:id="rId8"/>
    <sheet name="Grad School" sheetId="11" r:id="rId9"/>
    <sheet name="Lexus" sheetId="12" r:id="rId10"/>
  </sheets>
  <definedNames>
    <definedName name="_xlnm._FilterDatabase" localSheetId="1" hidden="1">Cars!$A$1:$V$6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14" l="1"/>
  <c r="H44" i="14"/>
  <c r="G44" i="14"/>
  <c r="F44" i="14"/>
  <c r="H45" i="14"/>
  <c r="I45" i="14"/>
  <c r="F34" i="14"/>
  <c r="G45" i="14"/>
  <c r="F45" i="14"/>
  <c r="H34" i="14"/>
  <c r="I34" i="14"/>
  <c r="G34" i="14"/>
  <c r="I33" i="14"/>
  <c r="H33" i="14"/>
  <c r="G33" i="14"/>
  <c r="F33" i="14"/>
  <c r="E44" i="14"/>
  <c r="D19" i="14"/>
  <c r="C33" i="14"/>
  <c r="D33" i="14"/>
  <c r="E33" i="14" s="1"/>
  <c r="D32" i="14"/>
  <c r="D31" i="14"/>
  <c r="D27" i="14"/>
  <c r="D23" i="14"/>
  <c r="D15" i="14"/>
  <c r="D11" i="14"/>
  <c r="E43" i="14"/>
  <c r="D43" i="14"/>
  <c r="C43" i="14"/>
  <c r="C35" i="14"/>
  <c r="C36" i="14"/>
  <c r="C37" i="14"/>
  <c r="C38" i="14"/>
  <c r="C39" i="14"/>
  <c r="C40" i="14"/>
  <c r="C41" i="14"/>
  <c r="C42" i="14"/>
  <c r="C34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10" i="14"/>
  <c r="D2" i="14"/>
  <c r="C8" i="14"/>
  <c r="D6" i="14"/>
  <c r="B2" i="4"/>
  <c r="C5" i="4"/>
  <c r="D5" i="4"/>
  <c r="E5" i="4"/>
  <c r="F5" i="4"/>
  <c r="G5" i="4"/>
  <c r="H5" i="4"/>
  <c r="I5" i="4"/>
  <c r="J5" i="4"/>
  <c r="K5" i="4"/>
  <c r="L5" i="4"/>
  <c r="M5" i="4"/>
  <c r="N5" i="4"/>
  <c r="B5" i="4"/>
  <c r="C3" i="4"/>
  <c r="D3" i="4"/>
  <c r="E3" i="4"/>
  <c r="F3" i="4"/>
  <c r="G3" i="4"/>
  <c r="H3" i="4"/>
  <c r="I3" i="4"/>
  <c r="J3" i="4"/>
  <c r="K3" i="4"/>
  <c r="L3" i="4"/>
  <c r="M3" i="4"/>
  <c r="N3" i="4"/>
  <c r="B3" i="4"/>
  <c r="D7" i="13"/>
  <c r="E7" i="13" s="1"/>
  <c r="I7" i="13"/>
  <c r="H7" i="13"/>
  <c r="K9" i="2"/>
  <c r="K10" i="2"/>
  <c r="K11" i="2"/>
  <c r="D9" i="2"/>
  <c r="H9" i="2" s="1"/>
  <c r="I9" i="2" s="1"/>
  <c r="J9" i="2" s="1"/>
  <c r="D10" i="2"/>
  <c r="H10" i="2" s="1"/>
  <c r="I10" i="2" s="1"/>
  <c r="J10" i="2" s="1"/>
  <c r="D11" i="2"/>
  <c r="H11" i="2" s="1"/>
  <c r="I11" i="2" s="1"/>
  <c r="J11" i="2" s="1"/>
  <c r="C9" i="2"/>
  <c r="C7" i="2"/>
  <c r="D7" i="2" s="1"/>
  <c r="H7" i="2" s="1"/>
  <c r="C6" i="2"/>
  <c r="C4" i="2"/>
  <c r="K4" i="2" s="1"/>
  <c r="D4" i="1"/>
  <c r="C4" i="1"/>
  <c r="R11" i="1"/>
  <c r="S11" i="1"/>
  <c r="V11" i="1" s="1"/>
  <c r="Q11" i="1"/>
  <c r="U11" i="1"/>
  <c r="T11" i="1"/>
  <c r="V9" i="1"/>
  <c r="V10" i="1"/>
  <c r="U9" i="1"/>
  <c r="U10" i="1"/>
  <c r="T9" i="1"/>
  <c r="T10" i="1"/>
  <c r="R10" i="1"/>
  <c r="S10" i="1"/>
  <c r="Q10" i="1"/>
  <c r="D9" i="1"/>
  <c r="N10" i="1"/>
  <c r="N9" i="1"/>
  <c r="N4" i="1"/>
  <c r="C9" i="1"/>
  <c r="D4" i="13"/>
  <c r="H4" i="13"/>
  <c r="B70" i="5"/>
  <c r="B69" i="5"/>
  <c r="C24" i="5" s="1"/>
  <c r="B71" i="5" a="1"/>
  <c r="B71" i="5" s="1"/>
  <c r="G26" i="5" s="1"/>
  <c r="L8" i="13"/>
  <c r="D5" i="13"/>
  <c r="E5" i="13" s="1"/>
  <c r="T3" i="1"/>
  <c r="U3" i="1"/>
  <c r="V3" i="1"/>
  <c r="T4" i="1"/>
  <c r="U4" i="1"/>
  <c r="V4" i="1"/>
  <c r="T5" i="1"/>
  <c r="U5" i="1"/>
  <c r="V5" i="1"/>
  <c r="T6" i="1"/>
  <c r="U6" i="1"/>
  <c r="V6" i="1"/>
  <c r="T7" i="1"/>
  <c r="U7" i="1"/>
  <c r="V7" i="1"/>
  <c r="T8" i="1"/>
  <c r="U8" i="1"/>
  <c r="V8" i="1"/>
  <c r="U2" i="1"/>
  <c r="V2" i="1"/>
  <c r="T2" i="1"/>
  <c r="Q8" i="1"/>
  <c r="R8" i="1"/>
  <c r="P7" i="1"/>
  <c r="O7" i="1"/>
  <c r="D7" i="1"/>
  <c r="C7" i="1"/>
  <c r="D6" i="1"/>
  <c r="C6" i="1"/>
  <c r="N5" i="1"/>
  <c r="N7" i="1"/>
  <c r="H8" i="13"/>
  <c r="I8" i="13" s="1"/>
  <c r="E2" i="13"/>
  <c r="D2" i="13"/>
  <c r="D3" i="13"/>
  <c r="E3" i="13" s="1"/>
  <c r="D6" i="13"/>
  <c r="E6" i="13" s="1"/>
  <c r="D8" i="13"/>
  <c r="E8" i="13" s="1"/>
  <c r="B34" i="3"/>
  <c r="F1" i="4"/>
  <c r="G1" i="4" s="1"/>
  <c r="E5" i="9"/>
  <c r="E6" i="9"/>
  <c r="E7" i="9"/>
  <c r="E8" i="9"/>
  <c r="E9" i="9"/>
  <c r="E10" i="9"/>
  <c r="E11" i="9"/>
  <c r="E12" i="9"/>
  <c r="E4" i="9"/>
  <c r="C28" i="5"/>
  <c r="D28" i="5"/>
  <c r="E28" i="5"/>
  <c r="F28" i="5"/>
  <c r="G28" i="5"/>
  <c r="H28" i="5"/>
  <c r="I28" i="5"/>
  <c r="J28" i="5"/>
  <c r="K28" i="5"/>
  <c r="L28" i="5"/>
  <c r="M28" i="5"/>
  <c r="N28" i="5"/>
  <c r="C29" i="5"/>
  <c r="D29" i="5"/>
  <c r="E29" i="5"/>
  <c r="F29" i="5"/>
  <c r="G29" i="5"/>
  <c r="H29" i="5"/>
  <c r="I29" i="5"/>
  <c r="J29" i="5"/>
  <c r="K29" i="5"/>
  <c r="L29" i="5"/>
  <c r="M29" i="5"/>
  <c r="N29" i="5"/>
  <c r="C30" i="5"/>
  <c r="D30" i="5"/>
  <c r="E30" i="5"/>
  <c r="F30" i="5"/>
  <c r="G30" i="5"/>
  <c r="H30" i="5"/>
  <c r="I30" i="5"/>
  <c r="J30" i="5"/>
  <c r="K30" i="5"/>
  <c r="L30" i="5"/>
  <c r="M30" i="5"/>
  <c r="N30" i="5"/>
  <c r="B30" i="5"/>
  <c r="B29" i="5"/>
  <c r="B28" i="5"/>
  <c r="B72" i="5"/>
  <c r="E27" i="5" s="1"/>
  <c r="B1" i="5"/>
  <c r="F3" i="5" s="1"/>
  <c r="B35" i="3"/>
  <c r="B11" i="3" s="1"/>
  <c r="K6" i="2"/>
  <c r="K8" i="2"/>
  <c r="D8" i="2"/>
  <c r="H8" i="2" s="1"/>
  <c r="F2" i="12"/>
  <c r="F3" i="12"/>
  <c r="M3" i="12"/>
  <c r="M5" i="12"/>
  <c r="N5" i="12" s="1"/>
  <c r="D5" i="12"/>
  <c r="D4" i="12" s="1"/>
  <c r="F4" i="12"/>
  <c r="F5" i="12"/>
  <c r="O3" i="11"/>
  <c r="P3" i="11"/>
  <c r="Q3" i="11"/>
  <c r="O4" i="11"/>
  <c r="P4" i="11"/>
  <c r="Q4" i="11"/>
  <c r="O5" i="11"/>
  <c r="P5" i="11"/>
  <c r="Q5" i="11"/>
  <c r="O6" i="11"/>
  <c r="P6" i="11"/>
  <c r="Q6" i="11"/>
  <c r="O7" i="11"/>
  <c r="P7" i="11"/>
  <c r="Q7" i="11"/>
  <c r="O8" i="11"/>
  <c r="P8" i="11"/>
  <c r="Q8" i="11"/>
  <c r="P2" i="11"/>
  <c r="Q2" i="11"/>
  <c r="O2" i="11"/>
  <c r="B9" i="3"/>
  <c r="C9" i="3" s="1"/>
  <c r="D9" i="3" s="1"/>
  <c r="E9" i="3" s="1"/>
  <c r="F9" i="3" s="1"/>
  <c r="G9" i="3" s="1"/>
  <c r="H9" i="3" s="1"/>
  <c r="I9" i="3" s="1"/>
  <c r="J9" i="3" s="1"/>
  <c r="K9" i="3" s="1"/>
  <c r="L9" i="3" s="1"/>
  <c r="M3" i="11"/>
  <c r="M5" i="11"/>
  <c r="M6" i="11"/>
  <c r="M8" i="11"/>
  <c r="L4" i="11"/>
  <c r="N4" i="11" s="1"/>
  <c r="L6" i="11"/>
  <c r="N6" i="11" s="1"/>
  <c r="K5" i="11"/>
  <c r="K6" i="11"/>
  <c r="K7" i="11"/>
  <c r="K8" i="11"/>
  <c r="K2" i="11"/>
  <c r="J3" i="11"/>
  <c r="J4" i="11"/>
  <c r="M4" i="11" s="1"/>
  <c r="J5" i="11"/>
  <c r="J6" i="11"/>
  <c r="J7" i="11"/>
  <c r="M7" i="11" s="1"/>
  <c r="J8" i="11"/>
  <c r="J2" i="11"/>
  <c r="M2" i="11" s="1"/>
  <c r="I3" i="11"/>
  <c r="K3" i="11" s="1"/>
  <c r="I4" i="11"/>
  <c r="K4" i="11" s="1"/>
  <c r="I5" i="11"/>
  <c r="L5" i="11" s="1"/>
  <c r="N5" i="11" s="1"/>
  <c r="I6" i="11"/>
  <c r="I7" i="11"/>
  <c r="L7" i="11" s="1"/>
  <c r="N7" i="11" s="1"/>
  <c r="I8" i="11"/>
  <c r="L8" i="11" s="1"/>
  <c r="N8" i="11" s="1"/>
  <c r="I2" i="11"/>
  <c r="L2" i="11" s="1"/>
  <c r="N2" i="11" s="1"/>
  <c r="D6" i="2"/>
  <c r="H6" i="2" s="1"/>
  <c r="B12" i="9"/>
  <c r="B5" i="9"/>
  <c r="B6" i="9"/>
  <c r="B7" i="9"/>
  <c r="B8" i="9"/>
  <c r="B9" i="9"/>
  <c r="B10" i="9"/>
  <c r="B11" i="9"/>
  <c r="B4" i="9"/>
  <c r="A6" i="9"/>
  <c r="A7" i="9"/>
  <c r="A8" i="9" s="1"/>
  <c r="A9" i="9" s="1"/>
  <c r="A10" i="9" s="1"/>
  <c r="A11" i="9" s="1"/>
  <c r="A5" i="9"/>
  <c r="Q8" i="4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R8" i="4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S8" i="4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T8" i="4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V8" i="4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W8" i="4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X8" i="4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Y8" i="4"/>
  <c r="Y9" i="4" s="1"/>
  <c r="Y10" i="4" s="1"/>
  <c r="Y11" i="4" s="1"/>
  <c r="Y12" i="4" s="1"/>
  <c r="Y13" i="4" s="1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Y25" i="4" s="1"/>
  <c r="Y26" i="4" s="1"/>
  <c r="Y27" i="4" s="1"/>
  <c r="Y28" i="4" s="1"/>
  <c r="Y29" i="4" s="1"/>
  <c r="Y30" i="4" s="1"/>
  <c r="Y31" i="4" s="1"/>
  <c r="Y32" i="4" s="1"/>
  <c r="Z8" i="4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AA8" i="4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B8" i="4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P8" i="4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D3" i="2"/>
  <c r="H3" i="2" s="1"/>
  <c r="D4" i="2"/>
  <c r="H4" i="2" s="1"/>
  <c r="D5" i="2"/>
  <c r="H5" i="2" s="1"/>
  <c r="D2" i="2"/>
  <c r="H2" i="2" s="1"/>
  <c r="A45" i="5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C12" i="3"/>
  <c r="D12" i="3" s="1"/>
  <c r="E12" i="3" s="1"/>
  <c r="F12" i="3" s="1"/>
  <c r="G12" i="3" s="1"/>
  <c r="H12" i="3" s="1"/>
  <c r="I12" i="3" s="1"/>
  <c r="J12" i="3" s="1"/>
  <c r="K12" i="3" s="1"/>
  <c r="L12" i="3" s="1"/>
  <c r="C13" i="3"/>
  <c r="D13" i="3" s="1"/>
  <c r="E13" i="3" s="1"/>
  <c r="F13" i="3" s="1"/>
  <c r="G13" i="3" s="1"/>
  <c r="H13" i="3" s="1"/>
  <c r="I13" i="3" s="1"/>
  <c r="J13" i="3" s="1"/>
  <c r="K13" i="3" s="1"/>
  <c r="L13" i="3" s="1"/>
  <c r="C14" i="3"/>
  <c r="D14" i="3" s="1"/>
  <c r="E14" i="3" s="1"/>
  <c r="F14" i="3" s="1"/>
  <c r="G14" i="3" s="1"/>
  <c r="H14" i="3" s="1"/>
  <c r="I14" i="3" s="1"/>
  <c r="J14" i="3" s="1"/>
  <c r="K14" i="3" s="1"/>
  <c r="L14" i="3" s="1"/>
  <c r="A36" i="4"/>
  <c r="C8" i="4"/>
  <c r="D8" i="4"/>
  <c r="E8" i="4"/>
  <c r="F8" i="4"/>
  <c r="G8" i="4"/>
  <c r="H8" i="4"/>
  <c r="I8" i="4"/>
  <c r="J8" i="4"/>
  <c r="K8" i="4"/>
  <c r="L8" i="4"/>
  <c r="M8" i="4"/>
  <c r="N8" i="4"/>
  <c r="B8" i="4"/>
  <c r="A9" i="4"/>
  <c r="F9" i="4" s="1"/>
  <c r="K3" i="2"/>
  <c r="K5" i="2"/>
  <c r="K2" i="2"/>
  <c r="D8" i="14" l="1"/>
  <c r="E2" i="14" s="1"/>
  <c r="L7" i="13"/>
  <c r="K7" i="13"/>
  <c r="K2" i="13"/>
  <c r="G5" i="13"/>
  <c r="H5" i="13" s="1"/>
  <c r="I5" i="13" s="1"/>
  <c r="K5" i="13" s="1"/>
  <c r="K7" i="2"/>
  <c r="K3" i="13"/>
  <c r="K8" i="13"/>
  <c r="M8" i="13" s="1"/>
  <c r="G6" i="13"/>
  <c r="H6" i="13" s="1"/>
  <c r="I6" i="13" s="1"/>
  <c r="L6" i="13" s="1"/>
  <c r="G3" i="13"/>
  <c r="H3" i="13" s="1"/>
  <c r="I3" i="13" s="1"/>
  <c r="L3" i="13" s="1"/>
  <c r="G2" i="13"/>
  <c r="H2" i="13" s="1"/>
  <c r="I2" i="13" s="1"/>
  <c r="L2" i="13" s="1"/>
  <c r="M2" i="13" s="1"/>
  <c r="I5" i="2"/>
  <c r="J5" i="2" s="1"/>
  <c r="I2" i="2"/>
  <c r="J2" i="2" s="1"/>
  <c r="I7" i="2"/>
  <c r="J7" i="2" s="1"/>
  <c r="D27" i="5"/>
  <c r="H27" i="5"/>
  <c r="I27" i="5"/>
  <c r="C27" i="5"/>
  <c r="N26" i="5"/>
  <c r="M27" i="5"/>
  <c r="L27" i="5"/>
  <c r="E26" i="5"/>
  <c r="K27" i="5"/>
  <c r="D26" i="5"/>
  <c r="N27" i="5"/>
  <c r="M26" i="5"/>
  <c r="L26" i="5"/>
  <c r="J27" i="5"/>
  <c r="C26" i="5"/>
  <c r="F26" i="5"/>
  <c r="K26" i="5"/>
  <c r="J26" i="5"/>
  <c r="G27" i="5"/>
  <c r="I26" i="5"/>
  <c r="B26" i="5"/>
  <c r="F27" i="5"/>
  <c r="H26" i="5"/>
  <c r="B27" i="5"/>
  <c r="L3" i="5"/>
  <c r="K3" i="5"/>
  <c r="E3" i="5"/>
  <c r="D3" i="5"/>
  <c r="B24" i="5"/>
  <c r="K24" i="5"/>
  <c r="M3" i="5"/>
  <c r="J24" i="5"/>
  <c r="J3" i="5"/>
  <c r="I3" i="5"/>
  <c r="N3" i="5"/>
  <c r="B3" i="5"/>
  <c r="I24" i="5"/>
  <c r="H24" i="5"/>
  <c r="G24" i="5"/>
  <c r="L24" i="5"/>
  <c r="F24" i="5"/>
  <c r="E24" i="5"/>
  <c r="N24" i="5"/>
  <c r="D24" i="5"/>
  <c r="M24" i="5"/>
  <c r="C3" i="5"/>
  <c r="G3" i="5"/>
  <c r="H3" i="5"/>
  <c r="H1" i="4"/>
  <c r="I4" i="2"/>
  <c r="J4" i="2" s="1"/>
  <c r="I3" i="2"/>
  <c r="J3" i="2" s="1"/>
  <c r="D2" i="12"/>
  <c r="G2" i="12" s="1"/>
  <c r="D3" i="12"/>
  <c r="G3" i="12" s="1"/>
  <c r="G4" i="12"/>
  <c r="G5" i="12"/>
  <c r="B10" i="3"/>
  <c r="L3" i="11"/>
  <c r="N3" i="11" s="1"/>
  <c r="M9" i="4"/>
  <c r="N9" i="4"/>
  <c r="D9" i="4"/>
  <c r="E9" i="4"/>
  <c r="K9" i="4"/>
  <c r="A37" i="4"/>
  <c r="G9" i="4"/>
  <c r="H9" i="4"/>
  <c r="A10" i="4"/>
  <c r="I9" i="4"/>
  <c r="J9" i="4"/>
  <c r="B9" i="4"/>
  <c r="L9" i="4"/>
  <c r="C9" i="4"/>
  <c r="M7" i="13" l="1"/>
  <c r="L5" i="13"/>
  <c r="M5" i="13" s="1"/>
  <c r="M3" i="13"/>
  <c r="I4" i="13"/>
  <c r="L4" i="13" s="1"/>
  <c r="K6" i="13"/>
  <c r="M6" i="13" s="1"/>
  <c r="K4" i="13"/>
  <c r="I4" i="12"/>
  <c r="J4" i="12" s="1"/>
  <c r="K4" i="12" s="1"/>
  <c r="N4" i="12" s="1"/>
  <c r="I2" i="12"/>
  <c r="J2" i="12" s="1"/>
  <c r="K2" i="12" s="1"/>
  <c r="N2" i="12" s="1"/>
  <c r="I3" i="12"/>
  <c r="J3" i="12" s="1"/>
  <c r="K3" i="12" s="1"/>
  <c r="N3" i="12" s="1"/>
  <c r="C10" i="3"/>
  <c r="D10" i="3" s="1"/>
  <c r="E10" i="3" s="1"/>
  <c r="F10" i="3" s="1"/>
  <c r="G10" i="3" s="1"/>
  <c r="H10" i="3" s="1"/>
  <c r="I10" i="3" s="1"/>
  <c r="J10" i="3" s="1"/>
  <c r="K10" i="3" s="1"/>
  <c r="L10" i="3" s="1"/>
  <c r="A38" i="4"/>
  <c r="A11" i="4"/>
  <c r="C10" i="4"/>
  <c r="M10" i="4"/>
  <c r="D10" i="4"/>
  <c r="N10" i="4"/>
  <c r="E10" i="4"/>
  <c r="F10" i="4"/>
  <c r="G10" i="4"/>
  <c r="H10" i="4"/>
  <c r="I10" i="4"/>
  <c r="J10" i="4"/>
  <c r="K10" i="4"/>
  <c r="B10" i="4"/>
  <c r="L10" i="4"/>
  <c r="M4" i="13" l="1"/>
  <c r="B39" i="3"/>
  <c r="B40" i="3" s="1"/>
  <c r="B41" i="3" s="1"/>
  <c r="C11" i="3"/>
  <c r="D11" i="3" s="1"/>
  <c r="E11" i="3" s="1"/>
  <c r="F11" i="3" s="1"/>
  <c r="G11" i="3" s="1"/>
  <c r="H11" i="3" s="1"/>
  <c r="I11" i="3" s="1"/>
  <c r="J11" i="3" s="1"/>
  <c r="K11" i="3" s="1"/>
  <c r="L11" i="3" s="1"/>
  <c r="A39" i="4"/>
  <c r="E11" i="4"/>
  <c r="F11" i="4"/>
  <c r="A12" i="4"/>
  <c r="B11" i="4"/>
  <c r="I11" i="4"/>
  <c r="G11" i="4"/>
  <c r="H11" i="4"/>
  <c r="J11" i="4"/>
  <c r="L11" i="4"/>
  <c r="C11" i="4"/>
  <c r="D11" i="4"/>
  <c r="K11" i="4"/>
  <c r="M11" i="4"/>
  <c r="N11" i="4"/>
  <c r="D2" i="3" l="1"/>
  <c r="D3" i="3" s="1"/>
  <c r="H2" i="3"/>
  <c r="H3" i="3" s="1"/>
  <c r="F2" i="3"/>
  <c r="F3" i="3" s="1"/>
  <c r="I2" i="3"/>
  <c r="I3" i="3" s="1"/>
  <c r="K2" i="3"/>
  <c r="K3" i="3" s="1"/>
  <c r="L2" i="3"/>
  <c r="L3" i="3" s="1"/>
  <c r="C2" i="3"/>
  <c r="C3" i="3" s="1"/>
  <c r="E2" i="3"/>
  <c r="E3" i="3" s="1"/>
  <c r="J2" i="3"/>
  <c r="J3" i="3" s="1"/>
  <c r="G2" i="3"/>
  <c r="G3" i="3" s="1"/>
  <c r="B2" i="3"/>
  <c r="A40" i="4"/>
  <c r="A13" i="4"/>
  <c r="G12" i="4"/>
  <c r="J12" i="4"/>
  <c r="K12" i="4"/>
  <c r="H12" i="4"/>
  <c r="B12" i="4"/>
  <c r="I12" i="4"/>
  <c r="L12" i="4"/>
  <c r="E12" i="4"/>
  <c r="F12" i="4"/>
  <c r="C12" i="4"/>
  <c r="M12" i="4"/>
  <c r="N12" i="4"/>
  <c r="D12" i="4"/>
  <c r="G6" i="3" l="1"/>
  <c r="G5" i="3"/>
  <c r="G4" i="3"/>
  <c r="J6" i="3"/>
  <c r="J5" i="3"/>
  <c r="J4" i="3"/>
  <c r="E5" i="3"/>
  <c r="E4" i="3"/>
  <c r="E6" i="3"/>
  <c r="C5" i="3"/>
  <c r="C6" i="3"/>
  <c r="C4" i="3"/>
  <c r="L4" i="3"/>
  <c r="L6" i="3"/>
  <c r="L5" i="3"/>
  <c r="K6" i="3"/>
  <c r="K4" i="3"/>
  <c r="K5" i="3"/>
  <c r="F4" i="3"/>
  <c r="F6" i="3"/>
  <c r="F5" i="3"/>
  <c r="H6" i="3"/>
  <c r="H4" i="3"/>
  <c r="H5" i="3"/>
  <c r="I6" i="3"/>
  <c r="I5" i="3"/>
  <c r="I4" i="3"/>
  <c r="B3" i="3"/>
  <c r="B4" i="3"/>
  <c r="B5" i="3"/>
  <c r="B6" i="3"/>
  <c r="D4" i="3"/>
  <c r="D5" i="3"/>
  <c r="D6" i="3"/>
  <c r="A41" i="4"/>
  <c r="A14" i="4"/>
  <c r="I13" i="4"/>
  <c r="K13" i="4"/>
  <c r="J13" i="4"/>
  <c r="B13" i="4"/>
  <c r="L13" i="4"/>
  <c r="C13" i="4"/>
  <c r="M13" i="4"/>
  <c r="D13" i="4"/>
  <c r="N13" i="4"/>
  <c r="E13" i="4"/>
  <c r="F13" i="4"/>
  <c r="G13" i="4"/>
  <c r="H13" i="4"/>
  <c r="D7" i="3" l="1"/>
  <c r="D8" i="3" s="1"/>
  <c r="D16" i="3" s="1"/>
  <c r="D18" i="3" s="1"/>
  <c r="D21" i="3" s="1"/>
  <c r="E7" i="3"/>
  <c r="E8" i="3" s="1"/>
  <c r="E16" i="3" s="1"/>
  <c r="E15" i="3" s="1"/>
  <c r="E17" i="3" s="1"/>
  <c r="E19" i="3" s="1"/>
  <c r="E20" i="3" s="1"/>
  <c r="F7" i="3"/>
  <c r="F8" i="3" s="1"/>
  <c r="F16" i="3" s="1"/>
  <c r="F15" i="3" s="1"/>
  <c r="G7" i="3"/>
  <c r="G8" i="3" s="1"/>
  <c r="G16" i="3" s="1"/>
  <c r="G15" i="3" s="1"/>
  <c r="G17" i="3" s="1"/>
  <c r="G19" i="3" s="1"/>
  <c r="G20" i="3" s="1"/>
  <c r="C7" i="3"/>
  <c r="C8" i="3" s="1"/>
  <c r="C16" i="3" s="1"/>
  <c r="C15" i="3" s="1"/>
  <c r="J7" i="3"/>
  <c r="J8" i="3" s="1"/>
  <c r="J16" i="3" s="1"/>
  <c r="J18" i="3" s="1"/>
  <c r="J21" i="3" s="1"/>
  <c r="L7" i="3"/>
  <c r="L8" i="3" s="1"/>
  <c r="L16" i="3" s="1"/>
  <c r="B7" i="3"/>
  <c r="B8" i="3" s="1"/>
  <c r="B16" i="3" s="1"/>
  <c r="H7" i="3"/>
  <c r="H8" i="3" s="1"/>
  <c r="H16" i="3" s="1"/>
  <c r="K7" i="3"/>
  <c r="K8" i="3" s="1"/>
  <c r="K16" i="3" s="1"/>
  <c r="I7" i="3"/>
  <c r="I8" i="3" s="1"/>
  <c r="I16" i="3" s="1"/>
  <c r="A42" i="4"/>
  <c r="A15" i="4"/>
  <c r="K14" i="4"/>
  <c r="B14" i="4"/>
  <c r="D14" i="4"/>
  <c r="L14" i="4"/>
  <c r="M14" i="4"/>
  <c r="E14" i="4"/>
  <c r="C14" i="4"/>
  <c r="N14" i="4"/>
  <c r="F14" i="4"/>
  <c r="G14" i="4"/>
  <c r="H14" i="4"/>
  <c r="I14" i="4"/>
  <c r="J14" i="4"/>
  <c r="J26" i="3" l="1"/>
  <c r="J25" i="3"/>
  <c r="J27" i="3"/>
  <c r="J24" i="3"/>
  <c r="E28" i="3"/>
  <c r="D27" i="3"/>
  <c r="D24" i="3"/>
  <c r="D25" i="3"/>
  <c r="D26" i="3"/>
  <c r="F18" i="3"/>
  <c r="F21" i="3" s="1"/>
  <c r="D15" i="3"/>
  <c r="D17" i="3" s="1"/>
  <c r="D19" i="3" s="1"/>
  <c r="D20" i="3" s="1"/>
  <c r="D28" i="3" s="1"/>
  <c r="E18" i="3"/>
  <c r="E21" i="3" s="1"/>
  <c r="G18" i="3"/>
  <c r="G21" i="3" s="1"/>
  <c r="G28" i="3" s="1"/>
  <c r="J15" i="3"/>
  <c r="J17" i="3" s="1"/>
  <c r="J19" i="3" s="1"/>
  <c r="J20" i="3" s="1"/>
  <c r="J28" i="3" s="1"/>
  <c r="C18" i="3"/>
  <c r="C21" i="3" s="1"/>
  <c r="C17" i="3"/>
  <c r="C19" i="3" s="1"/>
  <c r="C20" i="3" s="1"/>
  <c r="I18" i="3"/>
  <c r="I21" i="3" s="1"/>
  <c r="I15" i="3"/>
  <c r="I17" i="3" s="1"/>
  <c r="I19" i="3" s="1"/>
  <c r="I20" i="3" s="1"/>
  <c r="H15" i="3"/>
  <c r="H17" i="3" s="1"/>
  <c r="H19" i="3" s="1"/>
  <c r="H20" i="3" s="1"/>
  <c r="H18" i="3"/>
  <c r="H21" i="3" s="1"/>
  <c r="L18" i="3"/>
  <c r="L21" i="3" s="1"/>
  <c r="L15" i="3"/>
  <c r="K18" i="3"/>
  <c r="K21" i="3" s="1"/>
  <c r="K15" i="3"/>
  <c r="K17" i="3" s="1"/>
  <c r="K19" i="3" s="1"/>
  <c r="K20" i="3" s="1"/>
  <c r="B18" i="3"/>
  <c r="B21" i="3" s="1"/>
  <c r="B15" i="3"/>
  <c r="B17" i="3" s="1"/>
  <c r="B19" i="3" s="1"/>
  <c r="F17" i="3"/>
  <c r="F19" i="3" s="1"/>
  <c r="F20" i="3" s="1"/>
  <c r="A43" i="4"/>
  <c r="A16" i="4"/>
  <c r="C15" i="4"/>
  <c r="M15" i="4"/>
  <c r="G15" i="4"/>
  <c r="D15" i="4"/>
  <c r="N15" i="4"/>
  <c r="F15" i="4"/>
  <c r="E15" i="4"/>
  <c r="H15" i="4"/>
  <c r="B15" i="4"/>
  <c r="I15" i="4"/>
  <c r="J15" i="4"/>
  <c r="K15" i="4"/>
  <c r="L15" i="4"/>
  <c r="K28" i="3" l="1"/>
  <c r="C28" i="3"/>
  <c r="H28" i="3"/>
  <c r="F28" i="3"/>
  <c r="B20" i="3"/>
  <c r="B28" i="3" s="1"/>
  <c r="I28" i="3"/>
  <c r="I27" i="3"/>
  <c r="I24" i="3"/>
  <c r="I25" i="3"/>
  <c r="I26" i="3"/>
  <c r="K25" i="3"/>
  <c r="K27" i="3"/>
  <c r="K26" i="3"/>
  <c r="K24" i="3"/>
  <c r="E26" i="3"/>
  <c r="E27" i="3"/>
  <c r="E24" i="3"/>
  <c r="E25" i="3"/>
  <c r="B25" i="3"/>
  <c r="B26" i="3"/>
  <c r="B27" i="3"/>
  <c r="B24" i="3"/>
  <c r="C25" i="3"/>
  <c r="C26" i="3"/>
  <c r="C27" i="3"/>
  <c r="C24" i="3"/>
  <c r="G25" i="3"/>
  <c r="G26" i="3"/>
  <c r="G27" i="3"/>
  <c r="G24" i="3"/>
  <c r="L25" i="3"/>
  <c r="L26" i="3"/>
  <c r="L27" i="3"/>
  <c r="L24" i="3"/>
  <c r="H25" i="3"/>
  <c r="H27" i="3"/>
  <c r="H26" i="3"/>
  <c r="H24" i="3"/>
  <c r="F25" i="3"/>
  <c r="F26" i="3"/>
  <c r="F27" i="3"/>
  <c r="F24" i="3"/>
  <c r="J29" i="3"/>
  <c r="J30" i="3" s="1"/>
  <c r="J31" i="3" s="1"/>
  <c r="D29" i="3"/>
  <c r="D30" i="3" s="1"/>
  <c r="D31" i="3" s="1"/>
  <c r="L17" i="3"/>
  <c r="L19" i="3" s="1"/>
  <c r="L20" i="3" s="1"/>
  <c r="L28" i="3" s="1"/>
  <c r="A44" i="4"/>
  <c r="A17" i="4"/>
  <c r="E16" i="4"/>
  <c r="H16" i="4"/>
  <c r="F16" i="4"/>
  <c r="G16" i="4"/>
  <c r="I16" i="4"/>
  <c r="J16" i="4"/>
  <c r="C16" i="4"/>
  <c r="B16" i="4"/>
  <c r="D16" i="4"/>
  <c r="N16" i="4"/>
  <c r="K16" i="4"/>
  <c r="L16" i="4"/>
  <c r="M16" i="4"/>
  <c r="P13" i="3" l="1"/>
  <c r="P14" i="3" s="1"/>
  <c r="P15" i="3" s="1"/>
  <c r="P8" i="3"/>
  <c r="P9" i="3" s="1"/>
  <c r="P10" i="3" s="1"/>
  <c r="E29" i="3"/>
  <c r="E30" i="3" s="1"/>
  <c r="E31" i="3" s="1"/>
  <c r="F29" i="3"/>
  <c r="F30" i="3" s="1"/>
  <c r="F31" i="3" s="1"/>
  <c r="N3" i="3"/>
  <c r="N4" i="3" s="1"/>
  <c r="N5" i="3" s="1"/>
  <c r="Q13" i="3"/>
  <c r="Q14" i="3" s="1"/>
  <c r="Q15" i="3" s="1"/>
  <c r="Q8" i="3"/>
  <c r="Q9" i="3" s="1"/>
  <c r="Q10" i="3" s="1"/>
  <c r="C29" i="3"/>
  <c r="C30" i="3" s="1"/>
  <c r="C31" i="3" s="1"/>
  <c r="N8" i="3"/>
  <c r="N9" i="3" s="1"/>
  <c r="N10" i="3" s="1"/>
  <c r="G29" i="3"/>
  <c r="G30" i="3" s="1"/>
  <c r="G31" i="3" s="1"/>
  <c r="R13" i="3"/>
  <c r="R14" i="3" s="1"/>
  <c r="R15" i="3" s="1"/>
  <c r="O3" i="3"/>
  <c r="O4" i="3" s="1"/>
  <c r="O5" i="3" s="1"/>
  <c r="O13" i="3"/>
  <c r="O14" i="3" s="1"/>
  <c r="O15" i="3" s="1"/>
  <c r="O8" i="3"/>
  <c r="O9" i="3" s="1"/>
  <c r="S8" i="3"/>
  <c r="S9" i="3" s="1"/>
  <c r="S10" i="3" s="1"/>
  <c r="K29" i="3"/>
  <c r="K30" i="3" s="1"/>
  <c r="K31" i="3" s="1"/>
  <c r="N13" i="3"/>
  <c r="N14" i="3" s="1"/>
  <c r="N15" i="3" s="1"/>
  <c r="I29" i="3"/>
  <c r="I30" i="3" s="1"/>
  <c r="I31" i="3" s="1"/>
  <c r="W3" i="3"/>
  <c r="W4" i="3" s="1"/>
  <c r="W5" i="3" s="1"/>
  <c r="S3" i="3"/>
  <c r="S4" i="3" s="1"/>
  <c r="S5" i="3" s="1"/>
  <c r="W8" i="3"/>
  <c r="W9" i="3" s="1"/>
  <c r="W10" i="3" s="1"/>
  <c r="T13" i="3"/>
  <c r="T14" i="3" s="1"/>
  <c r="T15" i="3" s="1"/>
  <c r="T3" i="3"/>
  <c r="T4" i="3" s="1"/>
  <c r="T5" i="3" s="1"/>
  <c r="T8" i="3"/>
  <c r="T9" i="3" s="1"/>
  <c r="T10" i="3" s="1"/>
  <c r="H29" i="3"/>
  <c r="H30" i="3" s="1"/>
  <c r="H31" i="3" s="1"/>
  <c r="B29" i="3"/>
  <c r="B30" i="3" s="1"/>
  <c r="B31" i="3" s="1"/>
  <c r="S13" i="3"/>
  <c r="S14" i="3" s="1"/>
  <c r="S15" i="3" s="1"/>
  <c r="Q3" i="3"/>
  <c r="Q4" i="3" s="1"/>
  <c r="Q5" i="3" s="1"/>
  <c r="L29" i="3"/>
  <c r="L30" i="3" s="1"/>
  <c r="L31" i="3" s="1"/>
  <c r="V8" i="3"/>
  <c r="V9" i="3" s="1"/>
  <c r="V10" i="3" s="1"/>
  <c r="V3" i="3"/>
  <c r="V4" i="3" s="1"/>
  <c r="V5" i="3" s="1"/>
  <c r="P3" i="3"/>
  <c r="P4" i="3" s="1"/>
  <c r="P5" i="3" s="1"/>
  <c r="R3" i="3"/>
  <c r="R4" i="3" s="1"/>
  <c r="R5" i="3" s="1"/>
  <c r="W13" i="3"/>
  <c r="W14" i="3" s="1"/>
  <c r="W15" i="3" s="1"/>
  <c r="U8" i="3"/>
  <c r="U9" i="3" s="1"/>
  <c r="U10" i="3" s="1"/>
  <c r="U3" i="3"/>
  <c r="U4" i="3" s="1"/>
  <c r="U5" i="3" s="1"/>
  <c r="U13" i="3"/>
  <c r="U14" i="3" s="1"/>
  <c r="U15" i="3" s="1"/>
  <c r="R8" i="3"/>
  <c r="R9" i="3" s="1"/>
  <c r="R10" i="3" s="1"/>
  <c r="V13" i="3"/>
  <c r="V14" i="3" s="1"/>
  <c r="V15" i="3" s="1"/>
  <c r="A45" i="4"/>
  <c r="A18" i="4"/>
  <c r="G17" i="4"/>
  <c r="H17" i="4"/>
  <c r="J17" i="4"/>
  <c r="I17" i="4"/>
  <c r="K17" i="4"/>
  <c r="L17" i="4"/>
  <c r="D17" i="4"/>
  <c r="F17" i="4"/>
  <c r="M17" i="4"/>
  <c r="C17" i="4"/>
  <c r="N17" i="4"/>
  <c r="B17" i="4"/>
  <c r="E17" i="4"/>
  <c r="O10" i="3" l="1"/>
  <c r="D2" i="4"/>
  <c r="F2" i="4" s="1"/>
  <c r="A46" i="4"/>
  <c r="A19" i="4"/>
  <c r="I18" i="4"/>
  <c r="C18" i="4"/>
  <c r="J18" i="4"/>
  <c r="M18" i="4"/>
  <c r="K18" i="4"/>
  <c r="L18" i="4"/>
  <c r="D18" i="4"/>
  <c r="N18" i="4"/>
  <c r="E18" i="4"/>
  <c r="F18" i="4"/>
  <c r="G18" i="4"/>
  <c r="B18" i="4"/>
  <c r="H18" i="4"/>
  <c r="C42" i="4" l="1"/>
  <c r="Q42" i="4" s="1"/>
  <c r="N42" i="4"/>
  <c r="AB42" i="4" s="1"/>
  <c r="E42" i="4"/>
  <c r="S42" i="4" s="1"/>
  <c r="J37" i="4"/>
  <c r="AL10" i="4" s="1"/>
  <c r="F42" i="4"/>
  <c r="T42" i="4" s="1"/>
  <c r="I42" i="4"/>
  <c r="AK15" i="4" s="1"/>
  <c r="K42" i="4"/>
  <c r="AM15" i="4" s="1"/>
  <c r="L42" i="4"/>
  <c r="Z42" i="4" s="1"/>
  <c r="G42" i="4"/>
  <c r="U42" i="4" s="1"/>
  <c r="B36" i="4"/>
  <c r="P36" i="4" s="1"/>
  <c r="H37" i="4"/>
  <c r="V37" i="4" s="1"/>
  <c r="B6" i="5"/>
  <c r="B68" i="5" s="1"/>
  <c r="M42" i="4"/>
  <c r="AA42" i="4" s="1"/>
  <c r="A47" i="4"/>
  <c r="A20" i="4"/>
  <c r="K19" i="4"/>
  <c r="N19" i="4"/>
  <c r="L19" i="4"/>
  <c r="D19" i="4"/>
  <c r="C19" i="4"/>
  <c r="M19" i="4"/>
  <c r="E19" i="4"/>
  <c r="F19" i="4"/>
  <c r="B19" i="4"/>
  <c r="G19" i="4"/>
  <c r="J19" i="4"/>
  <c r="H19" i="4"/>
  <c r="I19" i="4"/>
  <c r="B23" i="5" l="1"/>
  <c r="Y42" i="4"/>
  <c r="AM42" i="4" s="1"/>
  <c r="D37" i="4"/>
  <c r="D39" i="4"/>
  <c r="R39" i="4" s="1"/>
  <c r="D45" i="4"/>
  <c r="R45" i="4" s="1"/>
  <c r="D38" i="4"/>
  <c r="R38" i="4" s="1"/>
  <c r="D36" i="4"/>
  <c r="D42" i="4"/>
  <c r="D41" i="4"/>
  <c r="R41" i="4" s="1"/>
  <c r="D44" i="4"/>
  <c r="D35" i="4"/>
  <c r="AF8" i="4" s="1"/>
  <c r="D40" i="4"/>
  <c r="D46" i="4"/>
  <c r="R46" i="4" s="1"/>
  <c r="D43" i="4"/>
  <c r="R43" i="4" s="1"/>
  <c r="W42" i="4"/>
  <c r="AK42" i="4" s="1"/>
  <c r="C44" i="4"/>
  <c r="Q44" i="4" s="1"/>
  <c r="C45" i="4"/>
  <c r="Q45" i="4" s="1"/>
  <c r="I44" i="4"/>
  <c r="AK17" i="4" s="1"/>
  <c r="H39" i="4"/>
  <c r="V39" i="4" s="1"/>
  <c r="H43" i="4"/>
  <c r="V43" i="4" s="1"/>
  <c r="H45" i="4"/>
  <c r="V45" i="4" s="1"/>
  <c r="H46" i="4"/>
  <c r="V46" i="4" s="1"/>
  <c r="H36" i="4"/>
  <c r="AJ9" i="4" s="1"/>
  <c r="C46" i="4"/>
  <c r="Q46" i="4" s="1"/>
  <c r="AJ10" i="4"/>
  <c r="AJ37" i="4" s="1"/>
  <c r="I46" i="4"/>
  <c r="AK19" i="4" s="1"/>
  <c r="C35" i="4"/>
  <c r="Q35" i="4" s="1"/>
  <c r="C38" i="4"/>
  <c r="Q38" i="4" s="1"/>
  <c r="I40" i="4"/>
  <c r="W40" i="4" s="1"/>
  <c r="C40" i="4"/>
  <c r="Q40" i="4" s="1"/>
  <c r="I37" i="4"/>
  <c r="AK10" i="4" s="1"/>
  <c r="K46" i="4"/>
  <c r="AM19" i="4" s="1"/>
  <c r="H38" i="4"/>
  <c r="V38" i="4" s="1"/>
  <c r="C37" i="4"/>
  <c r="Q37" i="4" s="1"/>
  <c r="L40" i="4"/>
  <c r="Z40" i="4" s="1"/>
  <c r="AE15" i="4"/>
  <c r="AE42" i="4" s="1"/>
  <c r="K40" i="4"/>
  <c r="Y40" i="4" s="1"/>
  <c r="I36" i="4"/>
  <c r="W36" i="4" s="1"/>
  <c r="C43" i="4"/>
  <c r="Q43" i="4" s="1"/>
  <c r="K44" i="4"/>
  <c r="AM17" i="4" s="1"/>
  <c r="C39" i="4"/>
  <c r="Q39" i="4" s="1"/>
  <c r="H41" i="4"/>
  <c r="V41" i="4" s="1"/>
  <c r="G37" i="4"/>
  <c r="U37" i="4" s="1"/>
  <c r="K38" i="4"/>
  <c r="Y38" i="4" s="1"/>
  <c r="G46" i="4"/>
  <c r="U46" i="4" s="1"/>
  <c r="L39" i="4"/>
  <c r="Z39" i="4" s="1"/>
  <c r="I38" i="4"/>
  <c r="AK11" i="4" s="1"/>
  <c r="N39" i="4"/>
  <c r="AB39" i="4" s="1"/>
  <c r="H44" i="4"/>
  <c r="V44" i="4" s="1"/>
  <c r="N35" i="4"/>
  <c r="AB35" i="4" s="1"/>
  <c r="B46" i="4"/>
  <c r="P46" i="4" s="1"/>
  <c r="L43" i="4"/>
  <c r="Z43" i="4" s="1"/>
  <c r="I41" i="4"/>
  <c r="W41" i="4" s="1"/>
  <c r="E38" i="4"/>
  <c r="S38" i="4" s="1"/>
  <c r="AI15" i="4"/>
  <c r="AI42" i="4" s="1"/>
  <c r="K36" i="4"/>
  <c r="Y36" i="4" s="1"/>
  <c r="K37" i="4"/>
  <c r="Y37" i="4" s="1"/>
  <c r="C41" i="4"/>
  <c r="Q41" i="4" s="1"/>
  <c r="AG15" i="4"/>
  <c r="AG42" i="4" s="1"/>
  <c r="E35" i="4"/>
  <c r="S35" i="4" s="1"/>
  <c r="E41" i="4"/>
  <c r="AG14" i="4" s="1"/>
  <c r="L36" i="4"/>
  <c r="AN9" i="4" s="1"/>
  <c r="E40" i="4"/>
  <c r="S40" i="4" s="1"/>
  <c r="L44" i="4"/>
  <c r="Z44" i="4" s="1"/>
  <c r="L41" i="4"/>
  <c r="Z41" i="4" s="1"/>
  <c r="I35" i="4"/>
  <c r="AK8" i="4" s="1"/>
  <c r="N41" i="4"/>
  <c r="AP14" i="4" s="1"/>
  <c r="N43" i="4"/>
  <c r="AB43" i="4" s="1"/>
  <c r="E36" i="4"/>
  <c r="S36" i="4" s="1"/>
  <c r="G44" i="4"/>
  <c r="U44" i="4" s="1"/>
  <c r="B45" i="4"/>
  <c r="P45" i="4" s="1"/>
  <c r="L35" i="4"/>
  <c r="Z35" i="4" s="1"/>
  <c r="F37" i="4"/>
  <c r="T37" i="4" s="1"/>
  <c r="G45" i="4"/>
  <c r="U45" i="4" s="1"/>
  <c r="K35" i="4"/>
  <c r="AM8" i="4" s="1"/>
  <c r="I39" i="4"/>
  <c r="AK12" i="4" s="1"/>
  <c r="I45" i="4"/>
  <c r="W45" i="4" s="1"/>
  <c r="B40" i="4"/>
  <c r="P40" i="4" s="1"/>
  <c r="J44" i="4"/>
  <c r="X44" i="4" s="1"/>
  <c r="L45" i="4"/>
  <c r="Z45" i="4" s="1"/>
  <c r="B39" i="4"/>
  <c r="P39" i="4" s="1"/>
  <c r="L38" i="4"/>
  <c r="AN11" i="4" s="1"/>
  <c r="K45" i="4"/>
  <c r="AM18" i="4" s="1"/>
  <c r="I43" i="4"/>
  <c r="AK16" i="4" s="1"/>
  <c r="J42" i="4"/>
  <c r="X42" i="4" s="1"/>
  <c r="C36" i="4"/>
  <c r="Q36" i="4" s="1"/>
  <c r="N37" i="4"/>
  <c r="AB37" i="4" s="1"/>
  <c r="M39" i="4"/>
  <c r="AA39" i="4" s="1"/>
  <c r="AH15" i="4"/>
  <c r="AH42" i="4" s="1"/>
  <c r="J38" i="4"/>
  <c r="AL11" i="4" s="1"/>
  <c r="E44" i="4"/>
  <c r="S44" i="4" s="1"/>
  <c r="F45" i="4"/>
  <c r="T45" i="4" s="1"/>
  <c r="J35" i="4"/>
  <c r="X35" i="4" s="1"/>
  <c r="G41" i="4"/>
  <c r="U41" i="4" s="1"/>
  <c r="J40" i="4"/>
  <c r="X40" i="4" s="1"/>
  <c r="E45" i="4"/>
  <c r="S45" i="4" s="1"/>
  <c r="F43" i="4"/>
  <c r="T43" i="4" s="1"/>
  <c r="B35" i="4"/>
  <c r="P35" i="4" s="1"/>
  <c r="E46" i="4"/>
  <c r="S46" i="4" s="1"/>
  <c r="F41" i="4"/>
  <c r="T41" i="4" s="1"/>
  <c r="G39" i="4"/>
  <c r="U39" i="4" s="1"/>
  <c r="G36" i="4"/>
  <c r="U36" i="4" s="1"/>
  <c r="E39" i="4"/>
  <c r="S39" i="4" s="1"/>
  <c r="B41" i="4"/>
  <c r="P41" i="4" s="1"/>
  <c r="N36" i="4"/>
  <c r="AB36" i="4" s="1"/>
  <c r="N44" i="4"/>
  <c r="AB44" i="4" s="1"/>
  <c r="AP15" i="4"/>
  <c r="AP42" i="4" s="1"/>
  <c r="X37" i="4"/>
  <c r="AL37" i="4" s="1"/>
  <c r="F44" i="4"/>
  <c r="T44" i="4" s="1"/>
  <c r="G43" i="4"/>
  <c r="U43" i="4" s="1"/>
  <c r="J36" i="4"/>
  <c r="X36" i="4" s="1"/>
  <c r="N38" i="4"/>
  <c r="AP11" i="4" s="1"/>
  <c r="N40" i="4"/>
  <c r="AB40" i="4" s="1"/>
  <c r="L46" i="4"/>
  <c r="Z46" i="4" s="1"/>
  <c r="J46" i="4"/>
  <c r="AL19" i="4" s="1"/>
  <c r="F38" i="4"/>
  <c r="AH11" i="4" s="1"/>
  <c r="K41" i="4"/>
  <c r="AM14" i="4" s="1"/>
  <c r="K39" i="4"/>
  <c r="Y39" i="4" s="1"/>
  <c r="J43" i="4"/>
  <c r="X43" i="4" s="1"/>
  <c r="B38" i="4"/>
  <c r="AD11" i="4" s="1"/>
  <c r="E37" i="4"/>
  <c r="AG10" i="4" s="1"/>
  <c r="F39" i="4"/>
  <c r="T39" i="4" s="1"/>
  <c r="F36" i="4"/>
  <c r="T36" i="4" s="1"/>
  <c r="AD9" i="4"/>
  <c r="AD36" i="4" s="1"/>
  <c r="F35" i="4"/>
  <c r="AH8" i="4" s="1"/>
  <c r="G38" i="4"/>
  <c r="U38" i="4" s="1"/>
  <c r="J41" i="4"/>
  <c r="X41" i="4" s="1"/>
  <c r="B37" i="4"/>
  <c r="P37" i="4" s="1"/>
  <c r="B44" i="4"/>
  <c r="P44" i="4" s="1"/>
  <c r="F46" i="4"/>
  <c r="T46" i="4" s="1"/>
  <c r="L37" i="4"/>
  <c r="Z37" i="4" s="1"/>
  <c r="J39" i="4"/>
  <c r="X39" i="4" s="1"/>
  <c r="N46" i="4"/>
  <c r="AB46" i="4" s="1"/>
  <c r="F40" i="4"/>
  <c r="T40" i="4" s="1"/>
  <c r="AN15" i="4"/>
  <c r="AN42" i="4" s="1"/>
  <c r="J45" i="4"/>
  <c r="AL18" i="4" s="1"/>
  <c r="K43" i="4"/>
  <c r="Y43" i="4" s="1"/>
  <c r="G35" i="4"/>
  <c r="U35" i="4" s="1"/>
  <c r="G40" i="4"/>
  <c r="U40" i="4" s="1"/>
  <c r="E43" i="4"/>
  <c r="S43" i="4" s="1"/>
  <c r="N45" i="4"/>
  <c r="AB45" i="4" s="1"/>
  <c r="B43" i="4"/>
  <c r="P43" i="4" s="1"/>
  <c r="B42" i="4"/>
  <c r="P42" i="4" s="1"/>
  <c r="H42" i="4"/>
  <c r="V42" i="4" s="1"/>
  <c r="H35" i="4"/>
  <c r="AJ8" i="4" s="1"/>
  <c r="H40" i="4"/>
  <c r="V40" i="4" s="1"/>
  <c r="M38" i="4"/>
  <c r="AA38" i="4" s="1"/>
  <c r="M44" i="4"/>
  <c r="AA44" i="4" s="1"/>
  <c r="AO15" i="4"/>
  <c r="AO42" i="4" s="1"/>
  <c r="M41" i="4"/>
  <c r="AA41" i="4" s="1"/>
  <c r="M37" i="4"/>
  <c r="AA37" i="4" s="1"/>
  <c r="M35" i="4"/>
  <c r="AA35" i="4" s="1"/>
  <c r="M36" i="4"/>
  <c r="AA36" i="4" s="1"/>
  <c r="M43" i="4"/>
  <c r="AA43" i="4" s="1"/>
  <c r="M46" i="4"/>
  <c r="AA46" i="4" s="1"/>
  <c r="M45" i="4"/>
  <c r="AA45" i="4" s="1"/>
  <c r="M40" i="4"/>
  <c r="AA40" i="4" s="1"/>
  <c r="H47" i="4"/>
  <c r="V47" i="4" s="1"/>
  <c r="L47" i="4"/>
  <c r="Z47" i="4" s="1"/>
  <c r="I47" i="4"/>
  <c r="W47" i="4" s="1"/>
  <c r="J47" i="4"/>
  <c r="E47" i="4"/>
  <c r="S47" i="4" s="1"/>
  <c r="D47" i="4"/>
  <c r="R47" i="4" s="1"/>
  <c r="K47" i="4"/>
  <c r="Y47" i="4" s="1"/>
  <c r="G47" i="4"/>
  <c r="U47" i="4" s="1"/>
  <c r="B47" i="4"/>
  <c r="P47" i="4" s="1"/>
  <c r="C47" i="4"/>
  <c r="Q47" i="4" s="1"/>
  <c r="F47" i="4"/>
  <c r="T47" i="4" s="1"/>
  <c r="N47" i="4"/>
  <c r="AB47" i="4" s="1"/>
  <c r="M47" i="4"/>
  <c r="AA47" i="4" s="1"/>
  <c r="A48" i="4"/>
  <c r="A21" i="4"/>
  <c r="C20" i="4"/>
  <c r="M20" i="4"/>
  <c r="F20" i="4"/>
  <c r="D20" i="4"/>
  <c r="N20" i="4"/>
  <c r="G20" i="4"/>
  <c r="E20" i="4"/>
  <c r="B20" i="4"/>
  <c r="H20" i="4"/>
  <c r="I20" i="4"/>
  <c r="J20" i="4"/>
  <c r="K20" i="4"/>
  <c r="L20" i="4"/>
  <c r="AF12" i="4" l="1"/>
  <c r="AF39" i="4" s="1"/>
  <c r="AF19" i="4"/>
  <c r="AF46" i="4" s="1"/>
  <c r="V36" i="4"/>
  <c r="AJ36" i="4" s="1"/>
  <c r="C23" i="5"/>
  <c r="D23" i="5" s="1"/>
  <c r="E23" i="5" s="1"/>
  <c r="F23" i="5" s="1"/>
  <c r="G23" i="5" s="1"/>
  <c r="H23" i="5" s="1"/>
  <c r="I23" i="5" s="1"/>
  <c r="J23" i="5" s="1"/>
  <c r="K23" i="5" s="1"/>
  <c r="L23" i="5" s="1"/>
  <c r="M23" i="5" s="1"/>
  <c r="N23" i="5" s="1"/>
  <c r="AF16" i="4"/>
  <c r="AF43" i="4" s="1"/>
  <c r="AE17" i="4"/>
  <c r="AE44" i="4" s="1"/>
  <c r="AE18" i="4"/>
  <c r="AE45" i="4" s="1"/>
  <c r="AF11" i="4"/>
  <c r="AF38" i="4" s="1"/>
  <c r="Y44" i="4"/>
  <c r="AM44" i="4" s="1"/>
  <c r="AJ12" i="4"/>
  <c r="AJ39" i="4" s="1"/>
  <c r="AE13" i="4"/>
  <c r="AE40" i="4" s="1"/>
  <c r="AJ19" i="4"/>
  <c r="AJ46" i="4" s="1"/>
  <c r="R44" i="4"/>
  <c r="AF17" i="4"/>
  <c r="R42" i="4"/>
  <c r="AF15" i="4"/>
  <c r="R36" i="4"/>
  <c r="AF9" i="4"/>
  <c r="AE11" i="4"/>
  <c r="AE38" i="4" s="1"/>
  <c r="W44" i="4"/>
  <c r="AK44" i="4" s="1"/>
  <c r="AF14" i="4"/>
  <c r="AF41" i="4" s="1"/>
  <c r="R40" i="4"/>
  <c r="AF13" i="4"/>
  <c r="R35" i="4"/>
  <c r="AF35" i="4" s="1"/>
  <c r="AF18" i="4"/>
  <c r="AF45" i="4" s="1"/>
  <c r="R37" i="4"/>
  <c r="AF10" i="4"/>
  <c r="AJ16" i="4"/>
  <c r="AJ43" i="4" s="1"/>
  <c r="AJ18" i="4"/>
  <c r="AJ45" i="4" s="1"/>
  <c r="AE19" i="4"/>
  <c r="AE46" i="4" s="1"/>
  <c r="AE8" i="4"/>
  <c r="AE35" i="4" s="1"/>
  <c r="W46" i="4"/>
  <c r="AK46" i="4" s="1"/>
  <c r="AE16" i="4"/>
  <c r="AE43" i="4" s="1"/>
  <c r="W37" i="4"/>
  <c r="AK37" i="4" s="1"/>
  <c r="Y46" i="4"/>
  <c r="AM46" i="4" s="1"/>
  <c r="AK13" i="4"/>
  <c r="AK40" i="4" s="1"/>
  <c r="AJ11" i="4"/>
  <c r="AJ38" i="4" s="1"/>
  <c r="AG11" i="4"/>
  <c r="AG38" i="4" s="1"/>
  <c r="AE10" i="4"/>
  <c r="AE37" i="4" s="1"/>
  <c r="AN13" i="4"/>
  <c r="AN40" i="4" s="1"/>
  <c r="AI12" i="4"/>
  <c r="AI39" i="4" s="1"/>
  <c r="AL9" i="4"/>
  <c r="AL36" i="4" s="1"/>
  <c r="AK9" i="4"/>
  <c r="AK36" i="4" s="1"/>
  <c r="AB41" i="4"/>
  <c r="AP41" i="4" s="1"/>
  <c r="AK14" i="4"/>
  <c r="AK41" i="4" s="1"/>
  <c r="AM13" i="4"/>
  <c r="AM40" i="4" s="1"/>
  <c r="AI19" i="4"/>
  <c r="AI46" i="4" s="1"/>
  <c r="AN12" i="4"/>
  <c r="AN39" i="4" s="1"/>
  <c r="AG17" i="4"/>
  <c r="AG44" i="4" s="1"/>
  <c r="AL16" i="4"/>
  <c r="AL43" i="4" s="1"/>
  <c r="AM16" i="4"/>
  <c r="AM43" i="4" s="1"/>
  <c r="AO19" i="4"/>
  <c r="AO46" i="4" s="1"/>
  <c r="AN17" i="4"/>
  <c r="AN44" i="4" s="1"/>
  <c r="AI10" i="4"/>
  <c r="AI37" i="4" s="1"/>
  <c r="AM11" i="4"/>
  <c r="AM38" i="4" s="1"/>
  <c r="AE12" i="4"/>
  <c r="AE39" i="4" s="1"/>
  <c r="AL8" i="4"/>
  <c r="AL35" i="4" s="1"/>
  <c r="AM12" i="4"/>
  <c r="AM39" i="4" s="1"/>
  <c r="AJ14" i="4"/>
  <c r="AJ41" i="4" s="1"/>
  <c r="AN14" i="4"/>
  <c r="AN41" i="4" s="1"/>
  <c r="AG13" i="4"/>
  <c r="AG40" i="4" s="1"/>
  <c r="AI8" i="4"/>
  <c r="AI35" i="4" s="1"/>
  <c r="P38" i="4"/>
  <c r="AD38" i="4" s="1"/>
  <c r="AP12" i="4"/>
  <c r="AP39" i="4" s="1"/>
  <c r="W35" i="4"/>
  <c r="AK35" i="4" s="1"/>
  <c r="Y35" i="4"/>
  <c r="AM35" i="4" s="1"/>
  <c r="AM9" i="4"/>
  <c r="AM36" i="4" s="1"/>
  <c r="AN16" i="4"/>
  <c r="AN43" i="4" s="1"/>
  <c r="AG9" i="4"/>
  <c r="AG36" i="4" s="1"/>
  <c r="W38" i="4"/>
  <c r="AK38" i="4" s="1"/>
  <c r="AI17" i="4"/>
  <c r="AI44" i="4" s="1"/>
  <c r="AP16" i="4"/>
  <c r="AP43" i="4" s="1"/>
  <c r="AM10" i="4"/>
  <c r="AM37" i="4" s="1"/>
  <c r="AD19" i="4"/>
  <c r="AD46" i="4" s="1"/>
  <c r="AD13" i="4"/>
  <c r="AD40" i="4" s="1"/>
  <c r="AE14" i="4"/>
  <c r="AE41" i="4" s="1"/>
  <c r="AG8" i="4"/>
  <c r="AG35" i="4" s="1"/>
  <c r="AD14" i="4"/>
  <c r="AD41" i="4" s="1"/>
  <c r="AP17" i="4"/>
  <c r="AP44" i="4" s="1"/>
  <c r="AI16" i="4"/>
  <c r="AI43" i="4" s="1"/>
  <c r="AJ17" i="4"/>
  <c r="AJ44" i="4" s="1"/>
  <c r="AP8" i="4"/>
  <c r="AP35" i="4" s="1"/>
  <c r="AL17" i="4"/>
  <c r="AL44" i="4" s="1"/>
  <c r="T35" i="4"/>
  <c r="AH35" i="4" s="1"/>
  <c r="AH14" i="4"/>
  <c r="AH41" i="4" s="1"/>
  <c r="AI11" i="4"/>
  <c r="AI38" i="4" s="1"/>
  <c r="AN8" i="4"/>
  <c r="AN35" i="4" s="1"/>
  <c r="AJ15" i="4"/>
  <c r="AJ42" i="4" s="1"/>
  <c r="X38" i="4"/>
  <c r="AL38" i="4" s="1"/>
  <c r="X45" i="4"/>
  <c r="AL45" i="4" s="1"/>
  <c r="S41" i="4"/>
  <c r="AG41" i="4" s="1"/>
  <c r="Z36" i="4"/>
  <c r="AN36" i="4" s="1"/>
  <c r="AP10" i="4"/>
  <c r="AP37" i="4" s="1"/>
  <c r="AD18" i="4"/>
  <c r="AD45" i="4" s="1"/>
  <c r="AB38" i="4"/>
  <c r="AP38" i="4" s="1"/>
  <c r="AD8" i="4"/>
  <c r="AD35" i="4" s="1"/>
  <c r="AO12" i="4"/>
  <c r="AO39" i="4" s="1"/>
  <c r="AK18" i="4"/>
  <c r="AK45" i="4" s="1"/>
  <c r="X46" i="4"/>
  <c r="AL46" i="4" s="1"/>
  <c r="AL15" i="4"/>
  <c r="AL42" i="4" s="1"/>
  <c r="AE9" i="4"/>
  <c r="AE36" i="4" s="1"/>
  <c r="AP13" i="4"/>
  <c r="AP40" i="4" s="1"/>
  <c r="AL14" i="4"/>
  <c r="AL41" i="4" s="1"/>
  <c r="AD17" i="4"/>
  <c r="AD44" i="4" s="1"/>
  <c r="AI18" i="4"/>
  <c r="AI45" i="4" s="1"/>
  <c r="AN10" i="4"/>
  <c r="AN37" i="4" s="1"/>
  <c r="Y45" i="4"/>
  <c r="AM45" i="4" s="1"/>
  <c r="W43" i="4"/>
  <c r="AK43" i="4" s="1"/>
  <c r="AN19" i="4"/>
  <c r="AN46" i="4" s="1"/>
  <c r="AD10" i="4"/>
  <c r="AD37" i="4" s="1"/>
  <c r="Z38" i="4"/>
  <c r="AN38" i="4" s="1"/>
  <c r="S37" i="4"/>
  <c r="AG37" i="4" s="1"/>
  <c r="AH18" i="4"/>
  <c r="AH45" i="4" s="1"/>
  <c r="AH17" i="4"/>
  <c r="AH44" i="4" s="1"/>
  <c r="AN18" i="4"/>
  <c r="AN45" i="4" s="1"/>
  <c r="AO18" i="4"/>
  <c r="AO45" i="4" s="1"/>
  <c r="W39" i="4"/>
  <c r="AK39" i="4" s="1"/>
  <c r="AG19" i="4"/>
  <c r="AG46" i="4" s="1"/>
  <c r="AH10" i="4"/>
  <c r="AH37" i="4" s="1"/>
  <c r="AI9" i="4"/>
  <c r="AI36" i="4" s="1"/>
  <c r="AP9" i="4"/>
  <c r="AP36" i="4" s="1"/>
  <c r="AD12" i="4"/>
  <c r="AD39" i="4" s="1"/>
  <c r="AH12" i="4"/>
  <c r="AH39" i="4" s="1"/>
  <c r="AH9" i="4"/>
  <c r="AH36" i="4" s="1"/>
  <c r="AG18" i="4"/>
  <c r="AG45" i="4" s="1"/>
  <c r="AJ13" i="4"/>
  <c r="AJ40" i="4" s="1"/>
  <c r="AI14" i="4"/>
  <c r="AI41" i="4" s="1"/>
  <c r="AP19" i="4"/>
  <c r="AP46" i="4" s="1"/>
  <c r="AD16" i="4"/>
  <c r="AD43" i="4" s="1"/>
  <c r="AH13" i="4"/>
  <c r="AH40" i="4" s="1"/>
  <c r="AH16" i="4"/>
  <c r="AH43" i="4" s="1"/>
  <c r="AL12" i="4"/>
  <c r="AL39" i="4" s="1"/>
  <c r="AD15" i="4"/>
  <c r="AD42" i="4" s="1"/>
  <c r="T38" i="4"/>
  <c r="AH38" i="4" s="1"/>
  <c r="Y41" i="4"/>
  <c r="AM41" i="4" s="1"/>
  <c r="AL13" i="4"/>
  <c r="AL40" i="4" s="1"/>
  <c r="AP18" i="4"/>
  <c r="AP45" i="4" s="1"/>
  <c r="AH19" i="4"/>
  <c r="AH46" i="4" s="1"/>
  <c r="AI13" i="4"/>
  <c r="AI40" i="4" s="1"/>
  <c r="AG16" i="4"/>
  <c r="AG43" i="4" s="1"/>
  <c r="AO14" i="4"/>
  <c r="AO41" i="4" s="1"/>
  <c r="AG12" i="4"/>
  <c r="AG39" i="4" s="1"/>
  <c r="AO13" i="4"/>
  <c r="AO40" i="4" s="1"/>
  <c r="V35" i="4"/>
  <c r="AJ35" i="4" s="1"/>
  <c r="AO11" i="4"/>
  <c r="AO38" i="4" s="1"/>
  <c r="AO10" i="4"/>
  <c r="AO37" i="4" s="1"/>
  <c r="AO17" i="4"/>
  <c r="AO44" i="4" s="1"/>
  <c r="AO8" i="4"/>
  <c r="AO35" i="4" s="1"/>
  <c r="AO9" i="4"/>
  <c r="AO36" i="4" s="1"/>
  <c r="AO16" i="4"/>
  <c r="AO43" i="4" s="1"/>
  <c r="AL20" i="4"/>
  <c r="X47" i="4"/>
  <c r="AK20" i="4"/>
  <c r="AM20" i="4"/>
  <c r="AN20" i="4"/>
  <c r="AN47" i="4" s="1"/>
  <c r="AE20" i="4"/>
  <c r="AE47" i="4" s="1"/>
  <c r="AO20" i="4"/>
  <c r="AO47" i="4" s="1"/>
  <c r="AP20" i="4"/>
  <c r="AH20" i="4"/>
  <c r="AG20" i="4"/>
  <c r="AI20" i="4"/>
  <c r="AJ20" i="4"/>
  <c r="AF20" i="4"/>
  <c r="AD20" i="4"/>
  <c r="J48" i="4"/>
  <c r="H48" i="4"/>
  <c r="V48" i="4" s="1"/>
  <c r="E48" i="4"/>
  <c r="S48" i="4" s="1"/>
  <c r="I48" i="4"/>
  <c r="W48" i="4" s="1"/>
  <c r="G48" i="4"/>
  <c r="U48" i="4" s="1"/>
  <c r="B48" i="4"/>
  <c r="P48" i="4" s="1"/>
  <c r="M48" i="4"/>
  <c r="AA48" i="4" s="1"/>
  <c r="C48" i="4"/>
  <c r="Q48" i="4" s="1"/>
  <c r="L48" i="4"/>
  <c r="Z48" i="4" s="1"/>
  <c r="K48" i="4"/>
  <c r="N48" i="4"/>
  <c r="AB48" i="4" s="1"/>
  <c r="F48" i="4"/>
  <c r="T48" i="4" s="1"/>
  <c r="D48" i="4"/>
  <c r="R48" i="4" s="1"/>
  <c r="A49" i="4"/>
  <c r="A22" i="4"/>
  <c r="E21" i="4"/>
  <c r="B21" i="4"/>
  <c r="I21" i="4"/>
  <c r="F21" i="4"/>
  <c r="G21" i="4"/>
  <c r="H21" i="4"/>
  <c r="J21" i="4"/>
  <c r="M21" i="4"/>
  <c r="D21" i="4"/>
  <c r="N21" i="4"/>
  <c r="C21" i="4"/>
  <c r="K21" i="4"/>
  <c r="L21" i="4"/>
  <c r="AF40" i="4" l="1"/>
  <c r="AF44" i="4"/>
  <c r="AF42" i="4"/>
  <c r="AF36" i="4"/>
  <c r="AF37" i="4"/>
  <c r="AL47" i="4"/>
  <c r="AM21" i="4"/>
  <c r="Y48" i="4"/>
  <c r="AL21" i="4"/>
  <c r="X48" i="4"/>
  <c r="AK47" i="4"/>
  <c r="AM47" i="4"/>
  <c r="AK21" i="4"/>
  <c r="AN21" i="4"/>
  <c r="AN48" i="4" s="1"/>
  <c r="AE21" i="4"/>
  <c r="AE48" i="4" s="1"/>
  <c r="AO21" i="4"/>
  <c r="AO48" i="4" s="1"/>
  <c r="AJ21" i="4"/>
  <c r="AJ47" i="4"/>
  <c r="AH21" i="4"/>
  <c r="AH47" i="4"/>
  <c r="AF21" i="4"/>
  <c r="AF47" i="4"/>
  <c r="AG21" i="4"/>
  <c r="AG47" i="4"/>
  <c r="AI21" i="4"/>
  <c r="AI47" i="4"/>
  <c r="AP21" i="4"/>
  <c r="AP47" i="4"/>
  <c r="AD21" i="4"/>
  <c r="AD47" i="4"/>
  <c r="H49" i="4"/>
  <c r="V49" i="4" s="1"/>
  <c r="B49" i="4"/>
  <c r="P49" i="4" s="1"/>
  <c r="I49" i="4"/>
  <c r="J49" i="4"/>
  <c r="K49" i="4"/>
  <c r="N49" i="4"/>
  <c r="AB49" i="4" s="1"/>
  <c r="L49" i="4"/>
  <c r="Z49" i="4" s="1"/>
  <c r="E49" i="4"/>
  <c r="S49" i="4" s="1"/>
  <c r="D49" i="4"/>
  <c r="R49" i="4" s="1"/>
  <c r="F49" i="4"/>
  <c r="T49" i="4" s="1"/>
  <c r="G49" i="4"/>
  <c r="U49" i="4" s="1"/>
  <c r="M49" i="4"/>
  <c r="AA49" i="4" s="1"/>
  <c r="C49" i="4"/>
  <c r="Q49" i="4" s="1"/>
  <c r="A50" i="4"/>
  <c r="A23" i="4"/>
  <c r="G22" i="4"/>
  <c r="H22" i="4"/>
  <c r="J22" i="4"/>
  <c r="I22" i="4"/>
  <c r="B22" i="4"/>
  <c r="K22" i="4"/>
  <c r="L22" i="4"/>
  <c r="C22" i="4"/>
  <c r="N22" i="4"/>
  <c r="D22" i="4"/>
  <c r="E22" i="4"/>
  <c r="F22" i="4"/>
  <c r="M22" i="4"/>
  <c r="AL48" i="4" l="1"/>
  <c r="AM48" i="4"/>
  <c r="AM22" i="4"/>
  <c r="Y49" i="4"/>
  <c r="AL22" i="4"/>
  <c r="X49" i="4"/>
  <c r="AK22" i="4"/>
  <c r="W49" i="4"/>
  <c r="AK48" i="4"/>
  <c r="AE22" i="4"/>
  <c r="AE49" i="4" s="1"/>
  <c r="AN22" i="4"/>
  <c r="AN49" i="4" s="1"/>
  <c r="AO22" i="4"/>
  <c r="AO49" i="4" s="1"/>
  <c r="AH22" i="4"/>
  <c r="AH48" i="4"/>
  <c r="AG22" i="4"/>
  <c r="AG48" i="4"/>
  <c r="AI22" i="4"/>
  <c r="AI48" i="4"/>
  <c r="AJ22" i="4"/>
  <c r="AJ48" i="4"/>
  <c r="AP22" i="4"/>
  <c r="AP48" i="4"/>
  <c r="AF22" i="4"/>
  <c r="AF48" i="4"/>
  <c r="AD22" i="4"/>
  <c r="AD48" i="4"/>
  <c r="H50" i="4"/>
  <c r="V50" i="4" s="1"/>
  <c r="I50" i="4"/>
  <c r="J50" i="4"/>
  <c r="M50" i="4"/>
  <c r="AA50" i="4" s="1"/>
  <c r="L50" i="4"/>
  <c r="Z50" i="4" s="1"/>
  <c r="C50" i="4"/>
  <c r="Q50" i="4" s="1"/>
  <c r="B50" i="4"/>
  <c r="P50" i="4" s="1"/>
  <c r="K50" i="4"/>
  <c r="Y50" i="4" s="1"/>
  <c r="D50" i="4"/>
  <c r="R50" i="4" s="1"/>
  <c r="N50" i="4"/>
  <c r="AB50" i="4" s="1"/>
  <c r="E50" i="4"/>
  <c r="S50" i="4" s="1"/>
  <c r="G50" i="4"/>
  <c r="U50" i="4" s="1"/>
  <c r="F50" i="4"/>
  <c r="T50" i="4" s="1"/>
  <c r="A51" i="4"/>
  <c r="A24" i="4"/>
  <c r="I23" i="4"/>
  <c r="L23" i="4"/>
  <c r="C23" i="4"/>
  <c r="J23" i="4"/>
  <c r="B23" i="4"/>
  <c r="K23" i="4"/>
  <c r="M23" i="4"/>
  <c r="D23" i="4"/>
  <c r="N23" i="4"/>
  <c r="E23" i="4"/>
  <c r="G23" i="4"/>
  <c r="F23" i="4"/>
  <c r="H23" i="4"/>
  <c r="AM49" i="4" l="1"/>
  <c r="AL49" i="4"/>
  <c r="AK49" i="4"/>
  <c r="AK23" i="4"/>
  <c r="W50" i="4"/>
  <c r="AL23" i="4"/>
  <c r="X50" i="4"/>
  <c r="AM23" i="4"/>
  <c r="AE23" i="4"/>
  <c r="AE50" i="4" s="1"/>
  <c r="AO23" i="4"/>
  <c r="AO50" i="4" s="1"/>
  <c r="AN23" i="4"/>
  <c r="AN50" i="4" s="1"/>
  <c r="AP23" i="4"/>
  <c r="AP49" i="4"/>
  <c r="AJ23" i="4"/>
  <c r="AJ49" i="4"/>
  <c r="AI23" i="4"/>
  <c r="AI49" i="4"/>
  <c r="AF23" i="4"/>
  <c r="AF49" i="4"/>
  <c r="AG23" i="4"/>
  <c r="AG49" i="4"/>
  <c r="AH23" i="4"/>
  <c r="AH49" i="4"/>
  <c r="AD23" i="4"/>
  <c r="AD49" i="4"/>
  <c r="I51" i="4"/>
  <c r="J51" i="4"/>
  <c r="K51" i="4"/>
  <c r="C51" i="4"/>
  <c r="Q51" i="4" s="1"/>
  <c r="N51" i="4"/>
  <c r="AB51" i="4" s="1"/>
  <c r="B51" i="4"/>
  <c r="P51" i="4" s="1"/>
  <c r="M51" i="4"/>
  <c r="AA51" i="4" s="1"/>
  <c r="L51" i="4"/>
  <c r="Z51" i="4" s="1"/>
  <c r="H51" i="4"/>
  <c r="V51" i="4" s="1"/>
  <c r="E51" i="4"/>
  <c r="S51" i="4" s="1"/>
  <c r="D51" i="4"/>
  <c r="R51" i="4" s="1"/>
  <c r="F51" i="4"/>
  <c r="T51" i="4" s="1"/>
  <c r="G51" i="4"/>
  <c r="U51" i="4" s="1"/>
  <c r="A52" i="4"/>
  <c r="A25" i="4"/>
  <c r="K24" i="4"/>
  <c r="B24" i="4"/>
  <c r="L24" i="4"/>
  <c r="N24" i="4"/>
  <c r="E24" i="4"/>
  <c r="C24" i="4"/>
  <c r="M24" i="4"/>
  <c r="D24" i="4"/>
  <c r="F24" i="4"/>
  <c r="J24" i="4"/>
  <c r="G24" i="4"/>
  <c r="H24" i="4"/>
  <c r="I24" i="4"/>
  <c r="AL50" i="4" l="1"/>
  <c r="AM24" i="4"/>
  <c r="Y51" i="4"/>
  <c r="AK24" i="4"/>
  <c r="W51" i="4"/>
  <c r="AL24" i="4"/>
  <c r="X51" i="4"/>
  <c r="AM50" i="4"/>
  <c r="AO24" i="4"/>
  <c r="AO51" i="4" s="1"/>
  <c r="AN24" i="4"/>
  <c r="AN51" i="4" s="1"/>
  <c r="AE24" i="4"/>
  <c r="AE51" i="4" s="1"/>
  <c r="AI24" i="4"/>
  <c r="AI50" i="4"/>
  <c r="AH24" i="4"/>
  <c r="AH50" i="4"/>
  <c r="AJ24" i="4"/>
  <c r="AJ50" i="4"/>
  <c r="AF24" i="4"/>
  <c r="AF50" i="4"/>
  <c r="AG24" i="4"/>
  <c r="AG50" i="4"/>
  <c r="AK50" i="4"/>
  <c r="AP24" i="4"/>
  <c r="AP50" i="4"/>
  <c r="AD24" i="4"/>
  <c r="AD50" i="4"/>
  <c r="M52" i="4"/>
  <c r="AA52" i="4" s="1"/>
  <c r="C52" i="4"/>
  <c r="Q52" i="4" s="1"/>
  <c r="E52" i="4"/>
  <c r="S52" i="4" s="1"/>
  <c r="F52" i="4"/>
  <c r="T52" i="4" s="1"/>
  <c r="G52" i="4"/>
  <c r="U52" i="4" s="1"/>
  <c r="H52" i="4"/>
  <c r="V52" i="4" s="1"/>
  <c r="I52" i="4"/>
  <c r="W52" i="4" s="1"/>
  <c r="L52" i="4"/>
  <c r="Z52" i="4" s="1"/>
  <c r="J52" i="4"/>
  <c r="X52" i="4" s="1"/>
  <c r="B52" i="4"/>
  <c r="P52" i="4" s="1"/>
  <c r="N52" i="4"/>
  <c r="AB52" i="4" s="1"/>
  <c r="K52" i="4"/>
  <c r="D52" i="4"/>
  <c r="R52" i="4" s="1"/>
  <c r="A53" i="4"/>
  <c r="A26" i="4"/>
  <c r="C25" i="4"/>
  <c r="M25" i="4"/>
  <c r="D25" i="4"/>
  <c r="N25" i="4"/>
  <c r="E25" i="4"/>
  <c r="F25" i="4"/>
  <c r="G25" i="4"/>
  <c r="H25" i="4"/>
  <c r="I25" i="4"/>
  <c r="K25" i="4"/>
  <c r="L25" i="4"/>
  <c r="B25" i="4"/>
  <c r="J25" i="4"/>
  <c r="AM51" i="4" l="1"/>
  <c r="AK51" i="4"/>
  <c r="AL51" i="4"/>
  <c r="AM25" i="4"/>
  <c r="Y52" i="4"/>
  <c r="AK25" i="4"/>
  <c r="AL25" i="4"/>
  <c r="AO25" i="4"/>
  <c r="AO52" i="4" s="1"/>
  <c r="AE25" i="4"/>
  <c r="AE52" i="4" s="1"/>
  <c r="AN25" i="4"/>
  <c r="AN52" i="4" s="1"/>
  <c r="AG25" i="4"/>
  <c r="AG51" i="4"/>
  <c r="AP25" i="4"/>
  <c r="AP51" i="4"/>
  <c r="AJ25" i="4"/>
  <c r="AJ51" i="4"/>
  <c r="AH25" i="4"/>
  <c r="AH51" i="4"/>
  <c r="AF25" i="4"/>
  <c r="AF51" i="4"/>
  <c r="AI25" i="4"/>
  <c r="AI51" i="4"/>
  <c r="AD25" i="4"/>
  <c r="AD51" i="4"/>
  <c r="J53" i="4"/>
  <c r="X53" i="4" s="1"/>
  <c r="H53" i="4"/>
  <c r="V53" i="4" s="1"/>
  <c r="I53" i="4"/>
  <c r="B53" i="4"/>
  <c r="P53" i="4" s="1"/>
  <c r="D53" i="4"/>
  <c r="R53" i="4" s="1"/>
  <c r="C53" i="4"/>
  <c r="Q53" i="4" s="1"/>
  <c r="K53" i="4"/>
  <c r="Y53" i="4" s="1"/>
  <c r="M53" i="4"/>
  <c r="AA53" i="4" s="1"/>
  <c r="F53" i="4"/>
  <c r="T53" i="4" s="1"/>
  <c r="L53" i="4"/>
  <c r="Z53" i="4" s="1"/>
  <c r="G53" i="4"/>
  <c r="U53" i="4" s="1"/>
  <c r="N53" i="4"/>
  <c r="AB53" i="4" s="1"/>
  <c r="E53" i="4"/>
  <c r="S53" i="4" s="1"/>
  <c r="A54" i="4"/>
  <c r="A27" i="4"/>
  <c r="E26" i="4"/>
  <c r="H26" i="4"/>
  <c r="F26" i="4"/>
  <c r="G26" i="4"/>
  <c r="I26" i="4"/>
  <c r="J26" i="4"/>
  <c r="K26" i="4"/>
  <c r="N26" i="4"/>
  <c r="C26" i="4"/>
  <c r="B26" i="4"/>
  <c r="M26" i="4"/>
  <c r="D26" i="4"/>
  <c r="L26" i="4"/>
  <c r="AM52" i="4" l="1"/>
  <c r="AK26" i="4"/>
  <c r="W53" i="4"/>
  <c r="AL52" i="4"/>
  <c r="AK52" i="4"/>
  <c r="AM26" i="4"/>
  <c r="AL26" i="4"/>
  <c r="AO26" i="4"/>
  <c r="AO53" i="4" s="1"/>
  <c r="AN26" i="4"/>
  <c r="AN53" i="4" s="1"/>
  <c r="AE26" i="4"/>
  <c r="AE53" i="4" s="1"/>
  <c r="AI26" i="4"/>
  <c r="AI52" i="4"/>
  <c r="AP26" i="4"/>
  <c r="AP52" i="4"/>
  <c r="AJ26" i="4"/>
  <c r="AJ52" i="4"/>
  <c r="AH26" i="4"/>
  <c r="AH52" i="4"/>
  <c r="AF26" i="4"/>
  <c r="AF52" i="4"/>
  <c r="AG26" i="4"/>
  <c r="AG52" i="4"/>
  <c r="AD26" i="4"/>
  <c r="AD52" i="4"/>
  <c r="H54" i="4"/>
  <c r="V54" i="4" s="1"/>
  <c r="K54" i="4"/>
  <c r="I54" i="4"/>
  <c r="W54" i="4" s="1"/>
  <c r="J54" i="4"/>
  <c r="X54" i="4" s="1"/>
  <c r="B54" i="4"/>
  <c r="P54" i="4" s="1"/>
  <c r="M54" i="4"/>
  <c r="AA54" i="4" s="1"/>
  <c r="F54" i="4"/>
  <c r="T54" i="4" s="1"/>
  <c r="D54" i="4"/>
  <c r="R54" i="4" s="1"/>
  <c r="C54" i="4"/>
  <c r="Q54" i="4" s="1"/>
  <c r="L54" i="4"/>
  <c r="Z54" i="4" s="1"/>
  <c r="E54" i="4"/>
  <c r="S54" i="4" s="1"/>
  <c r="G54" i="4"/>
  <c r="U54" i="4" s="1"/>
  <c r="N54" i="4"/>
  <c r="AB54" i="4" s="1"/>
  <c r="A55" i="4"/>
  <c r="A28" i="4"/>
  <c r="G27" i="4"/>
  <c r="K27" i="4"/>
  <c r="H27" i="4"/>
  <c r="J27" i="4"/>
  <c r="I27" i="4"/>
  <c r="L27" i="4"/>
  <c r="M27" i="4"/>
  <c r="C27" i="4"/>
  <c r="D27" i="4"/>
  <c r="B27" i="4"/>
  <c r="E27" i="4"/>
  <c r="F27" i="4"/>
  <c r="N27" i="4"/>
  <c r="AM27" i="4" l="1"/>
  <c r="Y54" i="4"/>
  <c r="AN27" i="4"/>
  <c r="AN54" i="4" s="1"/>
  <c r="AL53" i="4"/>
  <c r="AM53" i="4"/>
  <c r="AO27" i="4"/>
  <c r="AO54" i="4" s="1"/>
  <c r="AL27" i="4"/>
  <c r="AK27" i="4"/>
  <c r="AE27" i="4"/>
  <c r="AE54" i="4" s="1"/>
  <c r="AH27" i="4"/>
  <c r="AH53" i="4"/>
  <c r="AF27" i="4"/>
  <c r="AF53" i="4"/>
  <c r="AG27" i="4"/>
  <c r="AG53" i="4"/>
  <c r="AI27" i="4"/>
  <c r="AI53" i="4"/>
  <c r="AJ27" i="4"/>
  <c r="AJ53" i="4"/>
  <c r="AP27" i="4"/>
  <c r="AP53" i="4"/>
  <c r="AK53" i="4"/>
  <c r="AD27" i="4"/>
  <c r="AD53" i="4"/>
  <c r="H55" i="4"/>
  <c r="V55" i="4" s="1"/>
  <c r="I55" i="4"/>
  <c r="J55" i="4"/>
  <c r="C55" i="4"/>
  <c r="Q55" i="4" s="1"/>
  <c r="N55" i="4"/>
  <c r="AB55" i="4" s="1"/>
  <c r="K55" i="4"/>
  <c r="Y55" i="4" s="1"/>
  <c r="M55" i="4"/>
  <c r="AA55" i="4" s="1"/>
  <c r="L55" i="4"/>
  <c r="Z55" i="4" s="1"/>
  <c r="D55" i="4"/>
  <c r="R55" i="4" s="1"/>
  <c r="G55" i="4"/>
  <c r="U55" i="4" s="1"/>
  <c r="E55" i="4"/>
  <c r="S55" i="4" s="1"/>
  <c r="F55" i="4"/>
  <c r="T55" i="4" s="1"/>
  <c r="B55" i="4"/>
  <c r="P55" i="4" s="1"/>
  <c r="A56" i="4"/>
  <c r="A29" i="4"/>
  <c r="I28" i="4"/>
  <c r="J28" i="4"/>
  <c r="C28" i="4"/>
  <c r="K28" i="4"/>
  <c r="L28" i="4"/>
  <c r="M28" i="4"/>
  <c r="D28" i="4"/>
  <c r="N28" i="4"/>
  <c r="E28" i="4"/>
  <c r="B28" i="4"/>
  <c r="G28" i="4"/>
  <c r="H28" i="4"/>
  <c r="F28" i="4"/>
  <c r="AM54" i="4" l="1"/>
  <c r="AL28" i="4"/>
  <c r="X55" i="4"/>
  <c r="AK28" i="4"/>
  <c r="W55" i="4"/>
  <c r="AL54" i="4"/>
  <c r="AK54" i="4"/>
  <c r="AM28" i="4"/>
  <c r="AE28" i="4"/>
  <c r="AE55" i="4" s="1"/>
  <c r="AN28" i="4"/>
  <c r="AN55" i="4" s="1"/>
  <c r="AO28" i="4"/>
  <c r="AO55" i="4" s="1"/>
  <c r="AF28" i="4"/>
  <c r="AF54" i="4"/>
  <c r="AJ28" i="4"/>
  <c r="AJ54" i="4"/>
  <c r="AI28" i="4"/>
  <c r="AI54" i="4"/>
  <c r="AG28" i="4"/>
  <c r="AG54" i="4"/>
  <c r="AH28" i="4"/>
  <c r="AH54" i="4"/>
  <c r="AP28" i="4"/>
  <c r="AP54" i="4"/>
  <c r="AD28" i="4"/>
  <c r="AD54" i="4"/>
  <c r="I56" i="4"/>
  <c r="J56" i="4"/>
  <c r="K56" i="4"/>
  <c r="M56" i="4"/>
  <c r="AA56" i="4" s="1"/>
  <c r="E56" i="4"/>
  <c r="S56" i="4" s="1"/>
  <c r="D56" i="4"/>
  <c r="R56" i="4" s="1"/>
  <c r="F56" i="4"/>
  <c r="T56" i="4" s="1"/>
  <c r="C56" i="4"/>
  <c r="Q56" i="4" s="1"/>
  <c r="B56" i="4"/>
  <c r="P56" i="4" s="1"/>
  <c r="L56" i="4"/>
  <c r="Z56" i="4" s="1"/>
  <c r="H56" i="4"/>
  <c r="V56" i="4" s="1"/>
  <c r="G56" i="4"/>
  <c r="U56" i="4" s="1"/>
  <c r="N56" i="4"/>
  <c r="AB56" i="4" s="1"/>
  <c r="A57" i="4"/>
  <c r="A30" i="4"/>
  <c r="K29" i="4"/>
  <c r="N29" i="4"/>
  <c r="L29" i="4"/>
  <c r="C29" i="4"/>
  <c r="M29" i="4"/>
  <c r="D29" i="4"/>
  <c r="E29" i="4"/>
  <c r="F29" i="4"/>
  <c r="B29" i="4"/>
  <c r="G29" i="4"/>
  <c r="J29" i="4"/>
  <c r="H29" i="4"/>
  <c r="I29" i="4"/>
  <c r="AL55" i="4" l="1"/>
  <c r="AK55" i="4"/>
  <c r="AM29" i="4"/>
  <c r="Y56" i="4"/>
  <c r="AL29" i="4"/>
  <c r="X56" i="4"/>
  <c r="AK29" i="4"/>
  <c r="W56" i="4"/>
  <c r="AM55" i="4"/>
  <c r="AE29" i="4"/>
  <c r="AE56" i="4" s="1"/>
  <c r="AO29" i="4"/>
  <c r="AO56" i="4" s="1"/>
  <c r="AN29" i="4"/>
  <c r="AN56" i="4" s="1"/>
  <c r="AH29" i="4"/>
  <c r="AH55" i="4"/>
  <c r="AG29" i="4"/>
  <c r="AG55" i="4"/>
  <c r="AI29" i="4"/>
  <c r="AI55" i="4"/>
  <c r="AP29" i="4"/>
  <c r="AP55" i="4"/>
  <c r="AF29" i="4"/>
  <c r="AF55" i="4"/>
  <c r="AJ29" i="4"/>
  <c r="AJ55" i="4"/>
  <c r="AD29" i="4"/>
  <c r="AD55" i="4"/>
  <c r="C57" i="4"/>
  <c r="Q57" i="4" s="1"/>
  <c r="M57" i="4"/>
  <c r="AA57" i="4" s="1"/>
  <c r="H57" i="4"/>
  <c r="V57" i="4" s="1"/>
  <c r="N57" i="4"/>
  <c r="AB57" i="4" s="1"/>
  <c r="E57" i="4"/>
  <c r="S57" i="4" s="1"/>
  <c r="L57" i="4"/>
  <c r="Z57" i="4" s="1"/>
  <c r="I57" i="4"/>
  <c r="B57" i="4"/>
  <c r="P57" i="4" s="1"/>
  <c r="D57" i="4"/>
  <c r="R57" i="4" s="1"/>
  <c r="J57" i="4"/>
  <c r="X57" i="4" s="1"/>
  <c r="G57" i="4"/>
  <c r="U57" i="4" s="1"/>
  <c r="K57" i="4"/>
  <c r="F57" i="4"/>
  <c r="T57" i="4" s="1"/>
  <c r="A58" i="4"/>
  <c r="A31" i="4"/>
  <c r="C30" i="4"/>
  <c r="M30" i="4"/>
  <c r="B30" i="4"/>
  <c r="D30" i="4"/>
  <c r="N30" i="4"/>
  <c r="F30" i="4"/>
  <c r="E30" i="4"/>
  <c r="G30" i="4"/>
  <c r="H30" i="4"/>
  <c r="I30" i="4"/>
  <c r="J30" i="4"/>
  <c r="K30" i="4"/>
  <c r="L30" i="4"/>
  <c r="AL56" i="4" l="1"/>
  <c r="AM56" i="4"/>
  <c r="AK56" i="4"/>
  <c r="AM30" i="4"/>
  <c r="Y57" i="4"/>
  <c r="AK30" i="4"/>
  <c r="W57" i="4"/>
  <c r="AL30" i="4"/>
  <c r="AO30" i="4"/>
  <c r="AO57" i="4" s="1"/>
  <c r="AE30" i="4"/>
  <c r="AE57" i="4" s="1"/>
  <c r="AN30" i="4"/>
  <c r="AN57" i="4" s="1"/>
  <c r="AF30" i="4"/>
  <c r="AF56" i="4"/>
  <c r="AI30" i="4"/>
  <c r="AI56" i="4"/>
  <c r="AG30" i="4"/>
  <c r="AG56" i="4"/>
  <c r="AP30" i="4"/>
  <c r="AP56" i="4"/>
  <c r="AJ30" i="4"/>
  <c r="AJ56" i="4"/>
  <c r="AH30" i="4"/>
  <c r="AH56" i="4"/>
  <c r="AD30" i="4"/>
  <c r="AD56" i="4"/>
  <c r="I58" i="4"/>
  <c r="W58" i="4" s="1"/>
  <c r="J58" i="4"/>
  <c r="G58" i="4"/>
  <c r="U58" i="4" s="1"/>
  <c r="H58" i="4"/>
  <c r="V58" i="4" s="1"/>
  <c r="K58" i="4"/>
  <c r="L58" i="4"/>
  <c r="Z58" i="4" s="1"/>
  <c r="C58" i="4"/>
  <c r="Q58" i="4" s="1"/>
  <c r="D58" i="4"/>
  <c r="R58" i="4" s="1"/>
  <c r="B58" i="4"/>
  <c r="P58" i="4" s="1"/>
  <c r="N58" i="4"/>
  <c r="AB58" i="4" s="1"/>
  <c r="M58" i="4"/>
  <c r="AA58" i="4" s="1"/>
  <c r="E58" i="4"/>
  <c r="S58" i="4" s="1"/>
  <c r="F58" i="4"/>
  <c r="T58" i="4" s="1"/>
  <c r="A59" i="4"/>
  <c r="E31" i="4"/>
  <c r="H31" i="4"/>
  <c r="F31" i="4"/>
  <c r="A32" i="4"/>
  <c r="G31" i="4"/>
  <c r="I31" i="4"/>
  <c r="B31" i="4"/>
  <c r="J31" i="4"/>
  <c r="K31" i="4"/>
  <c r="N31" i="4"/>
  <c r="D31" i="4"/>
  <c r="L31" i="4"/>
  <c r="C31" i="4"/>
  <c r="M31" i="4"/>
  <c r="AM57" i="4" l="1"/>
  <c r="AK57" i="4"/>
  <c r="AL31" i="4"/>
  <c r="X58" i="4"/>
  <c r="AM31" i="4"/>
  <c r="Y58" i="4"/>
  <c r="AN31" i="4"/>
  <c r="AN58" i="4" s="1"/>
  <c r="AL57" i="4"/>
  <c r="AK31" i="4"/>
  <c r="AO31" i="4"/>
  <c r="AO58" i="4" s="1"/>
  <c r="AE31" i="4"/>
  <c r="AE58" i="4" s="1"/>
  <c r="AH31" i="4"/>
  <c r="AH57" i="4"/>
  <c r="AJ31" i="4"/>
  <c r="AJ57" i="4"/>
  <c r="AI31" i="4"/>
  <c r="AI57" i="4"/>
  <c r="AP31" i="4"/>
  <c r="AP57" i="4"/>
  <c r="AG31" i="4"/>
  <c r="AG57" i="4"/>
  <c r="AF31" i="4"/>
  <c r="AF57" i="4"/>
  <c r="AD31" i="4"/>
  <c r="AD57" i="4"/>
  <c r="H59" i="4"/>
  <c r="V59" i="4" s="1"/>
  <c r="L59" i="4"/>
  <c r="Z59" i="4" s="1"/>
  <c r="K59" i="4"/>
  <c r="I59" i="4"/>
  <c r="J59" i="4"/>
  <c r="X59" i="4" s="1"/>
  <c r="F59" i="4"/>
  <c r="T59" i="4" s="1"/>
  <c r="D59" i="4"/>
  <c r="R59" i="4" s="1"/>
  <c r="B59" i="4"/>
  <c r="P59" i="4" s="1"/>
  <c r="E59" i="4"/>
  <c r="S59" i="4" s="1"/>
  <c r="G59" i="4"/>
  <c r="U59" i="4" s="1"/>
  <c r="M59" i="4"/>
  <c r="AA59" i="4" s="1"/>
  <c r="N59" i="4"/>
  <c r="AB59" i="4" s="1"/>
  <c r="C59" i="4"/>
  <c r="Q59" i="4" s="1"/>
  <c r="G32" i="4"/>
  <c r="B32" i="4"/>
  <c r="H32" i="4"/>
  <c r="I32" i="4"/>
  <c r="J32" i="4"/>
  <c r="K32" i="4"/>
  <c r="L32" i="4"/>
  <c r="C32" i="4"/>
  <c r="M32" i="4"/>
  <c r="D32" i="4"/>
  <c r="N32" i="4"/>
  <c r="E32" i="4"/>
  <c r="F32" i="4"/>
  <c r="AL58" i="4" l="1"/>
  <c r="AM58" i="4"/>
  <c r="AM32" i="4"/>
  <c r="Y59" i="4"/>
  <c r="AK32" i="4"/>
  <c r="W59" i="4"/>
  <c r="AK58" i="4"/>
  <c r="AL32" i="4"/>
  <c r="AN32" i="4"/>
  <c r="AN59" i="4" s="1"/>
  <c r="AO32" i="4"/>
  <c r="AO59" i="4" s="1"/>
  <c r="AE32" i="4"/>
  <c r="AE59" i="4" s="1"/>
  <c r="AH58" i="4"/>
  <c r="AP58" i="4"/>
  <c r="AI58" i="4"/>
  <c r="AF58" i="4"/>
  <c r="AG58" i="4"/>
  <c r="AJ58" i="4"/>
  <c r="AD58" i="4"/>
  <c r="AM59" i="4" l="1"/>
  <c r="AK59" i="4"/>
  <c r="AL59" i="4"/>
  <c r="AG32" i="4"/>
  <c r="AG59" i="4" s="1"/>
  <c r="AH32" i="4"/>
  <c r="AH59" i="4" s="1"/>
  <c r="AF32" i="4"/>
  <c r="AF59" i="4" s="1"/>
  <c r="AP32" i="4"/>
  <c r="AP59" i="4" s="1"/>
  <c r="AJ32" i="4"/>
  <c r="AJ59" i="4" s="1"/>
  <c r="AI32" i="4"/>
  <c r="AI59" i="4" s="1"/>
  <c r="AD32" i="4"/>
  <c r="AD59" i="4" s="1"/>
  <c r="I8" i="2"/>
  <c r="J8" i="2" s="1"/>
  <c r="I6" i="2"/>
  <c r="J6" i="2" s="1"/>
  <c r="B77" i="5"/>
  <c r="B79" i="5" s="1"/>
  <c r="E25" i="5" l="1"/>
  <c r="C25" i="5"/>
  <c r="H10" i="5"/>
  <c r="E10" i="5"/>
  <c r="B10" i="5"/>
  <c r="I10" i="5"/>
  <c r="L10" i="5"/>
  <c r="M10" i="5"/>
  <c r="C10" i="5"/>
  <c r="G10" i="5"/>
  <c r="K10" i="5"/>
  <c r="N10" i="5"/>
  <c r="D10" i="5"/>
  <c r="F10" i="5"/>
  <c r="J10" i="5"/>
  <c r="I25" i="5"/>
  <c r="H25" i="5"/>
  <c r="K25" i="5"/>
  <c r="B76" i="5"/>
  <c r="B78" i="5" s="1"/>
  <c r="J25" i="5"/>
  <c r="N25" i="5"/>
  <c r="M25" i="5"/>
  <c r="D25" i="5"/>
  <c r="G25" i="5"/>
  <c r="F25" i="5"/>
  <c r="L25" i="5"/>
  <c r="B25" i="5"/>
  <c r="M9" i="5" l="1"/>
  <c r="D9" i="5"/>
  <c r="B9" i="5"/>
  <c r="L9" i="5"/>
  <c r="K9" i="5"/>
  <c r="H9" i="5"/>
  <c r="G9" i="5"/>
  <c r="J9" i="5"/>
  <c r="E9" i="5"/>
  <c r="I9" i="5"/>
  <c r="F9" i="5"/>
  <c r="N9" i="5"/>
  <c r="C9" i="5"/>
  <c r="M14" i="5"/>
  <c r="M16" i="5"/>
  <c r="M18" i="5"/>
  <c r="M12" i="5"/>
  <c r="M20" i="5" s="1"/>
  <c r="M22" i="5" s="1"/>
  <c r="M32" i="5" s="1"/>
  <c r="E12" i="5"/>
  <c r="E16" i="5"/>
  <c r="E18" i="5"/>
  <c r="E14" i="5"/>
  <c r="N12" i="5"/>
  <c r="N18" i="5"/>
  <c r="N16" i="5"/>
  <c r="N14" i="5"/>
  <c r="K18" i="5"/>
  <c r="K12" i="5"/>
  <c r="K14" i="5"/>
  <c r="K16" i="5"/>
  <c r="G18" i="5"/>
  <c r="G16" i="5"/>
  <c r="G14" i="5"/>
  <c r="G12" i="5"/>
  <c r="C18" i="5"/>
  <c r="C16" i="5"/>
  <c r="C14" i="5"/>
  <c r="C12" i="5"/>
  <c r="L16" i="5"/>
  <c r="L14" i="5"/>
  <c r="L12" i="5"/>
  <c r="L18" i="5"/>
  <c r="I16" i="5"/>
  <c r="I18" i="5"/>
  <c r="I14" i="5"/>
  <c r="I12" i="5"/>
  <c r="J12" i="5"/>
  <c r="J14" i="5"/>
  <c r="J18" i="5"/>
  <c r="J16" i="5"/>
  <c r="B16" i="5"/>
  <c r="B12" i="5"/>
  <c r="B14" i="5"/>
  <c r="B18" i="5"/>
  <c r="F14" i="5"/>
  <c r="F16" i="5"/>
  <c r="F12" i="5"/>
  <c r="F18" i="5"/>
  <c r="D12" i="5"/>
  <c r="D16" i="5"/>
  <c r="D14" i="5"/>
  <c r="D18" i="5"/>
  <c r="H16" i="5"/>
  <c r="H12" i="5"/>
  <c r="H14" i="5"/>
  <c r="H18" i="5"/>
  <c r="N20" i="5" l="1"/>
  <c r="N22" i="5" s="1"/>
  <c r="N32" i="5" s="1"/>
  <c r="N34" i="5" s="1"/>
  <c r="N36" i="5" s="1"/>
  <c r="I20" i="5"/>
  <c r="I22" i="5" s="1"/>
  <c r="I32" i="5" s="1"/>
  <c r="I34" i="5" s="1"/>
  <c r="I36" i="5" s="1"/>
  <c r="C20" i="5"/>
  <c r="C22" i="5" s="1"/>
  <c r="C32" i="5" s="1"/>
  <c r="C34" i="5" s="1"/>
  <c r="C36" i="5" s="1"/>
  <c r="F20" i="5"/>
  <c r="F22" i="5" s="1"/>
  <c r="F32" i="5" s="1"/>
  <c r="F34" i="5" s="1"/>
  <c r="F36" i="5" s="1"/>
  <c r="G20" i="5"/>
  <c r="G22" i="5" s="1"/>
  <c r="G32" i="5" s="1"/>
  <c r="G34" i="5" s="1"/>
  <c r="G36" i="5" s="1"/>
  <c r="E20" i="5"/>
  <c r="E22" i="5" s="1"/>
  <c r="E32" i="5" s="1"/>
  <c r="E34" i="5" s="1"/>
  <c r="E36" i="5" s="1"/>
  <c r="D20" i="5"/>
  <c r="D22" i="5" s="1"/>
  <c r="D32" i="5" s="1"/>
  <c r="K20" i="5"/>
  <c r="K22" i="5" s="1"/>
  <c r="K32" i="5" s="1"/>
  <c r="K34" i="5" s="1"/>
  <c r="K36" i="5" s="1"/>
  <c r="H20" i="5"/>
  <c r="H22" i="5" s="1"/>
  <c r="H32" i="5" s="1"/>
  <c r="H34" i="5" s="1"/>
  <c r="H36" i="5" s="1"/>
  <c r="B20" i="5"/>
  <c r="B22" i="5" s="1"/>
  <c r="B32" i="5" s="1"/>
  <c r="B34" i="5" s="1"/>
  <c r="B36" i="5" s="1"/>
  <c r="J20" i="5"/>
  <c r="J22" i="5" s="1"/>
  <c r="J32" i="5" s="1"/>
  <c r="J34" i="5" s="1"/>
  <c r="J36" i="5" s="1"/>
  <c r="L20" i="5"/>
  <c r="L22" i="5" s="1"/>
  <c r="L32" i="5" s="1"/>
  <c r="M34" i="5"/>
  <c r="M36" i="5" s="1"/>
  <c r="I15" i="5"/>
  <c r="I17" i="5"/>
  <c r="I13" i="5"/>
  <c r="I11" i="5"/>
  <c r="G15" i="5"/>
  <c r="G13" i="5"/>
  <c r="G11" i="5"/>
  <c r="G17" i="5"/>
  <c r="H17" i="5"/>
  <c r="H13" i="5"/>
  <c r="H15" i="5"/>
  <c r="H11" i="5"/>
  <c r="L17" i="5"/>
  <c r="L13" i="5"/>
  <c r="L15" i="5"/>
  <c r="L11" i="5"/>
  <c r="C11" i="5"/>
  <c r="C17" i="5"/>
  <c r="C15" i="5"/>
  <c r="C13" i="5"/>
  <c r="N11" i="5"/>
  <c r="N15" i="5"/>
  <c r="N17" i="5"/>
  <c r="N13" i="5"/>
  <c r="D11" i="5"/>
  <c r="D15" i="5"/>
  <c r="D17" i="5"/>
  <c r="D13" i="5"/>
  <c r="E13" i="5"/>
  <c r="E15" i="5"/>
  <c r="E11" i="5"/>
  <c r="E17" i="5"/>
  <c r="J17" i="5"/>
  <c r="J15" i="5"/>
  <c r="J11" i="5"/>
  <c r="J13" i="5"/>
  <c r="K11" i="5"/>
  <c r="K13" i="5"/>
  <c r="K17" i="5"/>
  <c r="K15" i="5"/>
  <c r="B15" i="5"/>
  <c r="B11" i="5"/>
  <c r="B17" i="5"/>
  <c r="B13" i="5"/>
  <c r="F11" i="5"/>
  <c r="F17" i="5"/>
  <c r="F13" i="5"/>
  <c r="F15" i="5"/>
  <c r="M11" i="5"/>
  <c r="M15" i="5"/>
  <c r="M13" i="5"/>
  <c r="M17" i="5"/>
  <c r="B40" i="5" l="1"/>
  <c r="B39" i="5"/>
  <c r="F19" i="5"/>
  <c r="F21" i="5" s="1"/>
  <c r="F31" i="5" s="1"/>
  <c r="F33" i="5" s="1"/>
  <c r="F35" i="5" s="1"/>
  <c r="K19" i="5"/>
  <c r="K21" i="5" s="1"/>
  <c r="K31" i="5" s="1"/>
  <c r="K33" i="5" s="1"/>
  <c r="K35" i="5" s="1"/>
  <c r="N19" i="5"/>
  <c r="N21" i="5" s="1"/>
  <c r="N31" i="5" s="1"/>
  <c r="N33" i="5" s="1"/>
  <c r="N35" i="5" s="1"/>
  <c r="D34" i="5"/>
  <c r="D36" i="5" s="1"/>
  <c r="I19" i="5"/>
  <c r="I21" i="5" s="1"/>
  <c r="I31" i="5" s="1"/>
  <c r="I33" i="5" s="1"/>
  <c r="I35" i="5" s="1"/>
  <c r="L34" i="5"/>
  <c r="L36" i="5" s="1"/>
  <c r="J19" i="5"/>
  <c r="J21" i="5" s="1"/>
  <c r="J31" i="5" s="1"/>
  <c r="J33" i="5" s="1"/>
  <c r="J35" i="5" s="1"/>
  <c r="B19" i="5"/>
  <c r="B21" i="5" s="1"/>
  <c r="B31" i="5" s="1"/>
  <c r="B33" i="5" s="1"/>
  <c r="H19" i="5"/>
  <c r="H21" i="5" s="1"/>
  <c r="H31" i="5" s="1"/>
  <c r="H33" i="5" s="1"/>
  <c r="E19" i="5"/>
  <c r="E21" i="5" s="1"/>
  <c r="E31" i="5" s="1"/>
  <c r="E33" i="5" s="1"/>
  <c r="E35" i="5" s="1"/>
  <c r="D19" i="5"/>
  <c r="D21" i="5" s="1"/>
  <c r="D31" i="5" s="1"/>
  <c r="D33" i="5" s="1"/>
  <c r="D35" i="5" s="1"/>
  <c r="C19" i="5"/>
  <c r="C21" i="5" s="1"/>
  <c r="C31" i="5" s="1"/>
  <c r="C33" i="5" s="1"/>
  <c r="C35" i="5" s="1"/>
  <c r="G19" i="5"/>
  <c r="G21" i="5" s="1"/>
  <c r="G31" i="5" s="1"/>
  <c r="G33" i="5" s="1"/>
  <c r="M19" i="5"/>
  <c r="M21" i="5" s="1"/>
  <c r="M31" i="5" s="1"/>
  <c r="L19" i="5"/>
  <c r="L21" i="5" s="1"/>
  <c r="L31" i="5" s="1"/>
  <c r="G39" i="5"/>
  <c r="G51" i="5"/>
  <c r="G44" i="5"/>
  <c r="G48" i="5"/>
  <c r="G42" i="5"/>
  <c r="G43" i="5"/>
  <c r="G41" i="5"/>
  <c r="G55" i="5"/>
  <c r="G46" i="5"/>
  <c r="G57" i="5"/>
  <c r="G45" i="5"/>
  <c r="G54" i="5"/>
  <c r="G40" i="5"/>
  <c r="G52" i="5"/>
  <c r="G50" i="5"/>
  <c r="G47" i="5"/>
  <c r="G53" i="5"/>
  <c r="G49" i="5"/>
  <c r="G58" i="5"/>
  <c r="G56" i="5"/>
  <c r="E48" i="5"/>
  <c r="E42" i="5"/>
  <c r="E40" i="5"/>
  <c r="E52" i="5"/>
  <c r="E43" i="5"/>
  <c r="E57" i="5"/>
  <c r="E56" i="5"/>
  <c r="E41" i="5"/>
  <c r="E39" i="5"/>
  <c r="E51" i="5"/>
  <c r="E49" i="5"/>
  <c r="E54" i="5"/>
  <c r="E53" i="5"/>
  <c r="E44" i="5"/>
  <c r="E46" i="5"/>
  <c r="E45" i="5"/>
  <c r="E47" i="5"/>
  <c r="E50" i="5"/>
  <c r="E58" i="5"/>
  <c r="E55" i="5"/>
  <c r="B47" i="5"/>
  <c r="B50" i="5"/>
  <c r="B42" i="5"/>
  <c r="B52" i="5"/>
  <c r="B51" i="5"/>
  <c r="B57" i="5"/>
  <c r="B54" i="5"/>
  <c r="B41" i="5"/>
  <c r="B58" i="5"/>
  <c r="B56" i="5"/>
  <c r="B49" i="5"/>
  <c r="B53" i="5"/>
  <c r="B55" i="5"/>
  <c r="B48" i="5"/>
  <c r="B45" i="5"/>
  <c r="B43" i="5"/>
  <c r="B44" i="5"/>
  <c r="B46" i="5"/>
  <c r="C53" i="5"/>
  <c r="C48" i="5"/>
  <c r="C46" i="5"/>
  <c r="C50" i="5"/>
  <c r="C54" i="5"/>
  <c r="C56" i="5"/>
  <c r="C39" i="5"/>
  <c r="C47" i="5"/>
  <c r="C57" i="5"/>
  <c r="C58" i="5"/>
  <c r="C49" i="5"/>
  <c r="C52" i="5"/>
  <c r="C43" i="5"/>
  <c r="C42" i="5"/>
  <c r="C55" i="5"/>
  <c r="C45" i="5"/>
  <c r="C51" i="5"/>
  <c r="C41" i="5"/>
  <c r="C44" i="5"/>
  <c r="C40" i="5"/>
  <c r="N42" i="5"/>
  <c r="N45" i="5"/>
  <c r="N39" i="5"/>
  <c r="N47" i="5"/>
  <c r="N41" i="5"/>
  <c r="N49" i="5"/>
  <c r="N40" i="5"/>
  <c r="N56" i="5"/>
  <c r="N55" i="5"/>
  <c r="N53" i="5"/>
  <c r="N48" i="5"/>
  <c r="N57" i="5"/>
  <c r="N50" i="5"/>
  <c r="N51" i="5"/>
  <c r="N54" i="5"/>
  <c r="N52" i="5"/>
  <c r="N43" i="5"/>
  <c r="N46" i="5"/>
  <c r="N58" i="5"/>
  <c r="N44" i="5"/>
  <c r="J58" i="5"/>
  <c r="J51" i="5"/>
  <c r="J54" i="5"/>
  <c r="J57" i="5"/>
  <c r="J39" i="5"/>
  <c r="J48" i="5"/>
  <c r="J40" i="5"/>
  <c r="J53" i="5"/>
  <c r="J44" i="5"/>
  <c r="J45" i="5"/>
  <c r="J41" i="5"/>
  <c r="J55" i="5"/>
  <c r="J56" i="5"/>
  <c r="J49" i="5"/>
  <c r="J43" i="5"/>
  <c r="J50" i="5"/>
  <c r="J42" i="5"/>
  <c r="J47" i="5"/>
  <c r="J46" i="5"/>
  <c r="J52" i="5"/>
  <c r="M47" i="5"/>
  <c r="M51" i="5"/>
  <c r="M56" i="5"/>
  <c r="M54" i="5"/>
  <c r="M52" i="5"/>
  <c r="M39" i="5"/>
  <c r="M48" i="5"/>
  <c r="M55" i="5"/>
  <c r="M45" i="5"/>
  <c r="M41" i="5"/>
  <c r="M44" i="5"/>
  <c r="M40" i="5"/>
  <c r="M43" i="5"/>
  <c r="M49" i="5"/>
  <c r="M53" i="5"/>
  <c r="M57" i="5"/>
  <c r="M42" i="5"/>
  <c r="M50" i="5"/>
  <c r="M46" i="5"/>
  <c r="M58" i="5"/>
  <c r="I39" i="5"/>
  <c r="I51" i="5"/>
  <c r="I56" i="5"/>
  <c r="I42" i="5"/>
  <c r="I45" i="5"/>
  <c r="I58" i="5"/>
  <c r="I40" i="5"/>
  <c r="I57" i="5"/>
  <c r="I43" i="5"/>
  <c r="I52" i="5"/>
  <c r="I47" i="5"/>
  <c r="I44" i="5"/>
  <c r="I41" i="5"/>
  <c r="I46" i="5"/>
  <c r="I53" i="5"/>
  <c r="I54" i="5"/>
  <c r="I48" i="5"/>
  <c r="I49" i="5"/>
  <c r="I55" i="5"/>
  <c r="I50" i="5"/>
  <c r="K57" i="5"/>
  <c r="K46" i="5"/>
  <c r="K40" i="5"/>
  <c r="K54" i="5"/>
  <c r="K55" i="5"/>
  <c r="K53" i="5"/>
  <c r="K49" i="5"/>
  <c r="K48" i="5"/>
  <c r="K47" i="5"/>
  <c r="K52" i="5"/>
  <c r="K42" i="5"/>
  <c r="K51" i="5"/>
  <c r="K45" i="5"/>
  <c r="K50" i="5"/>
  <c r="K56" i="5"/>
  <c r="K41" i="5"/>
  <c r="K44" i="5"/>
  <c r="K43" i="5"/>
  <c r="K58" i="5"/>
  <c r="K39" i="5"/>
  <c r="F46" i="5"/>
  <c r="F57" i="5"/>
  <c r="F45" i="5"/>
  <c r="F42" i="5"/>
  <c r="F52" i="5"/>
  <c r="F39" i="5"/>
  <c r="F44" i="5"/>
  <c r="F56" i="5"/>
  <c r="F49" i="5"/>
  <c r="F48" i="5"/>
  <c r="F58" i="5"/>
  <c r="F41" i="5"/>
  <c r="F47" i="5"/>
  <c r="F55" i="5"/>
  <c r="F43" i="5"/>
  <c r="F50" i="5"/>
  <c r="F53" i="5"/>
  <c r="F40" i="5"/>
  <c r="F54" i="5"/>
  <c r="F51" i="5"/>
  <c r="H48" i="5"/>
  <c r="H41" i="5"/>
  <c r="H43" i="5"/>
  <c r="H56" i="5"/>
  <c r="H40" i="5"/>
  <c r="H45" i="5"/>
  <c r="H50" i="5"/>
  <c r="H54" i="5"/>
  <c r="H42" i="5"/>
  <c r="H57" i="5"/>
  <c r="H52" i="5"/>
  <c r="H55" i="5"/>
  <c r="H47" i="5"/>
  <c r="H46" i="5"/>
  <c r="H51" i="5"/>
  <c r="H53" i="5"/>
  <c r="H39" i="5"/>
  <c r="H44" i="5"/>
  <c r="H58" i="5"/>
  <c r="H49" i="5"/>
  <c r="K60" i="5" l="1"/>
  <c r="K59" i="5"/>
  <c r="E59" i="5"/>
  <c r="E60" i="5"/>
  <c r="F60" i="5"/>
  <c r="F59" i="5"/>
  <c r="N59" i="5"/>
  <c r="N60" i="5"/>
  <c r="J60" i="5"/>
  <c r="J59" i="5"/>
  <c r="I60" i="5"/>
  <c r="I59" i="5"/>
  <c r="C59" i="5"/>
  <c r="C60" i="5"/>
  <c r="D59" i="5"/>
  <c r="D60" i="5"/>
  <c r="B35" i="5"/>
  <c r="B63" i="5" s="1"/>
  <c r="D58" i="5"/>
  <c r="D43" i="5"/>
  <c r="D44" i="5"/>
  <c r="D53" i="5"/>
  <c r="D48" i="5"/>
  <c r="D42" i="5"/>
  <c r="D57" i="5"/>
  <c r="D39" i="5"/>
  <c r="D54" i="5"/>
  <c r="D52" i="5"/>
  <c r="D49" i="5"/>
  <c r="D40" i="5"/>
  <c r="D41" i="5"/>
  <c r="D45" i="5"/>
  <c r="D50" i="5"/>
  <c r="D46" i="5"/>
  <c r="D56" i="5"/>
  <c r="D51" i="5"/>
  <c r="D47" i="5"/>
  <c r="D55" i="5"/>
  <c r="L57" i="5"/>
  <c r="L39" i="5"/>
  <c r="L40" i="5"/>
  <c r="L45" i="5"/>
  <c r="L55" i="5"/>
  <c r="L50" i="5"/>
  <c r="L48" i="5"/>
  <c r="L53" i="5"/>
  <c r="L54" i="5"/>
  <c r="L56" i="5"/>
  <c r="L44" i="5"/>
  <c r="L49" i="5"/>
  <c r="L51" i="5"/>
  <c r="L52" i="5"/>
  <c r="L58" i="5"/>
  <c r="L42" i="5"/>
  <c r="L43" i="5"/>
  <c r="L47" i="5"/>
  <c r="L46" i="5"/>
  <c r="L41" i="5"/>
  <c r="H35" i="5"/>
  <c r="H62" i="5" s="1"/>
  <c r="L33" i="5"/>
  <c r="L35" i="5" s="1"/>
  <c r="M33" i="5"/>
  <c r="M35" i="5" s="1"/>
  <c r="G35" i="5"/>
  <c r="N63" i="5"/>
  <c r="N62" i="5"/>
  <c r="N61" i="5"/>
  <c r="I61" i="5"/>
  <c r="I62" i="5"/>
  <c r="I63" i="5"/>
  <c r="E63" i="5"/>
  <c r="E62" i="5"/>
  <c r="E61" i="5"/>
  <c r="D61" i="5"/>
  <c r="D63" i="5"/>
  <c r="D62" i="5"/>
  <c r="J63" i="5"/>
  <c r="J62" i="5"/>
  <c r="J61" i="5"/>
  <c r="C61" i="5"/>
  <c r="C62" i="5"/>
  <c r="C63" i="5"/>
  <c r="F61" i="5"/>
  <c r="F63" i="5"/>
  <c r="F62" i="5"/>
  <c r="K62" i="5"/>
  <c r="K63" i="5"/>
  <c r="K61" i="5"/>
  <c r="E64" i="5" l="1"/>
  <c r="E65" i="5" s="1"/>
  <c r="E66" i="5" s="1"/>
  <c r="H61" i="5"/>
  <c r="B62" i="5"/>
  <c r="M59" i="5"/>
  <c r="M60" i="5"/>
  <c r="L60" i="5"/>
  <c r="L59" i="5"/>
  <c r="H63" i="5"/>
  <c r="H60" i="5"/>
  <c r="H59" i="5"/>
  <c r="B59" i="5"/>
  <c r="B61" i="5"/>
  <c r="B60" i="5"/>
  <c r="G63" i="5"/>
  <c r="G59" i="5"/>
  <c r="G60" i="5"/>
  <c r="C64" i="5"/>
  <c r="C65" i="5" s="1"/>
  <c r="C66" i="5" s="1"/>
  <c r="J64" i="5"/>
  <c r="J65" i="5" s="1"/>
  <c r="J66" i="5" s="1"/>
  <c r="K64" i="5"/>
  <c r="K65" i="5" s="1"/>
  <c r="K66" i="5" s="1"/>
  <c r="N64" i="5"/>
  <c r="N65" i="5" s="1"/>
  <c r="N66" i="5" s="1"/>
  <c r="G61" i="5"/>
  <c r="G62" i="5"/>
  <c r="M63" i="5"/>
  <c r="M61" i="5"/>
  <c r="M62" i="5"/>
  <c r="L61" i="5"/>
  <c r="L62" i="5"/>
  <c r="L63" i="5"/>
  <c r="D64" i="5"/>
  <c r="D65" i="5" s="1"/>
  <c r="D66" i="5" s="1"/>
  <c r="F64" i="5"/>
  <c r="F65" i="5" s="1"/>
  <c r="F66" i="5" s="1"/>
  <c r="I64" i="5"/>
  <c r="I65" i="5" s="1"/>
  <c r="I66" i="5" s="1"/>
  <c r="H64" i="5" l="1"/>
  <c r="H65" i="5" s="1"/>
  <c r="H66" i="5" s="1"/>
  <c r="B64" i="5"/>
  <c r="B65" i="5" s="1"/>
  <c r="B66" i="5" s="1"/>
  <c r="M64" i="5"/>
  <c r="M65" i="5" s="1"/>
  <c r="M66" i="5" s="1"/>
  <c r="G64" i="5"/>
  <c r="G65" i="5" s="1"/>
  <c r="G66" i="5" s="1"/>
  <c r="L64" i="5"/>
  <c r="L65" i="5" s="1"/>
  <c r="L6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<sst xmlns="http://schemas.openxmlformats.org/spreadsheetml/2006/main" count="343" uniqueCount="205">
  <si>
    <t>Car</t>
  </si>
  <si>
    <t>Year</t>
  </si>
  <si>
    <t>Engine</t>
  </si>
  <si>
    <t>HP</t>
  </si>
  <si>
    <t>Price</t>
  </si>
  <si>
    <t>Torque</t>
  </si>
  <si>
    <t>0-60</t>
  </si>
  <si>
    <t>1/4 Mile</t>
  </si>
  <si>
    <t>Mileage</t>
  </si>
  <si>
    <t>B58</t>
  </si>
  <si>
    <t>MPG</t>
  </si>
  <si>
    <t>S58</t>
  </si>
  <si>
    <t>Weight</t>
  </si>
  <si>
    <t>Drive</t>
  </si>
  <si>
    <t>AWD</t>
  </si>
  <si>
    <t>RWD</t>
  </si>
  <si>
    <t>30-50</t>
  </si>
  <si>
    <t>50-70</t>
  </si>
  <si>
    <t>Resell Value (3 Yrs)</t>
  </si>
  <si>
    <t>5 Yrs</t>
  </si>
  <si>
    <t>7 Yrs</t>
  </si>
  <si>
    <t>Residual (3 Yrs)</t>
  </si>
  <si>
    <t>Down</t>
  </si>
  <si>
    <t>APR</t>
  </si>
  <si>
    <t>Term</t>
  </si>
  <si>
    <t>Monthly</t>
  </si>
  <si>
    <t>Post Resell Monthly</t>
  </si>
  <si>
    <t>Total Payment + Initial Down</t>
  </si>
  <si>
    <t>Total Post Resell Payment</t>
  </si>
  <si>
    <t>True Adjustment Rate</t>
  </si>
  <si>
    <t>Salary</t>
  </si>
  <si>
    <t>State Tax</t>
  </si>
  <si>
    <t>Rent</t>
  </si>
  <si>
    <t>Loans</t>
  </si>
  <si>
    <t>Misc.</t>
  </si>
  <si>
    <t>Left-Over</t>
  </si>
  <si>
    <t>Employer-Match</t>
  </si>
  <si>
    <t>Federal Tax</t>
  </si>
  <si>
    <t>Social Security Tax</t>
  </si>
  <si>
    <t>Medicare Tax</t>
  </si>
  <si>
    <t>Annual</t>
  </si>
  <si>
    <t>Food</t>
  </si>
  <si>
    <t>Total to Invest</t>
  </si>
  <si>
    <t>Gas</t>
  </si>
  <si>
    <t>Total</t>
  </si>
  <si>
    <t>Home Price</t>
  </si>
  <si>
    <t>Home Appreciation</t>
  </si>
  <si>
    <t>Monthly Mortgage</t>
  </si>
  <si>
    <t>Total Payments</t>
  </si>
  <si>
    <t>Balance</t>
  </si>
  <si>
    <t>Sell Profit</t>
  </si>
  <si>
    <t>Buying Power Post Penalty</t>
  </si>
  <si>
    <t>Total + Down</t>
  </si>
  <si>
    <t>Sell Profit (Total)</t>
  </si>
  <si>
    <t>Yearly Post Tax</t>
  </si>
  <si>
    <t>Salary Post Deduction</t>
  </si>
  <si>
    <t>Yearly Post Deduction</t>
  </si>
  <si>
    <t>Yearly Salary Progression</t>
  </si>
  <si>
    <t>Start @70k</t>
  </si>
  <si>
    <t>Start @75k</t>
  </si>
  <si>
    <t>Start @80k</t>
  </si>
  <si>
    <t>Start @85k</t>
  </si>
  <si>
    <t>Start @95k</t>
  </si>
  <si>
    <t>Start @90k</t>
  </si>
  <si>
    <t>Start @100k</t>
  </si>
  <si>
    <t>Bi-Yearly</t>
  </si>
  <si>
    <t>Start @105k</t>
  </si>
  <si>
    <t>Tri-Yearly</t>
  </si>
  <si>
    <t>Start @110k</t>
  </si>
  <si>
    <t>Start @115k</t>
  </si>
  <si>
    <t>Final Salary</t>
  </si>
  <si>
    <t>Age</t>
  </si>
  <si>
    <t>Reduction</t>
  </si>
  <si>
    <t>School</t>
  </si>
  <si>
    <t>Ranking</t>
  </si>
  <si>
    <t>Program</t>
  </si>
  <si>
    <t>Part-Time Rate</t>
  </si>
  <si>
    <t>Full-Time Rate</t>
  </si>
  <si>
    <t>Cost Part-Time</t>
  </si>
  <si>
    <t>Cost Full-Time</t>
  </si>
  <si>
    <t>Degree</t>
  </si>
  <si>
    <t>Masters</t>
  </si>
  <si>
    <t>Online</t>
  </si>
  <si>
    <t>Cost Online</t>
  </si>
  <si>
    <t>"4965,3110,1235"</t>
  </si>
  <si>
    <t>Credits Required</t>
  </si>
  <si>
    <t>Baruch</t>
  </si>
  <si>
    <t>MBA (STEM-Designated)</t>
  </si>
  <si>
    <t>PhD</t>
  </si>
  <si>
    <t>Business (Operations &amp; Decision Analystics)</t>
  </si>
  <si>
    <t>CCNY</t>
  </si>
  <si>
    <t>CS</t>
  </si>
  <si>
    <t>The Graduate Center</t>
  </si>
  <si>
    <t>Math</t>
  </si>
  <si>
    <t>Statistics</t>
  </si>
  <si>
    <t>Physics</t>
  </si>
  <si>
    <t>MTA Adjusted Part-Time</t>
  </si>
  <si>
    <t>MTA Full</t>
  </si>
  <si>
    <t>MTA Online</t>
  </si>
  <si>
    <t>Salary Start</t>
  </si>
  <si>
    <t>Current Salary</t>
  </si>
  <si>
    <t>Saved</t>
  </si>
  <si>
    <t>Pre-Car Left Over</t>
  </si>
  <si>
    <t>Pre-Car Employer-Match</t>
  </si>
  <si>
    <t>Pre-Car Total to Invest</t>
  </si>
  <si>
    <t>Months till Car Down</t>
  </si>
  <si>
    <t>Car Loan + Insurance</t>
  </si>
  <si>
    <t>Monthly MTA Adjusted Part-Time</t>
  </si>
  <si>
    <t>Monthly MTA Full</t>
  </si>
  <si>
    <t>Monthly MTA Online</t>
  </si>
  <si>
    <t>Nx 350h</t>
  </si>
  <si>
    <t>Rx 350</t>
  </si>
  <si>
    <t>Daily Miles</t>
  </si>
  <si>
    <t>Monthly Gas</t>
  </si>
  <si>
    <t>Real Cost</t>
  </si>
  <si>
    <t>Yearly Difference</t>
  </si>
  <si>
    <t>Monthly Difference</t>
  </si>
  <si>
    <t>Over 5 Years</t>
  </si>
  <si>
    <t>RAV4</t>
  </si>
  <si>
    <t>RAV4 Hybrid</t>
  </si>
  <si>
    <t>Regular Gas Price</t>
  </si>
  <si>
    <t>Premium Gas Price</t>
  </si>
  <si>
    <t>#1 Choice</t>
  </si>
  <si>
    <t>2nd Place</t>
  </si>
  <si>
    <t>3rd Place</t>
  </si>
  <si>
    <t>Last Place</t>
  </si>
  <si>
    <t>Trade-In Value</t>
  </si>
  <si>
    <t>Gas Price Adjusted to Rx350</t>
  </si>
  <si>
    <t>N47</t>
  </si>
  <si>
    <t>S55</t>
  </si>
  <si>
    <t>MPG (20/80)</t>
  </si>
  <si>
    <t>Payment</t>
  </si>
  <si>
    <t>Insurance</t>
  </si>
  <si>
    <t>Gas Price</t>
  </si>
  <si>
    <t>Miles Per Week</t>
  </si>
  <si>
    <t>Miles Driven Per Week</t>
  </si>
  <si>
    <t>Resell</t>
  </si>
  <si>
    <t>Tri-Year Car Loan + Insurance</t>
  </si>
  <si>
    <t>Tri-Year Gas</t>
  </si>
  <si>
    <t>Tri-Year Total to Invest</t>
  </si>
  <si>
    <t>Tri-Year Salary Post Deduction</t>
  </si>
  <si>
    <t>Tri-Year Annual</t>
  </si>
  <si>
    <t>Tri-Year Monthly</t>
  </si>
  <si>
    <t>Tri-Year Federal Tax</t>
  </si>
  <si>
    <t>Tri-Year State Tax</t>
  </si>
  <si>
    <t>Tri-Year Social Security Tax</t>
  </si>
  <si>
    <t>Tri-Year Medicare Tax</t>
  </si>
  <si>
    <t>Tri-Year Monthly Left-Over</t>
  </si>
  <si>
    <t>Tri-Year Monthly Employer-Match</t>
  </si>
  <si>
    <t>Years Matured (Inflation Adjusted Salary)</t>
  </si>
  <si>
    <t>Years Matured (Adjusted to Inflation Salary)</t>
  </si>
  <si>
    <t>NA V8</t>
  </si>
  <si>
    <t>True Adjustment Rate of Loan</t>
  </si>
  <si>
    <t>25 Monthly</t>
  </si>
  <si>
    <t>Cheapest</t>
  </si>
  <si>
    <t>State Farm</t>
  </si>
  <si>
    <t>25 Adjusted (*1.5)</t>
  </si>
  <si>
    <t>Cheapest Monthly @25</t>
  </si>
  <si>
    <t>Full Coverage Expense</t>
  </si>
  <si>
    <t>Money in Market</t>
  </si>
  <si>
    <t>Difference</t>
  </si>
  <si>
    <t>If the Full Coverage Expense is less than cost between car MSRP and down, financially it is more sound to take a loan (0 APR)</t>
  </si>
  <si>
    <t>Car 1 (5 Years)</t>
  </si>
  <si>
    <t>Today's Price</t>
  </si>
  <si>
    <t>Z4 M40i</t>
  </si>
  <si>
    <t>X3 M Comp</t>
  </si>
  <si>
    <t>C8 Z51</t>
  </si>
  <si>
    <t>328d Wagon</t>
  </si>
  <si>
    <t>F80 M4 Coupe</t>
  </si>
  <si>
    <t>R35 GT-R</t>
  </si>
  <si>
    <t>14/15</t>
  </si>
  <si>
    <t>Cars.com Reliability</t>
  </si>
  <si>
    <t>F80 M3</t>
  </si>
  <si>
    <t>Cars.com Performance</t>
  </si>
  <si>
    <t>TT V6</t>
  </si>
  <si>
    <t>F8X</t>
  </si>
  <si>
    <t>Car 2 (5 Years)</t>
  </si>
  <si>
    <t>Car 2 - 3Years</t>
  </si>
  <si>
    <t>Car 1 - 10 Years</t>
  </si>
  <si>
    <t>Secondary Car Loan + Insurance</t>
  </si>
  <si>
    <t>Secondary Yearly Post Tax</t>
  </si>
  <si>
    <t>Secondary Yearly Post Deduction</t>
  </si>
  <si>
    <t>Camaro ZL1</t>
  </si>
  <si>
    <t>Z06</t>
  </si>
  <si>
    <t>X3 M40i</t>
  </si>
  <si>
    <t>20+</t>
  </si>
  <si>
    <t>17 GT-R</t>
  </si>
  <si>
    <t>X3 M Comp / M40i</t>
  </si>
  <si>
    <t>Camaro ZLE</t>
  </si>
  <si>
    <t>Down Percentage</t>
  </si>
  <si>
    <t>Savings</t>
  </si>
  <si>
    <t>Debts</t>
  </si>
  <si>
    <t>TD Bank</t>
  </si>
  <si>
    <t>MTA</t>
  </si>
  <si>
    <t>CUNY</t>
  </si>
  <si>
    <t>Apple Card</t>
  </si>
  <si>
    <t>Cash Flow</t>
  </si>
  <si>
    <t>Macy's</t>
  </si>
  <si>
    <t>Week Ending In</t>
  </si>
  <si>
    <t>Start (1-21)</t>
  </si>
  <si>
    <t>Others</t>
  </si>
  <si>
    <t>Car 20</t>
  </si>
  <si>
    <t>Car 30</t>
  </si>
  <si>
    <t>Car 40</t>
  </si>
  <si>
    <t>Car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</si>
</sst>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0.0"/>
    <numFmt numFmtId="168" formatCode="_(&quot;$&quot;* #,##0_);_(&quot;$&quot;* \(#,##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E36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4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4" fontId="0" fillId="0" borderId="0" xfId="0" applyNumberFormat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4" fillId="0" borderId="0" xfId="0" applyNumberFormat="1" applyFont="1"/>
    <xf numFmtId="3" fontId="3" fillId="0" borderId="0" xfId="0" applyNumberFormat="1" applyFont="1"/>
    <xf numFmtId="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3" fontId="1" fillId="0" borderId="0" xfId="0" applyNumberFormat="1" applyFont="1"/>
    <xf numFmtId="4" fontId="1" fillId="0" borderId="0" xfId="0" applyNumberFormat="1" applyFont="1"/>
    <xf numFmtId="1" fontId="1" fillId="0" borderId="0" xfId="0" applyNumberFormat="1" applyFont="1"/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164" fontId="0" fillId="0" borderId="0" xfId="1" applyNumberFormat="1" applyFont="1" applyFill="1"/>
    <xf numFmtId="0" fontId="0" fillId="0" borderId="0" xfId="0" applyAlignment="1">
      <alignment horizontal="right"/>
    </xf>
    <xf numFmtId="43" fontId="0" fillId="0" borderId="0" xfId="2" applyFont="1"/>
    <xf numFmtId="9" fontId="0" fillId="0" borderId="0" xfId="0" applyNumberFormat="1"/>
    <xf numFmtId="166" fontId="0" fillId="0" borderId="0" xfId="2" applyNumberFormat="1" applyFont="1"/>
    <xf numFmtId="166" fontId="1" fillId="0" borderId="0" xfId="2" applyNumberFormat="1" applyFont="1"/>
    <xf numFmtId="0" fontId="0" fillId="0" borderId="1" xfId="0" applyBorder="1"/>
    <xf numFmtId="0" fontId="0" fillId="3" borderId="1" xfId="0" applyFill="1" applyBorder="1"/>
    <xf numFmtId="166" fontId="0" fillId="3" borderId="1" xfId="2" applyNumberFormat="1" applyFont="1" applyFill="1" applyBorder="1"/>
    <xf numFmtId="166" fontId="0" fillId="3" borderId="1" xfId="0" applyNumberFormat="1" applyFill="1" applyBorder="1"/>
    <xf numFmtId="0" fontId="0" fillId="4" borderId="1" xfId="0" applyFill="1" applyBorder="1"/>
    <xf numFmtId="3" fontId="0" fillId="4" borderId="1" xfId="0" applyNumberFormat="1" applyFill="1" applyBorder="1"/>
    <xf numFmtId="166" fontId="0" fillId="4" borderId="1" xfId="2" applyNumberFormat="1" applyFont="1" applyFill="1" applyBorder="1"/>
    <xf numFmtId="166" fontId="0" fillId="4" borderId="1" xfId="0" applyNumberFormat="1" applyFill="1" applyBorder="1"/>
    <xf numFmtId="0" fontId="0" fillId="5" borderId="1" xfId="0" applyFill="1" applyBorder="1"/>
    <xf numFmtId="166" fontId="0" fillId="5" borderId="1" xfId="2" applyNumberFormat="1" applyFont="1" applyFill="1" applyBorder="1"/>
    <xf numFmtId="166" fontId="0" fillId="5" borderId="1" xfId="0" applyNumberFormat="1" applyFill="1" applyBorder="1"/>
    <xf numFmtId="0" fontId="1" fillId="4" borderId="1" xfId="0" applyFont="1" applyFill="1" applyBorder="1"/>
    <xf numFmtId="3" fontId="1" fillId="4" borderId="1" xfId="0" applyNumberFormat="1" applyFont="1" applyFill="1" applyBorder="1"/>
    <xf numFmtId="0" fontId="1" fillId="5" borderId="1" xfId="0" applyFont="1" applyFill="1" applyBorder="1"/>
    <xf numFmtId="3" fontId="0" fillId="0" borderId="2" xfId="0" applyNumberFormat="1" applyBorder="1"/>
    <xf numFmtId="3" fontId="0" fillId="0" borderId="3" xfId="0" applyNumberFormat="1" applyBorder="1"/>
    <xf numFmtId="1" fontId="0" fillId="0" borderId="2" xfId="0" applyNumberFormat="1" applyBorder="1"/>
    <xf numFmtId="1" fontId="0" fillId="5" borderId="1" xfId="0" applyNumberFormat="1" applyFill="1" applyBorder="1"/>
    <xf numFmtId="4" fontId="0" fillId="5" borderId="1" xfId="0" applyNumberFormat="1" applyFill="1" applyBorder="1"/>
    <xf numFmtId="4" fontId="0" fillId="3" borderId="1" xfId="0" applyNumberFormat="1" applyFill="1" applyBorder="1"/>
    <xf numFmtId="0" fontId="5" fillId="0" borderId="1" xfId="0" applyFont="1" applyBorder="1"/>
    <xf numFmtId="166" fontId="5" fillId="0" borderId="1" xfId="2" applyNumberFormat="1" applyFont="1" applyBorder="1"/>
    <xf numFmtId="2" fontId="5" fillId="0" borderId="1" xfId="0" applyNumberFormat="1" applyFont="1" applyBorder="1"/>
    <xf numFmtId="43" fontId="5" fillId="0" borderId="1" xfId="2" applyFont="1" applyBorder="1"/>
    <xf numFmtId="10" fontId="5" fillId="0" borderId="1" xfId="0" applyNumberFormat="1" applyFont="1" applyBorder="1"/>
    <xf numFmtId="43" fontId="0" fillId="3" borderId="1" xfId="0" applyNumberFormat="1" applyFill="1" applyBorder="1"/>
    <xf numFmtId="43" fontId="0" fillId="4" borderId="1" xfId="0" applyNumberFormat="1" applyFill="1" applyBorder="1"/>
    <xf numFmtId="43" fontId="0" fillId="5" borderId="1" xfId="0" applyNumberFormat="1" applyFill="1" applyBorder="1"/>
    <xf numFmtId="0" fontId="5" fillId="0" borderId="0" xfId="0" applyFont="1"/>
    <xf numFmtId="0" fontId="5" fillId="2" borderId="0" xfId="0" applyFont="1" applyFill="1"/>
    <xf numFmtId="3" fontId="5" fillId="0" borderId="0" xfId="0" applyNumberFormat="1" applyFont="1"/>
    <xf numFmtId="1" fontId="5" fillId="0" borderId="0" xfId="0" applyNumberFormat="1" applyFont="1"/>
    <xf numFmtId="1" fontId="5" fillId="5" borderId="1" xfId="0" applyNumberFormat="1" applyFont="1" applyFill="1" applyBorder="1"/>
    <xf numFmtId="1" fontId="5" fillId="3" borderId="1" xfId="0" applyNumberFormat="1" applyFont="1" applyFill="1" applyBorder="1"/>
    <xf numFmtId="4" fontId="5" fillId="0" borderId="0" xfId="0" applyNumberFormat="1" applyFont="1"/>
    <xf numFmtId="164" fontId="5" fillId="0" borderId="0" xfId="0" applyNumberFormat="1" applyFont="1"/>
    <xf numFmtId="44" fontId="0" fillId="0" borderId="0" xfId="1" applyFont="1"/>
    <xf numFmtId="8" fontId="0" fillId="0" borderId="1" xfId="0" applyNumberFormat="1" applyBorder="1"/>
    <xf numFmtId="2" fontId="0" fillId="0" borderId="1" xfId="0" applyNumberFormat="1" applyBorder="1"/>
    <xf numFmtId="44" fontId="0" fillId="0" borderId="1" xfId="1" applyFont="1" applyBorder="1"/>
    <xf numFmtId="44" fontId="0" fillId="0" borderId="1" xfId="0" applyNumberFormat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0" borderId="1" xfId="0" applyFont="1" applyBorder="1" applyAlignment="1">
      <alignment horizontal="center"/>
    </xf>
    <xf numFmtId="1" fontId="0" fillId="0" borderId="0" xfId="2" applyNumberFormat="1" applyFont="1"/>
    <xf numFmtId="167" fontId="0" fillId="0" borderId="0" xfId="0" applyNumberFormat="1"/>
    <xf numFmtId="4" fontId="0" fillId="0" borderId="1" xfId="0" applyNumberFormat="1" applyBorder="1" applyAlignment="1">
      <alignment horizontal="right"/>
    </xf>
    <xf numFmtId="4" fontId="7" fillId="0" borderId="1" xfId="0" applyNumberFormat="1" applyFont="1" applyBorder="1" applyAlignment="1">
      <alignment horizontal="left"/>
    </xf>
    <xf numFmtId="4" fontId="0" fillId="0" borderId="1" xfId="0" applyNumberFormat="1" applyBorder="1"/>
    <xf numFmtId="4" fontId="1" fillId="0" borderId="2" xfId="0" applyNumberFormat="1" applyFont="1" applyBorder="1" applyAlignment="1">
      <alignment horizontal="right"/>
    </xf>
    <xf numFmtId="4" fontId="0" fillId="0" borderId="2" xfId="0" applyNumberFormat="1" applyBorder="1"/>
    <xf numFmtId="164" fontId="0" fillId="0" borderId="2" xfId="0" applyNumberFormat="1" applyBorder="1"/>
    <xf numFmtId="4" fontId="5" fillId="0" borderId="3" xfId="0" applyNumberFormat="1" applyFont="1" applyBorder="1" applyAlignment="1">
      <alignment horizontal="left"/>
    </xf>
    <xf numFmtId="4" fontId="5" fillId="0" borderId="3" xfId="0" applyNumberFormat="1" applyFont="1" applyBorder="1"/>
    <xf numFmtId="164" fontId="5" fillId="0" borderId="3" xfId="0" applyNumberFormat="1" applyFont="1" applyBorder="1"/>
    <xf numFmtId="4" fontId="0" fillId="0" borderId="4" xfId="0" applyNumberFormat="1" applyBorder="1" applyAlignment="1">
      <alignment horizontal="right"/>
    </xf>
    <xf numFmtId="4" fontId="0" fillId="0" borderId="5" xfId="0" applyNumberFormat="1" applyBorder="1"/>
    <xf numFmtId="164" fontId="0" fillId="0" borderId="6" xfId="0" applyNumberFormat="1" applyBorder="1"/>
    <xf numFmtId="3" fontId="0" fillId="9" borderId="0" xfId="0" applyNumberFormat="1" applyFill="1"/>
    <xf numFmtId="3" fontId="3" fillId="0" borderId="2" xfId="0" applyNumberFormat="1" applyFont="1" applyBorder="1"/>
    <xf numFmtId="3" fontId="3" fillId="0" borderId="7" xfId="0" applyNumberFormat="1" applyFont="1" applyBorder="1"/>
    <xf numFmtId="3" fontId="3" fillId="0" borderId="3" xfId="0" applyNumberFormat="1" applyFont="1" applyBorder="1"/>
    <xf numFmtId="1" fontId="3" fillId="0" borderId="2" xfId="0" applyNumberFormat="1" applyFont="1" applyBorder="1"/>
    <xf numFmtId="1" fontId="4" fillId="0" borderId="2" xfId="0" applyNumberFormat="1" applyFont="1" applyBorder="1"/>
    <xf numFmtId="165" fontId="4" fillId="0" borderId="7" xfId="0" applyNumberFormat="1" applyFont="1" applyBorder="1"/>
    <xf numFmtId="3" fontId="4" fillId="0" borderId="7" xfId="0" applyNumberFormat="1" applyFont="1" applyBorder="1"/>
    <xf numFmtId="3" fontId="4" fillId="0" borderId="3" xfId="0" applyNumberFormat="1" applyFont="1" applyBorder="1"/>
    <xf numFmtId="165" fontId="4" fillId="0" borderId="3" xfId="0" applyNumberFormat="1" applyFont="1" applyBorder="1"/>
    <xf numFmtId="3" fontId="4" fillId="0" borderId="2" xfId="0" applyNumberFormat="1" applyFont="1" applyBorder="1"/>
    <xf numFmtId="3" fontId="0" fillId="0" borderId="7" xfId="0" applyNumberFormat="1" applyBorder="1"/>
    <xf numFmtId="1" fontId="0" fillId="0" borderId="8" xfId="0" applyNumberFormat="1" applyBorder="1"/>
    <xf numFmtId="4" fontId="0" fillId="0" borderId="9" xfId="0" applyNumberFormat="1" applyBorder="1"/>
    <xf numFmtId="9" fontId="0" fillId="0" borderId="3" xfId="0" applyNumberFormat="1" applyBorder="1"/>
    <xf numFmtId="1" fontId="0" fillId="5" borderId="0" xfId="0" applyNumberFormat="1" applyFill="1"/>
    <xf numFmtId="3" fontId="0" fillId="5" borderId="0" xfId="0" applyNumberFormat="1" applyFill="1"/>
    <xf numFmtId="4" fontId="0" fillId="5" borderId="0" xfId="0" applyNumberFormat="1" applyFill="1"/>
    <xf numFmtId="3" fontId="0" fillId="2" borderId="0" xfId="0" applyNumberFormat="1" applyFill="1"/>
    <xf numFmtId="43" fontId="0" fillId="5" borderId="0" xfId="2" applyFont="1" applyFill="1"/>
    <xf numFmtId="43" fontId="0" fillId="2" borderId="0" xfId="2" applyFont="1" applyFill="1"/>
    <xf numFmtId="1" fontId="5" fillId="5" borderId="0" xfId="0" applyNumberFormat="1" applyFont="1" applyFill="1"/>
    <xf numFmtId="1" fontId="5" fillId="0" borderId="1" xfId="0" applyNumberFormat="1" applyFont="1" applyBorder="1"/>
    <xf numFmtId="1" fontId="5" fillId="2" borderId="1" xfId="0" applyNumberFormat="1" applyFont="1" applyFill="1" applyBorder="1"/>
    <xf numFmtId="4" fontId="0" fillId="2" borderId="1" xfId="0" applyNumberFormat="1" applyFill="1" applyBorder="1"/>
    <xf numFmtId="44" fontId="0" fillId="0" borderId="7" xfId="0" applyNumberFormat="1" applyBorder="1"/>
    <xf numFmtId="44" fontId="0" fillId="0" borderId="3" xfId="0" applyNumberFormat="1" applyBorder="1"/>
    <xf numFmtId="44" fontId="2" fillId="0" borderId="10" xfId="1" applyFont="1" applyFill="1" applyBorder="1"/>
    <xf numFmtId="44" fontId="2" fillId="0" borderId="0" xfId="1" applyFont="1" applyFill="1" applyBorder="1"/>
    <xf numFmtId="44" fontId="2" fillId="0" borderId="11" xfId="1" applyFont="1" applyFill="1" applyBorder="1"/>
    <xf numFmtId="1" fontId="8" fillId="0" borderId="2" xfId="0" applyNumberFormat="1" applyFont="1" applyBorder="1"/>
    <xf numFmtId="4" fontId="8" fillId="0" borderId="7" xfId="0" applyNumberFormat="1" applyFont="1" applyBorder="1"/>
    <xf numFmtId="4" fontId="8" fillId="0" borderId="3" xfId="0" applyNumberFormat="1" applyFont="1" applyBorder="1"/>
    <xf numFmtId="8" fontId="0" fillId="0" borderId="0" xfId="0" applyNumberFormat="1"/>
    <xf numFmtId="9" fontId="0" fillId="0" borderId="0" xfId="3" applyFont="1"/>
    <xf numFmtId="43" fontId="0" fillId="0" borderId="0" xfId="0" applyNumberFormat="1"/>
    <xf numFmtId="0" fontId="5" fillId="0" borderId="10" xfId="0" applyFont="1" applyBorder="1"/>
    <xf numFmtId="2" fontId="0" fillId="0" borderId="11" xfId="0" applyNumberFormat="1" applyBorder="1"/>
    <xf numFmtId="0" fontId="5" fillId="0" borderId="13" xfId="0" applyFont="1" applyBorder="1"/>
    <xf numFmtId="0" fontId="0" fillId="0" borderId="14" xfId="0" applyBorder="1"/>
    <xf numFmtId="2" fontId="0" fillId="0" borderId="14" xfId="0" applyNumberFormat="1" applyBorder="1"/>
    <xf numFmtId="2" fontId="0" fillId="0" borderId="15" xfId="0" applyNumberFormat="1" applyBorder="1"/>
    <xf numFmtId="0" fontId="5" fillId="0" borderId="5" xfId="0" applyFont="1" applyBorder="1"/>
    <xf numFmtId="0" fontId="7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2" xfId="0" applyFont="1" applyBorder="1"/>
    <xf numFmtId="0" fontId="5" fillId="0" borderId="3" xfId="0" applyFont="1" applyBorder="1"/>
    <xf numFmtId="166" fontId="0" fillId="0" borderId="0" xfId="0" applyNumberFormat="1"/>
    <xf numFmtId="0" fontId="5" fillId="10" borderId="0" xfId="0" applyFont="1" applyFill="1"/>
    <xf numFmtId="164" fontId="0" fillId="10" borderId="0" xfId="0" applyNumberFormat="1" applyFill="1"/>
    <xf numFmtId="4" fontId="5" fillId="0" borderId="8" xfId="0" applyNumberFormat="1" applyFont="1" applyBorder="1"/>
    <xf numFmtId="4" fontId="5" fillId="0" borderId="12" xfId="0" applyNumberFormat="1" applyFont="1" applyBorder="1"/>
    <xf numFmtId="0" fontId="5" fillId="0" borderId="12" xfId="0" applyFont="1" applyBorder="1"/>
    <xf numFmtId="0" fontId="5" fillId="0" borderId="9" xfId="0" applyFont="1" applyBorder="1"/>
    <xf numFmtId="4" fontId="5" fillId="0" borderId="10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right"/>
    </xf>
    <xf numFmtId="4" fontId="5" fillId="0" borderId="11" xfId="0" applyNumberFormat="1" applyFont="1" applyBorder="1" applyAlignment="1">
      <alignment horizontal="right"/>
    </xf>
    <xf numFmtId="164" fontId="0" fillId="0" borderId="10" xfId="0" applyNumberFormat="1" applyBorder="1"/>
    <xf numFmtId="164" fontId="0" fillId="0" borderId="11" xfId="0" applyNumberFormat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4" fontId="0" fillId="10" borderId="13" xfId="0" applyNumberFormat="1" applyFill="1" applyBorder="1"/>
    <xf numFmtId="164" fontId="0" fillId="10" borderId="14" xfId="0" applyNumberFormat="1" applyFill="1" applyBorder="1"/>
    <xf numFmtId="164" fontId="0" fillId="10" borderId="15" xfId="0" applyNumberFormat="1" applyFill="1" applyBorder="1"/>
    <xf numFmtId="0" fontId="5" fillId="0" borderId="8" xfId="0" applyFont="1" applyBorder="1"/>
    <xf numFmtId="4" fontId="7" fillId="0" borderId="10" xfId="0" applyNumberFormat="1" applyFont="1" applyBorder="1" applyAlignment="1">
      <alignment horizontal="right"/>
    </xf>
    <xf numFmtId="4" fontId="7" fillId="0" borderId="0" xfId="0" applyNumberFormat="1" applyFont="1" applyAlignment="1">
      <alignment horizontal="right"/>
    </xf>
    <xf numFmtId="4" fontId="7" fillId="0" borderId="11" xfId="0" applyNumberFormat="1" applyFont="1" applyBorder="1" applyAlignment="1">
      <alignment horizontal="right"/>
    </xf>
    <xf numFmtId="4" fontId="0" fillId="0" borderId="10" xfId="0" applyNumberFormat="1" applyBorder="1"/>
    <xf numFmtId="4" fontId="0" fillId="0" borderId="11" xfId="0" applyNumberFormat="1" applyBorder="1"/>
    <xf numFmtId="164" fontId="0" fillId="2" borderId="10" xfId="1" applyNumberFormat="1" applyFont="1" applyFill="1" applyBorder="1"/>
    <xf numFmtId="164" fontId="0" fillId="2" borderId="0" xfId="1" applyNumberFormat="1" applyFont="1" applyFill="1" applyBorder="1"/>
    <xf numFmtId="164" fontId="0" fillId="2" borderId="11" xfId="1" applyNumberFormat="1" applyFont="1" applyFill="1" applyBorder="1"/>
    <xf numFmtId="1" fontId="0" fillId="10" borderId="2" xfId="0" applyNumberFormat="1" applyFill="1" applyBorder="1"/>
    <xf numFmtId="44" fontId="0" fillId="10" borderId="7" xfId="0" applyNumberFormat="1" applyFill="1" applyBorder="1"/>
    <xf numFmtId="44" fontId="0" fillId="10" borderId="3" xfId="0" applyNumberFormat="1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166" fontId="0" fillId="0" borderId="14" xfId="2" applyNumberFormat="1" applyFont="1" applyBorder="1"/>
    <xf numFmtId="0" fontId="1" fillId="0" borderId="16" xfId="0" applyFont="1" applyBorder="1"/>
    <xf numFmtId="0" fontId="0" fillId="11" borderId="17" xfId="0" applyFill="1" applyBorder="1"/>
    <xf numFmtId="0" fontId="0" fillId="13" borderId="18" xfId="0" applyFill="1" applyBorder="1"/>
    <xf numFmtId="0" fontId="0" fillId="11" borderId="19" xfId="0" applyFill="1" applyBorder="1"/>
    <xf numFmtId="0" fontId="0" fillId="0" borderId="7" xfId="0" applyBorder="1"/>
    <xf numFmtId="16" fontId="5" fillId="0" borderId="3" xfId="0" applyNumberFormat="1" applyFont="1" applyBorder="1"/>
    <xf numFmtId="0" fontId="0" fillId="0" borderId="3" xfId="0" applyBorder="1"/>
    <xf numFmtId="0" fontId="5" fillId="0" borderId="4" xfId="0" applyFont="1" applyBorder="1"/>
    <xf numFmtId="0" fontId="0" fillId="0" borderId="2" xfId="0" applyBorder="1"/>
    <xf numFmtId="168" fontId="0" fillId="0" borderId="3" xfId="0" applyNumberFormat="1" applyBorder="1"/>
    <xf numFmtId="168" fontId="0" fillId="0" borderId="9" xfId="0" applyNumberFormat="1" applyBorder="1"/>
    <xf numFmtId="168" fontId="0" fillId="0" borderId="15" xfId="0" applyNumberFormat="1" applyBorder="1"/>
    <xf numFmtId="168" fontId="0" fillId="0" borderId="1" xfId="0" applyNumberFormat="1" applyBorder="1"/>
    <xf numFmtId="168" fontId="0" fillId="0" borderId="4" xfId="0" applyNumberFormat="1" applyBorder="1"/>
    <xf numFmtId="168" fontId="0" fillId="0" borderId="6" xfId="0" applyNumberFormat="1" applyBorder="1"/>
    <xf numFmtId="16" fontId="5" fillId="0" borderId="1" xfId="0" applyNumberFormat="1" applyFont="1" applyBorder="1"/>
    <xf numFmtId="168" fontId="0" fillId="2" borderId="4" xfId="0" applyNumberFormat="1" applyFill="1" applyBorder="1"/>
    <xf numFmtId="16" fontId="0" fillId="0" borderId="0" xfId="0" applyNumberFormat="1"/>
    <xf numFmtId="16" fontId="0" fillId="0" borderId="4" xfId="0" applyNumberFormat="1" applyBorder="1"/>
    <xf numFmtId="16" fontId="0" fillId="0" borderId="6" xfId="0" applyNumberFormat="1" applyBorder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5"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E36D"/>
        </left>
        <right style="thin">
          <color rgb="FF00E36D"/>
        </right>
        <top style="thin">
          <color rgb="FF00E36D"/>
        </top>
        <bottom style="thin">
          <color rgb="FF00E36D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E3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42E4-A649-1C48-A54A-AADF6305C48A}">
  <dimension ref="A1:I45"/>
  <sheetViews>
    <sheetView tabSelected="1" workbookViewId="0">
      <selection activeCell="M28" sqref="M28"/>
    </sheetView>
  </sheetViews>
  <sheetFormatPr baseColWidth="10" defaultRowHeight="16" x14ac:dyDescent="0.2"/>
  <cols>
    <col min="1" max="1" width="14.83203125" bestFit="1" customWidth="1"/>
    <col min="3" max="4" width="12.6640625" bestFit="1" customWidth="1"/>
  </cols>
  <sheetData>
    <row r="1" spans="1:7" x14ac:dyDescent="0.2">
      <c r="A1" s="44" t="s">
        <v>198</v>
      </c>
      <c r="B1" s="168"/>
      <c r="C1" s="44" t="s">
        <v>199</v>
      </c>
      <c r="D1" s="179">
        <v>45318</v>
      </c>
      <c r="E1" s="179">
        <v>45325</v>
      </c>
      <c r="F1" s="179">
        <v>45332</v>
      </c>
      <c r="G1" s="169">
        <v>45339</v>
      </c>
    </row>
    <row r="2" spans="1:7" x14ac:dyDescent="0.2">
      <c r="A2" s="44" t="s">
        <v>190</v>
      </c>
      <c r="B2" s="129" t="s">
        <v>192</v>
      </c>
      <c r="C2" s="176">
        <v>530</v>
      </c>
      <c r="D2" s="176">
        <f>530</f>
        <v>530</v>
      </c>
      <c r="E2" s="176">
        <f>D8</f>
        <v>478</v>
      </c>
      <c r="F2" s="176"/>
      <c r="G2" s="173"/>
    </row>
    <row r="3" spans="1:7" x14ac:dyDescent="0.2">
      <c r="A3" s="171" t="s">
        <v>191</v>
      </c>
      <c r="B3" s="148" t="s">
        <v>195</v>
      </c>
      <c r="C3" s="177">
        <v>-262</v>
      </c>
      <c r="D3" s="177">
        <v>-262</v>
      </c>
      <c r="E3" s="177"/>
      <c r="F3" s="177"/>
      <c r="G3" s="174"/>
    </row>
    <row r="4" spans="1:7" x14ac:dyDescent="0.2">
      <c r="A4" s="125"/>
      <c r="B4" s="121" t="s">
        <v>197</v>
      </c>
      <c r="C4" s="178">
        <v>0</v>
      </c>
      <c r="D4" s="178">
        <v>0</v>
      </c>
      <c r="E4" s="178"/>
      <c r="F4" s="178"/>
      <c r="G4" s="175"/>
    </row>
    <row r="5" spans="1:7" x14ac:dyDescent="0.2">
      <c r="A5" s="127"/>
      <c r="B5" s="121" t="s">
        <v>200</v>
      </c>
      <c r="C5" s="178">
        <v>0</v>
      </c>
      <c r="D5" s="178">
        <v>0</v>
      </c>
      <c r="E5" s="178"/>
      <c r="F5" s="178"/>
      <c r="G5" s="175"/>
    </row>
    <row r="6" spans="1:7" x14ac:dyDescent="0.2">
      <c r="A6" s="171" t="s">
        <v>196</v>
      </c>
      <c r="B6" s="148" t="s">
        <v>193</v>
      </c>
      <c r="C6" s="177">
        <v>0</v>
      </c>
      <c r="D6" s="180">
        <f>15*20*0.7</f>
        <v>210</v>
      </c>
      <c r="E6" s="177"/>
      <c r="F6" s="180"/>
      <c r="G6" s="174"/>
    </row>
    <row r="7" spans="1:7" x14ac:dyDescent="0.2">
      <c r="A7" s="127"/>
      <c r="B7" s="121" t="s">
        <v>194</v>
      </c>
      <c r="C7" s="178">
        <v>0</v>
      </c>
      <c r="D7" s="178">
        <v>0</v>
      </c>
      <c r="E7" s="178"/>
      <c r="F7" s="178"/>
      <c r="G7" s="175"/>
    </row>
    <row r="8" spans="1:7" x14ac:dyDescent="0.2">
      <c r="A8" s="127" t="s">
        <v>44</v>
      </c>
      <c r="B8" s="172"/>
      <c r="C8" s="176">
        <f>SUM(C2:C7)</f>
        <v>268</v>
      </c>
      <c r="D8" s="176">
        <f>SUM(D2:D7)</f>
        <v>478</v>
      </c>
      <c r="E8" s="24"/>
      <c r="F8" s="24"/>
      <c r="G8" s="170"/>
    </row>
    <row r="10" spans="1:7" x14ac:dyDescent="0.2">
      <c r="A10" t="s">
        <v>196</v>
      </c>
      <c r="B10" s="182">
        <v>45313</v>
      </c>
      <c r="C10">
        <f>18.5*20*0.7</f>
        <v>259</v>
      </c>
      <c r="D10">
        <v>0</v>
      </c>
    </row>
    <row r="11" spans="1:7" x14ac:dyDescent="0.2">
      <c r="B11" s="183">
        <v>45320</v>
      </c>
      <c r="C11">
        <f t="shared" ref="C11:C32" si="0">18.5*20*0.7</f>
        <v>259</v>
      </c>
      <c r="D11">
        <f>-(250+(6.19*2+4.5)*2)</f>
        <v>-283.76</v>
      </c>
    </row>
    <row r="12" spans="1:7" x14ac:dyDescent="0.2">
      <c r="B12" s="182">
        <v>45327</v>
      </c>
      <c r="C12">
        <f t="shared" si="0"/>
        <v>259</v>
      </c>
      <c r="D12">
        <v>0</v>
      </c>
    </row>
    <row r="13" spans="1:7" x14ac:dyDescent="0.2">
      <c r="B13" s="183">
        <v>45334</v>
      </c>
      <c r="C13">
        <f t="shared" si="0"/>
        <v>259</v>
      </c>
      <c r="D13">
        <v>0</v>
      </c>
    </row>
    <row r="14" spans="1:7" x14ac:dyDescent="0.2">
      <c r="B14" s="182">
        <v>45341</v>
      </c>
      <c r="C14">
        <f t="shared" si="0"/>
        <v>259</v>
      </c>
      <c r="D14">
        <v>0</v>
      </c>
    </row>
    <row r="15" spans="1:7" x14ac:dyDescent="0.2">
      <c r="B15" s="183">
        <v>45348</v>
      </c>
      <c r="C15">
        <f t="shared" si="0"/>
        <v>259</v>
      </c>
      <c r="D15">
        <f>-(250+(6.19*2+4.5)*4)</f>
        <v>-317.52</v>
      </c>
    </row>
    <row r="16" spans="1:7" x14ac:dyDescent="0.2">
      <c r="B16" s="182">
        <v>45355</v>
      </c>
      <c r="C16">
        <f t="shared" si="0"/>
        <v>259</v>
      </c>
      <c r="D16">
        <v>0</v>
      </c>
    </row>
    <row r="17" spans="2:9" x14ac:dyDescent="0.2">
      <c r="B17" s="183">
        <v>45362</v>
      </c>
      <c r="C17">
        <f t="shared" si="0"/>
        <v>259</v>
      </c>
      <c r="D17">
        <v>0</v>
      </c>
    </row>
    <row r="18" spans="2:9" x14ac:dyDescent="0.2">
      <c r="B18" s="182">
        <v>45369</v>
      </c>
      <c r="C18">
        <f t="shared" si="0"/>
        <v>259</v>
      </c>
      <c r="D18">
        <v>0</v>
      </c>
    </row>
    <row r="19" spans="2:9" x14ac:dyDescent="0.2">
      <c r="B19" s="183">
        <v>45376</v>
      </c>
      <c r="C19">
        <f t="shared" si="0"/>
        <v>259</v>
      </c>
      <c r="D19" s="2">
        <f>-(250+(6.19*2+4.5)*4+0.025*(SUM(C10:C19)+SUM(D10:D18)-250))</f>
        <v>-360.988</v>
      </c>
      <c r="F19" s="2"/>
    </row>
    <row r="20" spans="2:9" x14ac:dyDescent="0.2">
      <c r="B20" s="182">
        <v>45383</v>
      </c>
      <c r="C20">
        <f t="shared" si="0"/>
        <v>259</v>
      </c>
      <c r="D20">
        <v>0</v>
      </c>
    </row>
    <row r="21" spans="2:9" x14ac:dyDescent="0.2">
      <c r="B21" s="183">
        <v>45390</v>
      </c>
      <c r="C21">
        <f t="shared" si="0"/>
        <v>259</v>
      </c>
      <c r="D21">
        <v>0</v>
      </c>
    </row>
    <row r="22" spans="2:9" x14ac:dyDescent="0.2">
      <c r="B22" s="182">
        <v>45397</v>
      </c>
      <c r="C22">
        <f t="shared" si="0"/>
        <v>259</v>
      </c>
      <c r="D22">
        <v>0</v>
      </c>
    </row>
    <row r="23" spans="2:9" x14ac:dyDescent="0.2">
      <c r="B23" s="183">
        <v>45404</v>
      </c>
      <c r="C23">
        <f t="shared" si="0"/>
        <v>259</v>
      </c>
      <c r="D23">
        <f t="shared" ref="D23:F32" si="1">-(250+(6.19*2+4.5)*4)</f>
        <v>-317.52</v>
      </c>
    </row>
    <row r="24" spans="2:9" x14ac:dyDescent="0.2">
      <c r="B24" s="182">
        <v>45411</v>
      </c>
      <c r="C24">
        <f t="shared" si="0"/>
        <v>259</v>
      </c>
      <c r="D24">
        <v>0</v>
      </c>
    </row>
    <row r="25" spans="2:9" x14ac:dyDescent="0.2">
      <c r="B25" s="183">
        <v>45418</v>
      </c>
      <c r="C25">
        <f t="shared" si="0"/>
        <v>259</v>
      </c>
      <c r="D25">
        <v>0</v>
      </c>
    </row>
    <row r="26" spans="2:9" x14ac:dyDescent="0.2">
      <c r="B26" s="182">
        <v>45425</v>
      </c>
      <c r="C26">
        <f t="shared" si="0"/>
        <v>259</v>
      </c>
      <c r="D26">
        <v>0</v>
      </c>
    </row>
    <row r="27" spans="2:9" x14ac:dyDescent="0.2">
      <c r="B27" s="183">
        <v>45432</v>
      </c>
      <c r="C27">
        <f t="shared" si="0"/>
        <v>259</v>
      </c>
      <c r="D27">
        <f t="shared" ref="D27:F32" si="2">-(250+(6.19*2+4.5)*4)</f>
        <v>-317.52</v>
      </c>
    </row>
    <row r="28" spans="2:9" x14ac:dyDescent="0.2">
      <c r="B28" s="182">
        <v>45439</v>
      </c>
      <c r="C28">
        <f t="shared" si="0"/>
        <v>259</v>
      </c>
      <c r="D28">
        <v>0</v>
      </c>
    </row>
    <row r="29" spans="2:9" x14ac:dyDescent="0.2">
      <c r="B29" s="183">
        <v>45446</v>
      </c>
      <c r="C29">
        <f t="shared" si="0"/>
        <v>259</v>
      </c>
      <c r="D29">
        <v>0</v>
      </c>
    </row>
    <row r="30" spans="2:9" x14ac:dyDescent="0.2">
      <c r="B30" s="182">
        <v>45453</v>
      </c>
      <c r="C30">
        <f t="shared" si="0"/>
        <v>259</v>
      </c>
      <c r="D30">
        <v>0</v>
      </c>
    </row>
    <row r="31" spans="2:9" x14ac:dyDescent="0.2">
      <c r="B31" s="183">
        <v>45460</v>
      </c>
      <c r="C31">
        <f t="shared" si="0"/>
        <v>259</v>
      </c>
      <c r="D31">
        <f t="shared" ref="D31:F32" si="3">-(250+(6.19*2+4.5)*4)</f>
        <v>-317.52</v>
      </c>
    </row>
    <row r="32" spans="2:9" x14ac:dyDescent="0.2">
      <c r="B32" s="182">
        <v>45467</v>
      </c>
      <c r="C32">
        <f t="shared" si="0"/>
        <v>259</v>
      </c>
      <c r="D32">
        <f>-(6.19*2+4.5)</f>
        <v>-16.880000000000003</v>
      </c>
      <c r="F32" t="s">
        <v>201</v>
      </c>
      <c r="G32" t="s">
        <v>202</v>
      </c>
      <c r="H32" t="s">
        <v>203</v>
      </c>
      <c r="I32" t="s">
        <v>204</v>
      </c>
    </row>
    <row r="33" spans="2:9" x14ac:dyDescent="0.2">
      <c r="B33" s="181"/>
      <c r="C33">
        <f>SUM(C10:C32)</f>
        <v>5957</v>
      </c>
      <c r="D33">
        <f>SUM(D10:D32)</f>
        <v>-1931.7080000000001</v>
      </c>
      <c r="E33" s="6">
        <f>SUM(C33:D33)</f>
        <v>4025.2919999999999</v>
      </c>
      <c r="F33" s="6">
        <f>$E33/(0.2)</f>
        <v>20126.46</v>
      </c>
      <c r="G33" s="6">
        <f>$E33/(0.3)</f>
        <v>13417.64</v>
      </c>
      <c r="H33" s="6">
        <f>$E33/(0.4)</f>
        <v>10063.23</v>
      </c>
      <c r="I33" s="6">
        <f>$E33/(0.5)</f>
        <v>8050.5839999999998</v>
      </c>
    </row>
    <row r="34" spans="2:9" x14ac:dyDescent="0.2">
      <c r="B34" s="181">
        <v>45474</v>
      </c>
      <c r="C34" s="2">
        <f>25*24.88*0.7</f>
        <v>435.4</v>
      </c>
      <c r="D34">
        <v>-250</v>
      </c>
      <c r="E34" s="6"/>
      <c r="F34" s="6">
        <f>PMT(5/1200,60,-(F33*1.08875+750-$E33+1000))</f>
        <v>370.58179985294845</v>
      </c>
      <c r="G34" s="6">
        <f>PMT(0,48,-(G33*1.08875+750-$E33+1000))</f>
        <v>256.94090729166669</v>
      </c>
      <c r="H34" s="6">
        <f t="shared" ref="H34:I34" si="4">PMT(0,48,-(H33*1.08875+750-$E33+1000))</f>
        <v>180.85520130208337</v>
      </c>
      <c r="I34" s="6">
        <f t="shared" si="4"/>
        <v>135.20377770833338</v>
      </c>
    </row>
    <row r="35" spans="2:9" x14ac:dyDescent="0.2">
      <c r="B35" s="182">
        <v>45481</v>
      </c>
      <c r="C35" s="2">
        <f t="shared" ref="C35:C42" si="5">25*24.88*0.7</f>
        <v>435.4</v>
      </c>
      <c r="D35">
        <v>0</v>
      </c>
    </row>
    <row r="36" spans="2:9" x14ac:dyDescent="0.2">
      <c r="B36" s="181">
        <v>45488</v>
      </c>
      <c r="C36" s="2">
        <f t="shared" si="5"/>
        <v>435.4</v>
      </c>
      <c r="D36">
        <v>0</v>
      </c>
    </row>
    <row r="37" spans="2:9" x14ac:dyDescent="0.2">
      <c r="B37" s="182">
        <v>45495</v>
      </c>
      <c r="C37" s="2">
        <f t="shared" si="5"/>
        <v>435.4</v>
      </c>
      <c r="D37">
        <v>0</v>
      </c>
    </row>
    <row r="38" spans="2:9" x14ac:dyDescent="0.2">
      <c r="B38" s="181">
        <v>45502</v>
      </c>
      <c r="C38" s="2">
        <f t="shared" si="5"/>
        <v>435.4</v>
      </c>
      <c r="D38">
        <v>-250</v>
      </c>
    </row>
    <row r="39" spans="2:9" x14ac:dyDescent="0.2">
      <c r="B39" s="182">
        <v>45509</v>
      </c>
      <c r="C39" s="2">
        <f t="shared" si="5"/>
        <v>435.4</v>
      </c>
      <c r="D39">
        <v>0</v>
      </c>
    </row>
    <row r="40" spans="2:9" x14ac:dyDescent="0.2">
      <c r="B40" s="181">
        <v>45516</v>
      </c>
      <c r="C40" s="2">
        <f t="shared" si="5"/>
        <v>435.4</v>
      </c>
      <c r="D40">
        <v>0</v>
      </c>
    </row>
    <row r="41" spans="2:9" x14ac:dyDescent="0.2">
      <c r="B41" s="182">
        <v>45523</v>
      </c>
      <c r="C41" s="2">
        <f t="shared" si="5"/>
        <v>435.4</v>
      </c>
      <c r="D41">
        <v>0</v>
      </c>
    </row>
    <row r="42" spans="2:9" x14ac:dyDescent="0.2">
      <c r="B42" s="181">
        <v>45530</v>
      </c>
      <c r="C42" s="2">
        <f t="shared" si="5"/>
        <v>435.4</v>
      </c>
      <c r="D42">
        <v>-250</v>
      </c>
    </row>
    <row r="43" spans="2:9" x14ac:dyDescent="0.2">
      <c r="C43" s="2">
        <f>SUM(C34:C42)</f>
        <v>3918.6000000000004</v>
      </c>
      <c r="D43">
        <f>SUM(D34:D42)</f>
        <v>-750</v>
      </c>
      <c r="E43" s="6">
        <f>SUM(C43:D43)</f>
        <v>3168.6000000000004</v>
      </c>
      <c r="F43" t="s">
        <v>201</v>
      </c>
      <c r="G43" t="s">
        <v>202</v>
      </c>
      <c r="H43" t="s">
        <v>203</v>
      </c>
      <c r="I43" t="s">
        <v>204</v>
      </c>
    </row>
    <row r="44" spans="2:9" x14ac:dyDescent="0.2">
      <c r="E44" s="6">
        <f>SUM(E33,E43)</f>
        <v>7193.8919999999998</v>
      </c>
      <c r="F44" s="6">
        <f>($E44-1000)/(0.2)</f>
        <v>30969.46</v>
      </c>
      <c r="G44" s="6">
        <f>($E44-1000)/(0.3)</f>
        <v>20646.306666666667</v>
      </c>
      <c r="H44" s="6">
        <f>($E44-1000)/(0.4)</f>
        <v>15484.73</v>
      </c>
      <c r="I44" s="6">
        <f>($E44-1000)/(0.5)</f>
        <v>12387.784</v>
      </c>
    </row>
    <row r="45" spans="2:9" x14ac:dyDescent="0.2">
      <c r="E45" s="6"/>
      <c r="F45" s="6">
        <f>PMT(5/1200,60,-(F44*1.08875+750-$E44+1000))</f>
        <v>533.56729012372443</v>
      </c>
      <c r="G45" s="6">
        <f>PMT(0,60,-(G44*1.08875+750-$E44+1000))</f>
        <v>283.91290638888893</v>
      </c>
      <c r="H45" s="6">
        <f t="shared" ref="H45:I45" si="6">PMT(0,60,-(H44*1.08875+750-$E44+1000))</f>
        <v>190.25179645833336</v>
      </c>
      <c r="I45" s="6">
        <f t="shared" si="6"/>
        <v>134.05513050000002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21FE-3517-6746-8078-A72DF0E9CF5E}">
  <dimension ref="A1:V11"/>
  <sheetViews>
    <sheetView zoomScale="110" zoomScaleNormal="110" workbookViewId="0">
      <selection activeCell="A11" sqref="A11"/>
    </sheetView>
  </sheetViews>
  <sheetFormatPr baseColWidth="10" defaultRowHeight="16" x14ac:dyDescent="0.2"/>
  <cols>
    <col min="1" max="1" width="30.5" bestFit="1" customWidth="1"/>
    <col min="2" max="2" width="7.33203125" bestFit="1" customWidth="1"/>
    <col min="3" max="3" width="10.33203125" bestFit="1" customWidth="1"/>
    <col min="4" max="4" width="9.1640625" style="22" bestFit="1" customWidth="1"/>
    <col min="5" max="5" width="9.1640625" bestFit="1" customWidth="1"/>
    <col min="6" max="6" width="6" bestFit="1" customWidth="1"/>
    <col min="7" max="7" width="9.33203125" bestFit="1" customWidth="1"/>
    <col min="8" max="8" width="9.6640625" bestFit="1" customWidth="1"/>
    <col min="9" max="9" width="7.33203125" bestFit="1" customWidth="1"/>
    <col min="10" max="11" width="8.33203125" bestFit="1" customWidth="1"/>
    <col min="12" max="12" width="10.6640625" bestFit="1" customWidth="1"/>
    <col min="13" max="13" width="8.1640625" bestFit="1" customWidth="1"/>
    <col min="14" max="14" width="14.33203125" bestFit="1" customWidth="1"/>
    <col min="15" max="15" width="20.1640625" bestFit="1" customWidth="1"/>
    <col min="16" max="16" width="21.83203125" bestFit="1" customWidth="1"/>
    <col min="17" max="17" width="20.1640625" bestFit="1" customWidth="1"/>
    <col min="18" max="19" width="11.6640625" bestFit="1" customWidth="1"/>
    <col min="20" max="20" width="16.6640625" bestFit="1" customWidth="1"/>
    <col min="21" max="22" width="8.1640625" bestFit="1" customWidth="1"/>
  </cols>
  <sheetData>
    <row r="1" spans="1:22" x14ac:dyDescent="0.2">
      <c r="A1" s="44" t="s">
        <v>0</v>
      </c>
      <c r="B1" s="44" t="s">
        <v>1</v>
      </c>
      <c r="C1" s="44" t="s">
        <v>8</v>
      </c>
      <c r="D1" s="45" t="s">
        <v>4</v>
      </c>
      <c r="E1" s="44" t="s">
        <v>2</v>
      </c>
      <c r="F1" s="44" t="s">
        <v>3</v>
      </c>
      <c r="G1" s="44" t="s">
        <v>5</v>
      </c>
      <c r="H1" s="44" t="s">
        <v>12</v>
      </c>
      <c r="I1" s="44" t="s">
        <v>6</v>
      </c>
      <c r="J1" s="44" t="s">
        <v>16</v>
      </c>
      <c r="K1" s="44" t="s">
        <v>17</v>
      </c>
      <c r="L1" s="44" t="s">
        <v>7</v>
      </c>
      <c r="M1" s="44" t="s">
        <v>13</v>
      </c>
      <c r="N1" s="44" t="s">
        <v>130</v>
      </c>
      <c r="O1" s="44" t="s">
        <v>171</v>
      </c>
      <c r="P1" s="44" t="s">
        <v>173</v>
      </c>
      <c r="Q1" s="44" t="s">
        <v>18</v>
      </c>
      <c r="R1" s="44" t="s">
        <v>19</v>
      </c>
      <c r="S1" s="44" t="s">
        <v>20</v>
      </c>
      <c r="T1" s="44" t="s">
        <v>21</v>
      </c>
      <c r="U1" s="44" t="s">
        <v>19</v>
      </c>
      <c r="V1" s="44" t="s">
        <v>20</v>
      </c>
    </row>
    <row r="2" spans="1:22" x14ac:dyDescent="0.2">
      <c r="A2" t="s">
        <v>164</v>
      </c>
      <c r="B2">
        <v>20</v>
      </c>
      <c r="C2">
        <v>18812</v>
      </c>
      <c r="D2" s="22">
        <v>44000</v>
      </c>
      <c r="E2" t="s">
        <v>9</v>
      </c>
      <c r="F2">
        <v>382</v>
      </c>
      <c r="G2">
        <v>369</v>
      </c>
      <c r="H2">
        <v>3535</v>
      </c>
      <c r="I2">
        <v>3.8</v>
      </c>
      <c r="J2">
        <v>2.6</v>
      </c>
      <c r="K2">
        <v>2.8</v>
      </c>
      <c r="L2">
        <v>12.3</v>
      </c>
      <c r="M2" t="s">
        <v>15</v>
      </c>
      <c r="N2" s="70">
        <v>29.6</v>
      </c>
      <c r="O2">
        <v>4.5</v>
      </c>
      <c r="P2">
        <v>5</v>
      </c>
      <c r="Q2" s="22">
        <v>30010</v>
      </c>
      <c r="R2" s="22">
        <v>25109</v>
      </c>
      <c r="S2" s="22">
        <v>22504</v>
      </c>
      <c r="T2" s="117">
        <f>Q2/$D2</f>
        <v>0.68204545454545451</v>
      </c>
      <c r="U2" s="117">
        <f t="shared" ref="U2:V2" si="0">R2/$D2</f>
        <v>0.57065909090909095</v>
      </c>
      <c r="V2" s="117">
        <f t="shared" si="0"/>
        <v>0.51145454545454549</v>
      </c>
    </row>
    <row r="3" spans="1:22" x14ac:dyDescent="0.2">
      <c r="A3" s="164" t="s">
        <v>165</v>
      </c>
      <c r="B3" s="1">
        <v>20</v>
      </c>
      <c r="C3" s="1">
        <v>31636</v>
      </c>
      <c r="D3" s="23">
        <v>47000</v>
      </c>
      <c r="E3" s="1" t="s">
        <v>11</v>
      </c>
      <c r="F3" s="1">
        <v>503</v>
      </c>
      <c r="G3">
        <v>442</v>
      </c>
      <c r="H3">
        <v>4549</v>
      </c>
      <c r="I3" s="1">
        <v>3.3</v>
      </c>
      <c r="J3" s="1">
        <v>2.6</v>
      </c>
      <c r="K3" s="1">
        <v>3.1</v>
      </c>
      <c r="L3" s="1">
        <v>11.6</v>
      </c>
      <c r="M3" t="s">
        <v>14</v>
      </c>
      <c r="N3" s="15">
        <v>18</v>
      </c>
      <c r="O3">
        <v>4.5999999999999996</v>
      </c>
      <c r="P3">
        <v>4.9000000000000004</v>
      </c>
      <c r="Q3" s="22">
        <v>27335</v>
      </c>
      <c r="R3" s="22">
        <v>20182</v>
      </c>
      <c r="S3" s="22">
        <v>15145</v>
      </c>
      <c r="T3" s="117">
        <f t="shared" ref="T3:T11" si="1">Q3/$D3</f>
        <v>0.58159574468085107</v>
      </c>
      <c r="U3" s="117">
        <f t="shared" ref="U3:U10" si="2">R3/$D3</f>
        <v>0.42940425531914894</v>
      </c>
      <c r="V3" s="117">
        <f t="shared" ref="V3:V10" si="3">S3/$D3</f>
        <v>0.32223404255319149</v>
      </c>
    </row>
    <row r="4" spans="1:22" x14ac:dyDescent="0.2">
      <c r="A4" s="165" t="s">
        <v>166</v>
      </c>
      <c r="B4" t="s">
        <v>185</v>
      </c>
      <c r="C4" s="6">
        <f>AVERAGE(1385,1122,7712,6762,2984,9200)</f>
        <v>4860.833333333333</v>
      </c>
      <c r="D4" s="22">
        <f>AVERAGE(68695,72375,72777,73994,74351,66874)</f>
        <v>71511</v>
      </c>
      <c r="E4" t="s">
        <v>151</v>
      </c>
      <c r="F4">
        <v>495</v>
      </c>
      <c r="G4">
        <v>470</v>
      </c>
      <c r="H4">
        <v>3648</v>
      </c>
      <c r="I4">
        <v>2.8</v>
      </c>
      <c r="J4">
        <v>1.9</v>
      </c>
      <c r="K4">
        <v>2.2000000000000002</v>
      </c>
      <c r="L4">
        <v>11.2</v>
      </c>
      <c r="M4" t="s">
        <v>15</v>
      </c>
      <c r="N4" s="6">
        <f>16*0.2+26*0.8</f>
        <v>24</v>
      </c>
      <c r="O4">
        <v>4.8</v>
      </c>
      <c r="P4">
        <v>5</v>
      </c>
      <c r="Q4" s="22">
        <v>59561</v>
      </c>
      <c r="R4" s="22">
        <v>56686</v>
      </c>
      <c r="S4" s="22">
        <v>54017</v>
      </c>
      <c r="T4" s="117">
        <f t="shared" si="1"/>
        <v>0.83289284166072353</v>
      </c>
      <c r="U4" s="117">
        <f t="shared" si="2"/>
        <v>0.79268923662093949</v>
      </c>
      <c r="V4" s="117">
        <f t="shared" si="3"/>
        <v>0.75536630728139731</v>
      </c>
    </row>
    <row r="5" spans="1:22" x14ac:dyDescent="0.2">
      <c r="A5" s="160" t="s">
        <v>167</v>
      </c>
      <c r="B5">
        <v>16</v>
      </c>
      <c r="C5" s="69">
        <v>120656</v>
      </c>
      <c r="D5" s="22">
        <v>16588</v>
      </c>
      <c r="E5" t="s">
        <v>128</v>
      </c>
      <c r="F5">
        <v>180</v>
      </c>
      <c r="G5">
        <v>280</v>
      </c>
      <c r="H5">
        <v>3825</v>
      </c>
      <c r="I5">
        <v>7.1</v>
      </c>
      <c r="J5">
        <v>3.8</v>
      </c>
      <c r="K5">
        <v>5.2</v>
      </c>
      <c r="L5">
        <v>15.5</v>
      </c>
      <c r="M5" t="s">
        <v>14</v>
      </c>
      <c r="N5" s="70">
        <f>30*0.2+40*0.8</f>
        <v>38</v>
      </c>
      <c r="O5">
        <v>5</v>
      </c>
      <c r="P5">
        <v>5</v>
      </c>
      <c r="Q5" s="22">
        <v>12000</v>
      </c>
      <c r="R5" s="22">
        <v>9500</v>
      </c>
      <c r="S5" s="22">
        <v>7500</v>
      </c>
      <c r="T5" s="117">
        <f t="shared" si="1"/>
        <v>0.72341451651796485</v>
      </c>
      <c r="U5" s="117">
        <f t="shared" si="2"/>
        <v>0.57270315891005541</v>
      </c>
      <c r="V5" s="117">
        <f t="shared" si="3"/>
        <v>0.45213407282372797</v>
      </c>
    </row>
    <row r="6" spans="1:22" x14ac:dyDescent="0.2">
      <c r="A6" s="166" t="s">
        <v>168</v>
      </c>
      <c r="B6">
        <v>18</v>
      </c>
      <c r="C6" s="6">
        <f>AVERAGE(43287,19844)</f>
        <v>31565.5</v>
      </c>
      <c r="D6" s="22">
        <f>AVERAGE(44711,49677)</f>
        <v>47194</v>
      </c>
      <c r="E6" t="s">
        <v>129</v>
      </c>
      <c r="F6">
        <v>425</v>
      </c>
      <c r="G6">
        <v>406</v>
      </c>
      <c r="H6">
        <v>3466</v>
      </c>
      <c r="I6">
        <v>4</v>
      </c>
      <c r="L6">
        <v>12.4</v>
      </c>
      <c r="M6" t="s">
        <v>15</v>
      </c>
      <c r="N6" s="70">
        <v>23.4</v>
      </c>
      <c r="O6">
        <v>4.5999999999999996</v>
      </c>
      <c r="P6">
        <v>4.9000000000000004</v>
      </c>
      <c r="Q6" s="22">
        <v>37812</v>
      </c>
      <c r="R6" s="22">
        <v>36062</v>
      </c>
      <c r="S6" s="22">
        <v>33000</v>
      </c>
      <c r="T6" s="117">
        <f t="shared" si="1"/>
        <v>0.80120354282324024</v>
      </c>
      <c r="U6" s="117">
        <f t="shared" si="2"/>
        <v>0.76412255795228212</v>
      </c>
      <c r="V6" s="117">
        <f t="shared" si="3"/>
        <v>0.69924142899521124</v>
      </c>
    </row>
    <row r="7" spans="1:22" x14ac:dyDescent="0.2">
      <c r="A7" s="167" t="s">
        <v>169</v>
      </c>
      <c r="B7" t="s">
        <v>170</v>
      </c>
      <c r="C7" s="6">
        <f>AVERAGE(30824,29281)</f>
        <v>30052.5</v>
      </c>
      <c r="D7" s="22">
        <f>AVERAGE(79995,83897)</f>
        <v>81946</v>
      </c>
      <c r="E7" t="s">
        <v>174</v>
      </c>
      <c r="F7">
        <v>545</v>
      </c>
      <c r="G7">
        <v>463</v>
      </c>
      <c r="H7">
        <v>3829</v>
      </c>
      <c r="I7">
        <v>2.9</v>
      </c>
      <c r="L7">
        <v>11.1</v>
      </c>
      <c r="M7" t="s">
        <v>14</v>
      </c>
      <c r="N7">
        <f>16*0.2+23*0.8</f>
        <v>21.6</v>
      </c>
      <c r="O7" s="70">
        <f>AVERAGE(5,4.7)</f>
        <v>4.8499999999999996</v>
      </c>
      <c r="P7">
        <f>AVERAGE(5,5)</f>
        <v>5</v>
      </c>
      <c r="Q7" s="131">
        <v>78076</v>
      </c>
      <c r="R7" s="22">
        <v>73721</v>
      </c>
      <c r="S7" s="22">
        <v>69680</v>
      </c>
      <c r="T7" s="117">
        <f t="shared" si="1"/>
        <v>0.95277377785370854</v>
      </c>
      <c r="U7" s="117">
        <f t="shared" si="2"/>
        <v>0.89962902399140898</v>
      </c>
      <c r="V7" s="117">
        <f t="shared" si="3"/>
        <v>0.85031606179679298</v>
      </c>
    </row>
    <row r="8" spans="1:22" x14ac:dyDescent="0.2">
      <c r="A8" s="161" t="s">
        <v>172</v>
      </c>
      <c r="B8">
        <v>16</v>
      </c>
      <c r="C8">
        <v>33496</v>
      </c>
      <c r="D8" s="22">
        <v>36999</v>
      </c>
      <c r="E8" t="s">
        <v>129</v>
      </c>
      <c r="F8">
        <v>425</v>
      </c>
      <c r="G8">
        <v>406</v>
      </c>
      <c r="H8">
        <v>3466</v>
      </c>
      <c r="I8">
        <v>4</v>
      </c>
      <c r="L8">
        <v>12.4</v>
      </c>
      <c r="M8" t="s">
        <v>15</v>
      </c>
      <c r="N8" s="70">
        <v>23.4</v>
      </c>
      <c r="O8">
        <v>4.7</v>
      </c>
      <c r="P8">
        <v>5</v>
      </c>
      <c r="Q8" s="131">
        <f>(Q6/$D6)*$D8</f>
        <v>29643.729880917064</v>
      </c>
      <c r="R8" s="131">
        <f>(R6/$D6)*$D8</f>
        <v>28271.770521676488</v>
      </c>
      <c r="S8" s="22">
        <v>25000</v>
      </c>
      <c r="T8" s="117">
        <f t="shared" si="1"/>
        <v>0.80120354282324024</v>
      </c>
      <c r="U8" s="117">
        <f t="shared" si="2"/>
        <v>0.76412255795228212</v>
      </c>
      <c r="V8" s="117">
        <f t="shared" si="3"/>
        <v>0.67569393767399122</v>
      </c>
    </row>
    <row r="9" spans="1:22" x14ac:dyDescent="0.2">
      <c r="A9" s="162" t="s">
        <v>182</v>
      </c>
      <c r="B9">
        <v>20</v>
      </c>
      <c r="C9" s="6">
        <f>AVERAGE(25411,34922)</f>
        <v>30166.5</v>
      </c>
      <c r="D9" s="22">
        <f>AVERAGE(55987,50000)</f>
        <v>52993.5</v>
      </c>
      <c r="E9" t="s">
        <v>183</v>
      </c>
      <c r="F9">
        <v>650</v>
      </c>
      <c r="G9">
        <v>650</v>
      </c>
      <c r="H9">
        <v>3886</v>
      </c>
      <c r="I9">
        <v>3.4</v>
      </c>
      <c r="J9">
        <v>1.8</v>
      </c>
      <c r="K9">
        <v>2.1</v>
      </c>
      <c r="L9">
        <v>11.5</v>
      </c>
      <c r="M9" t="s">
        <v>15</v>
      </c>
      <c r="N9">
        <f>13*0.2+21*0.8</f>
        <v>19.400000000000002</v>
      </c>
      <c r="O9">
        <v>4.9000000000000004</v>
      </c>
      <c r="P9">
        <v>4.9000000000000004</v>
      </c>
      <c r="Q9" s="131">
        <v>44414</v>
      </c>
      <c r="R9" s="131">
        <v>34100</v>
      </c>
      <c r="S9" s="22">
        <v>30814</v>
      </c>
      <c r="T9" s="117">
        <f t="shared" si="1"/>
        <v>0.83810278619075929</v>
      </c>
      <c r="U9" s="117">
        <f t="shared" si="2"/>
        <v>0.64347514317793697</v>
      </c>
      <c r="V9" s="117">
        <f t="shared" si="3"/>
        <v>0.58146753847169941</v>
      </c>
    </row>
    <row r="10" spans="1:22" x14ac:dyDescent="0.2">
      <c r="A10" t="s">
        <v>184</v>
      </c>
      <c r="B10">
        <v>20</v>
      </c>
      <c r="C10">
        <v>16357</v>
      </c>
      <c r="D10" s="22">
        <v>38886</v>
      </c>
      <c r="E10" t="s">
        <v>9</v>
      </c>
      <c r="F10">
        <v>382</v>
      </c>
      <c r="G10">
        <v>369</v>
      </c>
      <c r="H10">
        <v>4378</v>
      </c>
      <c r="I10">
        <v>4.0999999999999996</v>
      </c>
      <c r="J10">
        <v>2.5</v>
      </c>
      <c r="K10">
        <v>3.1</v>
      </c>
      <c r="L10">
        <v>12.8</v>
      </c>
      <c r="M10" t="s">
        <v>14</v>
      </c>
      <c r="N10">
        <f>21*0.2+28*0.8</f>
        <v>26.6</v>
      </c>
      <c r="O10">
        <v>4.9000000000000004</v>
      </c>
      <c r="P10">
        <v>4.9000000000000004</v>
      </c>
      <c r="Q10" s="131">
        <f>($D10/$D3)*Q3</f>
        <v>22615.932127659573</v>
      </c>
      <c r="R10" s="6">
        <f t="shared" ref="R10:S10" si="4">($D10/$D3)*R3</f>
        <v>16697.813872340426</v>
      </c>
      <c r="S10" s="6">
        <f t="shared" si="4"/>
        <v>12530.392978723405</v>
      </c>
      <c r="T10" s="117">
        <f t="shared" si="1"/>
        <v>0.58159574468085107</v>
      </c>
      <c r="U10" s="117">
        <f t="shared" si="2"/>
        <v>0.42940425531914894</v>
      </c>
      <c r="V10" s="117">
        <f t="shared" si="3"/>
        <v>0.32223404255319149</v>
      </c>
    </row>
    <row r="11" spans="1:22" x14ac:dyDescent="0.2">
      <c r="A11" t="s">
        <v>186</v>
      </c>
      <c r="B11">
        <v>17</v>
      </c>
      <c r="C11">
        <v>28593</v>
      </c>
      <c r="D11" s="22">
        <v>99990</v>
      </c>
      <c r="E11" t="s">
        <v>174</v>
      </c>
      <c r="F11">
        <v>545</v>
      </c>
      <c r="G11">
        <v>463</v>
      </c>
      <c r="H11">
        <v>3829</v>
      </c>
      <c r="I11">
        <v>2.9</v>
      </c>
      <c r="L11">
        <v>11.1</v>
      </c>
      <c r="M11" t="s">
        <v>14</v>
      </c>
      <c r="N11">
        <v>21.6</v>
      </c>
      <c r="O11">
        <v>4.5999999999999996</v>
      </c>
      <c r="P11">
        <v>5</v>
      </c>
      <c r="Q11" s="131">
        <f>(Q7/$D7)*$D11</f>
        <v>95267.850047592321</v>
      </c>
      <c r="R11" s="131">
        <f t="shared" ref="R11:S11" si="5">(R7/$D7)*$D11</f>
        <v>89953.906108900977</v>
      </c>
      <c r="S11" s="131">
        <f t="shared" si="5"/>
        <v>85023.103019061324</v>
      </c>
      <c r="T11" s="117">
        <f t="shared" si="1"/>
        <v>0.95277377785370854</v>
      </c>
      <c r="U11" s="117">
        <f t="shared" ref="U11" si="6">R11/$D11</f>
        <v>0.89962902399140887</v>
      </c>
      <c r="V11" s="117">
        <f t="shared" ref="V11" si="7">S11/$D11</f>
        <v>0.85031606179679287</v>
      </c>
    </row>
  </sheetData>
  <autoFilter ref="A1:V6" xr:uid="{ACA721FE-3517-6746-8078-A72DF0E9CF5E}"/>
  <phoneticPr fontId="6" type="noConversion"/>
  <conditionalFormatting sqref="C1:C4 C6:C1048576">
    <cfRule type="dataBar" priority="10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{8F7A6E18-8961-D145-9EBC-2FDDBA4D164A}</x14:id>
        </ext>
      </extLst>
    </cfRule>
  </conditionalFormatting>
  <conditionalFormatting sqref="C2:C1048576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{9BD945A5-2697-9840-9AE5-248CC237AA64}</x14:id>
        </ext>
      </extLst>
    </cfRule>
  </conditionalFormatting>
  <conditionalFormatting sqref="D1:D1048576">
    <cfRule type="dataBar" priority="10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{DA5ABB39-3503-4240-9A55-837CA003F7EB}</x14:id>
        </ext>
      </extLst>
    </cfRule>
  </conditionalFormatting>
  <conditionalFormatting sqref="D2:D4">
    <cfRule type="dataBar" priority="9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{B633D15A-A2C9-284C-A203-FCEB4F338BC7}</x14:id>
        </ext>
      </extLst>
    </cfRule>
  </conditionalFormatting>
  <conditionalFormatting sqref="D2:D1048576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{35CD2C3C-45E0-1941-872C-EAF4813AA06C}</x14:id>
        </ext>
      </extLst>
    </cfRule>
  </conditionalFormatting>
  <conditionalFormatting sqref="F1:F1048576 M5:M11">
    <cfRule type="dataBar" priority="12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{511BC45B-8AB1-4644-A76B-302F95E7F088}</x14:id>
        </ext>
      </extLst>
    </cfRule>
  </conditionalFormatting>
  <conditionalFormatting sqref="F1:F1048576">
    <cfRule type="dataBar" priority="12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{46F47FC1-AD5B-9443-8ADB-F2269ED29D52}</x14:id>
        </ext>
      </extLst>
    </cfRule>
  </conditionalFormatting>
  <conditionalFormatting sqref="F2:F6">
    <cfRule type="dataBar" priority="130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{5025A249-9721-814C-91C0-46CCB5AF3F29}</x14:id>
        </ext>
      </extLst>
    </cfRule>
  </conditionalFormatting>
  <conditionalFormatting sqref="F2:F8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{D8FA5EAB-6A74-7F45-A779-893636F61275}</x14:id>
        </ext>
      </extLst>
    </cfRule>
  </conditionalFormatting>
  <conditionalFormatting sqref="F2:F9"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{9C4F8105-9F16-9942-BA30-75E20F65589A}</x14:id>
        </ext>
      </extLst>
    </cfRule>
  </conditionalFormatting>
  <conditionalFormatting sqref="F2:F1048576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{A1DB8A5D-B448-6946-879E-F4E0944F33B0}</x14:id>
        </ext>
      </extLst>
    </cfRule>
  </conditionalFormatting>
  <conditionalFormatting sqref="F8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{FBFE45AA-9B08-6041-BDE9-F9187E271CDB}</x14:id>
        </ext>
      </extLst>
    </cfRule>
  </conditionalFormatting>
  <conditionalFormatting sqref="G1:G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{A6C9E20C-D52E-7849-9DDA-7CD785F300EE}</x14:id>
        </ext>
      </extLst>
    </cfRule>
    <cfRule type="dataBar" priority="1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{7FF29856-A890-DD48-9C48-D65D0C074AE1}</x14:id>
        </ext>
      </extLst>
    </cfRule>
  </conditionalFormatting>
  <conditionalFormatting sqref="G2:G6">
    <cfRule type="dataBar" priority="130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{245CD11B-126B-2644-ADE1-53022B3A58B6}</x14:id>
        </ext>
      </extLst>
    </cfRule>
  </conditionalFormatting>
  <conditionalFormatting sqref="G2:G8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{F42533BC-C6B5-E94F-A19F-FAB10453860C}</x14:id>
        </ext>
      </extLst>
    </cfRule>
  </conditionalFormatting>
  <conditionalFormatting sqref="G2:G1048576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{D0384FB4-DEC5-F14F-B090-F46202014FA9}</x14:id>
        </ext>
      </extLst>
    </cfRule>
  </conditionalFormatting>
  <conditionalFormatting sqref="G8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{C70E54F3-97D1-484E-8819-7A4644B7CB46}</x14:id>
        </ext>
      </extLst>
    </cfRule>
  </conditionalFormatting>
  <conditionalFormatting sqref="H1:H1048576">
    <cfRule type="dataBar" priority="10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{A438D15E-2A4E-B041-AAD0-D6C52F4F2475}</x14:id>
        </ext>
      </extLst>
    </cfRule>
    <cfRule type="dataBar" priority="1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{E25DA159-8F36-824E-9EA0-2E215B35A48C}</x14:id>
        </ext>
      </extLst>
    </cfRule>
  </conditionalFormatting>
  <conditionalFormatting sqref="H2:H6">
    <cfRule type="dataBar" priority="13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{8A106DA0-52EC-A44D-BB97-180995C1950B}</x14:id>
        </ext>
      </extLst>
    </cfRule>
  </conditionalFormatting>
  <conditionalFormatting sqref="H2:H8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{405221AB-B3FC-2C4B-B5E9-5A48934ADAA9}</x14:id>
        </ext>
      </extLst>
    </cfRule>
  </conditionalFormatting>
  <conditionalFormatting sqref="H2:H1048576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{739A2316-BE36-8D4D-B160-E39DFEFC4A7D}</x14:id>
        </ext>
      </extLst>
    </cfRule>
  </conditionalFormatting>
  <conditionalFormatting sqref="H8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{11D4C122-24FD-4F47-A2A5-2017B5C0AEC2}</x14:id>
        </ext>
      </extLst>
    </cfRule>
  </conditionalFormatting>
  <conditionalFormatting sqref="I1:I1048576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{DC4C7849-8A2B-E947-8146-38E14BCA9735}</x14:id>
        </ext>
      </extLst>
    </cfRule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{5823432F-6CB6-6B40-A537-51D6C12914EF}</x14:id>
        </ext>
      </extLst>
    </cfRule>
  </conditionalFormatting>
  <conditionalFormatting sqref="I2:I6">
    <cfRule type="dataBar" priority="13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{88A5B42E-2404-024D-8FE3-F284BEFACC63}</x14:id>
        </ext>
      </extLst>
    </cfRule>
  </conditionalFormatting>
  <conditionalFormatting sqref="I2:I8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{471970AD-45AD-9040-88D7-F3F7B246B402}</x14:id>
        </ext>
      </extLst>
    </cfRule>
  </conditionalFormatting>
  <conditionalFormatting sqref="I2:I104857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{E428E382-012D-A44D-813A-21DE30843453}</x14:id>
        </ext>
      </extLst>
    </cfRule>
  </conditionalFormatting>
  <conditionalFormatting sqref="I8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{F92990B1-E198-824E-876E-62BDABCB4888}</x14:id>
        </ext>
      </extLst>
    </cfRule>
  </conditionalFormatting>
  <conditionalFormatting sqref="J1:J1048576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{237F6E0E-B3AD-EF45-8A11-B0CDB888412D}</x14:id>
        </ext>
      </extLst>
    </cfRule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{AA6C502D-CC88-404C-83F5-EE195B9E07C4}</x14:id>
        </ext>
      </extLst>
    </cfRule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{592D1A69-DDD2-DB41-837C-1B71D8EAF907}</x14:id>
        </ext>
      </extLst>
    </cfRule>
  </conditionalFormatting>
  <conditionalFormatting sqref="J2:J6">
    <cfRule type="dataBar" priority="1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{9CBCC0BE-C86A-C648-93AB-EF20E8B7EFAE}</x14:id>
        </ext>
      </extLst>
    </cfRule>
  </conditionalFormatting>
  <conditionalFormatting sqref="J2:J8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{61DC1854-6047-C94C-AA28-B714F1A53523}</x14:id>
        </ext>
      </extLst>
    </cfRule>
  </conditionalFormatting>
  <conditionalFormatting sqref="J2:J104857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{D0E348DD-D146-7540-9FC4-908A6828DBB4}</x14:id>
        </ext>
      </extLst>
    </cfRule>
  </conditionalFormatting>
  <conditionalFormatting sqref="J8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{6C9443F0-255B-7047-9008-961763CD8660}</x14:id>
        </ext>
      </extLst>
    </cfRule>
  </conditionalFormatting>
  <conditionalFormatting sqref="K1:K1048576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{DB6ABB6D-232C-2A47-8482-91D49E1FAC2F}</x14:id>
        </ext>
      </extLst>
    </cfRule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{D0CDB68A-B5D3-3946-94F3-D60DCB128D1E}</x14:id>
        </ext>
      </extLst>
    </cfRule>
  </conditionalFormatting>
  <conditionalFormatting sqref="K2:K6">
    <cfRule type="dataBar" priority="13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{471DA8CC-E0B1-014C-A9D5-1C0920D12106}</x14:id>
        </ext>
      </extLst>
    </cfRule>
  </conditionalFormatting>
  <conditionalFormatting sqref="K2:K8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{4E5FC8DF-A4AE-964D-A760-2CCB9E64ED4B}</x14:id>
        </ext>
      </extLst>
    </cfRule>
  </conditionalFormatting>
  <conditionalFormatting sqref="K2:K104857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{98C56D70-99FD-9A4D-B32D-0CAA7358276A}</x14:id>
        </ext>
      </extLst>
    </cfRule>
  </conditionalFormatting>
  <conditionalFormatting sqref="K5:K1048576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{78208423-7509-6D4F-9640-DB7200A7AA72}</x14:id>
        </ext>
      </extLst>
    </cfRule>
  </conditionalFormatting>
  <conditionalFormatting sqref="K8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{3B92B9BA-07C9-AD41-A57C-621829974875}</x14:id>
        </ext>
      </extLst>
    </cfRule>
  </conditionalFormatting>
  <conditionalFormatting sqref="L1:L1048576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{E03CEE0E-453A-FC40-A906-458F4AAD1CFB}</x14:id>
        </ext>
      </extLst>
    </cfRule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{A4EBCBF4-C7DB-8648-A521-4BEBF5E4E320}</x14:id>
        </ext>
      </extLst>
    </cfRule>
  </conditionalFormatting>
  <conditionalFormatting sqref="L2:L6">
    <cfRule type="dataBar" priority="13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{BCC779AA-7B61-5F4B-B618-E7D3BFD9EE91}</x14:id>
        </ext>
      </extLst>
    </cfRule>
  </conditionalFormatting>
  <conditionalFormatting sqref="L2:L8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{A85A2405-CC3A-664B-93FD-88DD3B758E90}</x14:id>
        </ext>
      </extLst>
    </cfRule>
  </conditionalFormatting>
  <conditionalFormatting sqref="L2:L104857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{250ED59B-5171-F04F-B00A-E71F4855F1C7}</x14:id>
        </ext>
      </extLst>
    </cfRule>
  </conditionalFormatting>
  <conditionalFormatting sqref="L5:L1048576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{85AC9916-2C8E-F24F-878E-D36AD5DCDCCF}</x14:id>
        </ext>
      </extLst>
    </cfRule>
  </conditionalFormatting>
  <conditionalFormatting sqref="L8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{54FCAB9E-E5B6-DB44-B572-3782A57FCE86}</x14:id>
        </ext>
      </extLst>
    </cfRule>
  </conditionalFormatting>
  <conditionalFormatting sqref="N2:N6">
    <cfRule type="dataBar" priority="13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{EFE55920-4211-DC4D-ABAE-996F4F74C2B6}</x14:id>
        </ext>
      </extLst>
    </cfRule>
  </conditionalFormatting>
  <conditionalFormatting sqref="N2:N8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{78B46D56-EBD4-E848-9591-1D9EC9DA4B9F}</x14:id>
        </ext>
      </extLst>
    </cfRule>
  </conditionalFormatting>
  <conditionalFormatting sqref="N2:N1048576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{1FF1689A-3E7A-D145-A8E7-CEFCEA718447}</x14:id>
        </ext>
      </extLst>
    </cfRule>
  </conditionalFormatting>
  <conditionalFormatting sqref="N8">
    <cfRule type="dataBar" priority="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{00F349F7-3450-8440-87FA-07495D5E41AD}</x14:id>
        </ext>
      </extLst>
    </cfRule>
  </conditionalFormatting>
  <conditionalFormatting sqref="O1:O1048576">
    <cfRule type="dataBar" priority="1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{1049CF55-F1F0-0E4F-A0FD-D21F82937A08}</x14:id>
        </ext>
      </extLst>
    </cfRule>
    <cfRule type="dataBar" priority="1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{7F7F3BB9-58AD-E84D-93DB-5C6BC6473A0E}</x14:id>
        </ext>
      </extLst>
    </cfRule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{55DDFF7B-4290-C44F-ADB6-A2C20D364576}</x14:id>
        </ext>
      </extLst>
    </cfRule>
  </conditionalFormatting>
  <conditionalFormatting sqref="O2:O6">
    <cfRule type="dataBar" priority="13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{30942D54-BA7B-5140-9DC3-5B27E8277E91}</x14:id>
        </ext>
      </extLst>
    </cfRule>
  </conditionalFormatting>
  <conditionalFormatting sqref="O2:O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{21DF6DEA-B85B-C54D-A71A-7F2B2CE05FF8}</x14:id>
        </ext>
      </extLst>
    </cfRule>
  </conditionalFormatting>
  <conditionalFormatting sqref="O2:O104857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{1998324D-042C-5145-A0DA-CDCF6CFEDAF5}</x14:id>
        </ext>
      </extLst>
    </cfRule>
  </conditionalFormatting>
  <conditionalFormatting sqref="O8">
    <cfRule type="dataBar" priority="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{3B59AD05-C55C-EC4F-9AA4-4C4C48B45DAE}</x14:id>
        </ext>
      </extLst>
    </cfRule>
  </conditionalFormatting>
  <conditionalFormatting sqref="P1:P1048576">
    <cfRule type="dataBar" priority="1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{5C999000-3CB7-A547-AFF6-7CD870CBFC04}</x14:id>
        </ext>
      </extLst>
    </cfRule>
    <cfRule type="dataBar" priority="1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{F972DD6F-FC0F-BD4A-B562-F26A47F5EDBB}</x14:id>
        </ext>
      </extLst>
    </cfRule>
  </conditionalFormatting>
  <conditionalFormatting sqref="P2">
    <cfRule type="dataBar" priority="1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{991DCE5F-2E33-A64C-A3BC-1B09B7A20158}</x14:id>
        </ext>
      </extLst>
    </cfRule>
  </conditionalFormatting>
  <conditionalFormatting sqref="P2:P6">
    <cfRule type="dataBar" priority="13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{CE52DEEB-E29F-0644-96A2-7FA3C61D19E3}</x14:id>
        </ext>
      </extLst>
    </cfRule>
  </conditionalFormatting>
  <conditionalFormatting sqref="P2:P8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{4A12EBD7-81DE-6949-966D-E27CC5C5CD0A}</x14:id>
        </ext>
      </extLst>
    </cfRule>
  </conditionalFormatting>
  <conditionalFormatting sqref="P2:P104857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{CF55C974-5F94-8E42-8320-2D8103C416EF}</x14:id>
        </ext>
      </extLst>
    </cfRule>
  </conditionalFormatting>
  <conditionalFormatting sqref="P8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{2B71AFDC-A522-5C4B-8576-0E37C299E412}</x14:id>
        </ext>
      </extLst>
    </cfRule>
  </conditionalFormatting>
  <conditionalFormatting sqref="P9:P1048576 P7">
    <cfRule type="dataBar" priority="1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{8CFA8E9D-56F5-9D46-BC0B-E58A2EA2B12E}</x14:id>
        </ext>
      </extLst>
    </cfRule>
  </conditionalFormatting>
  <conditionalFormatting sqref="Q1">
    <cfRule type="dataBar" priority="1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{CBC6EAB6-47A0-8F40-A28C-A3B609D6D143}</x14:id>
        </ext>
      </extLst>
    </cfRule>
  </conditionalFormatting>
  <conditionalFormatting sqref="Q1:Q1048576 R5:S6 Q8:R8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{DDEA1D81-C080-ED49-BFB7-4D5B9DDA23DF}</x14:id>
        </ext>
      </extLst>
    </cfRule>
    <cfRule type="dataBar" priority="1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{FF4D1592-20D4-9040-B181-40123308D1B3}</x14:id>
        </ext>
      </extLst>
    </cfRule>
    <cfRule type="dataBar" priority="1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{1E380960-ECAB-514F-B74D-74097BE78602}</x14:id>
        </ext>
      </extLst>
    </cfRule>
  </conditionalFormatting>
  <conditionalFormatting sqref="Q2:Q6">
    <cfRule type="dataBar" priority="13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{8200E685-45EE-DF40-BE70-0D7CC389DD8F}</x14:id>
        </ext>
      </extLst>
    </cfRule>
  </conditionalFormatting>
  <conditionalFormatting sqref="Q2:Q8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{7878AE30-9F04-C94B-B264-886991A707F6}</x14:id>
        </ext>
      </extLst>
    </cfRule>
  </conditionalFormatting>
  <conditionalFormatting sqref="Q2:Q104857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{E8533CCF-E54F-BC4C-9F19-3005A1348822}</x14:id>
        </ext>
      </extLst>
    </cfRule>
  </conditionalFormatting>
  <conditionalFormatting sqref="Q2:S8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{B2E1CA3E-C785-684E-A9ED-109CF1CDBF8E}</x14:id>
        </ext>
      </extLst>
    </cfRule>
  </conditionalFormatting>
  <conditionalFormatting sqref="R1:R4 R7 R9:R1048576">
    <cfRule type="dataBar" priority="1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{30A90CE9-C3F7-8D4F-A60D-EB7F1304B5F1}</x14:id>
        </ext>
      </extLst>
    </cfRule>
  </conditionalFormatting>
  <conditionalFormatting sqref="R2:R6">
    <cfRule type="dataBar" priority="13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{18799DFF-6380-5547-972A-1DC4EBF935BF}</x14:id>
        </ext>
      </extLst>
    </cfRule>
  </conditionalFormatting>
  <conditionalFormatting sqref="R2:R8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{15C7B1A2-56C1-EF47-9E6D-9838B841B1C0}</x14:id>
        </ext>
      </extLst>
    </cfRule>
  </conditionalFormatting>
  <conditionalFormatting sqref="R2:R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{F0570F4A-226D-AA4E-A3C4-C27E361ACFE4}</x14:id>
        </ext>
      </extLst>
    </cfRule>
  </conditionalFormatting>
  <conditionalFormatting sqref="R9:R1048576 R7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{72D0DDF5-D388-254D-87EB-019B9F862B3C}</x14:id>
        </ext>
      </extLst>
    </cfRule>
    <cfRule type="dataBar" priority="1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{84FAF643-BC57-8746-B0AC-0BBF67D5EB85}</x14:id>
        </ext>
      </extLst>
    </cfRule>
  </conditionalFormatting>
  <conditionalFormatting sqref="S2:S6">
    <cfRule type="dataBar" priority="13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{7658C61D-A77A-1344-8B97-134980919FD7}</x14:id>
        </ext>
      </extLst>
    </cfRule>
  </conditionalFormatting>
  <conditionalFormatting sqref="S2:S8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{3089DA46-AFB7-D742-A12F-984F8CEB7050}</x14:id>
        </ext>
      </extLst>
    </cfRule>
  </conditionalFormatting>
  <conditionalFormatting sqref="S2:S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{C2A54F48-181F-2C45-9A27-C4C23733E4C2}</x14:id>
        </ext>
      </extLst>
    </cfRule>
  </conditionalFormatting>
  <conditionalFormatting sqref="S7:S1048576 S1:S4">
    <cfRule type="dataBar" priority="1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{90B49769-AD89-9A4B-8B21-7D762C7B84C0}</x14:id>
        </ext>
      </extLst>
    </cfRule>
  </conditionalFormatting>
  <conditionalFormatting sqref="S7:S1048576"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{E27824AD-1989-F245-94E0-33FEAE32F2AA}</x14:id>
        </ext>
      </extLst>
    </cfRule>
    <cfRule type="dataBar" priority="1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{5A9E1644-5FDF-7A4B-A08A-608F099868B8}</x14:id>
        </ext>
      </extLst>
    </cfRule>
  </conditionalFormatting>
  <conditionalFormatting sqref="T1:T1048576 U2:V11">
    <cfRule type="dataBar" priority="90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{25447F02-E8DC-F243-A9C7-E8A5F875080B}</x14:id>
        </ext>
      </extLst>
    </cfRule>
  </conditionalFormatting>
  <conditionalFormatting sqref="T2:T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{5A787130-2061-4A45-8617-7BFF82AAE5F8}</x14:id>
        </ext>
      </extLst>
    </cfRule>
  </conditionalFormatting>
  <conditionalFormatting sqref="T2:V10 U11:V11">
    <cfRule type="dataBar" priority="130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{352257F8-CD30-D746-9078-64BD7D796BEF}</x14:id>
        </ext>
      </extLst>
    </cfRule>
    <cfRule type="dataBar" priority="13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{E468D138-8FEC-A943-9011-D47D3BB8D2D1}</x14:id>
        </ext>
      </extLst>
    </cfRule>
    <cfRule type="dataBar" priority="13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{D33D8B3B-CD68-CA47-866D-5901B1A031F4}</x14:id>
        </ext>
      </extLst>
    </cfRule>
  </conditionalFormatting>
  <conditionalFormatting sqref="T2:V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{C0051E61-9F7B-BF4B-A351-AED02AD5540F}</x14:id>
        </ext>
      </extLst>
    </cfRule>
  </conditionalFormatting>
  <conditionalFormatting sqref="U9:U1048576 U1">
    <cfRule type="dataBar" priority="1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{B7FC9BDF-EA96-9E47-9875-35CF24BB4018}</x14:id>
        </ext>
      </extLst>
    </cfRule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{A020CC20-9F16-5B49-BD87-C67856652B95}</x14:id>
        </ext>
      </extLst>
    </cfRule>
  </conditionalFormatting>
  <conditionalFormatting sqref="V9:V1048576 V1">
    <cfRule type="dataBar" priority="1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{34698D27-C77D-A842-B1B2-B3B3B850ED97}</x14:id>
        </ext>
      </extLst>
    </cfRule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{A4B7DEBB-1174-DB4C-A0B6-82DEA40198B5}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7A6E18-8961-D145-9EBC-2FDDBA4D16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C1:C4 C6:C1048576</xm:sqref>
        </x14:conditionalFormatting>
        <x14:conditionalFormatting xmlns:xm="http://schemas.microsoft.com/office/excel/2006/main">
          <x14:cfRule type="dataBar" id="{9BD945A5-2697-9840-9AE5-248CC237AA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C2:C1048576</xm:sqref>
        </x14:conditionalFormatting>
        <x14:conditionalFormatting xmlns:xm="http://schemas.microsoft.com/office/excel/2006/main">
          <x14:cfRule type="dataBar" id="{DA5ABB39-3503-4240-9A55-837CA003F7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B633D15A-A2C9-284C-A203-FCEB4F338B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D2:D4</xm:sqref>
        </x14:conditionalFormatting>
        <x14:conditionalFormatting xmlns:xm="http://schemas.microsoft.com/office/excel/2006/main">
          <x14:cfRule type="dataBar" id="{35CD2C3C-45E0-1941-872C-EAF4813AA0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D2:D1048576</xm:sqref>
        </x14:conditionalFormatting>
        <x14:conditionalFormatting xmlns:xm="http://schemas.microsoft.com/office/excel/2006/main">
          <x14:cfRule type="dataBar" id="{511BC45B-8AB1-4644-A76B-302F95E7F0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 M5:M11</xm:sqref>
        </x14:conditionalFormatting>
        <x14:conditionalFormatting xmlns:xm="http://schemas.microsoft.com/office/excel/2006/main">
          <x14:cfRule type="dataBar" id="{46F47FC1-AD5B-9443-8ADB-F2269ED29D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5025A249-9721-814C-91C0-46CCB5AF3F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F2:F6</xm:sqref>
        </x14:conditionalFormatting>
        <x14:conditionalFormatting xmlns:xm="http://schemas.microsoft.com/office/excel/2006/main">
          <x14:cfRule type="dataBar" id="{D8FA5EAB-6A74-7F45-A779-893636F612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F2:F8</xm:sqref>
        </x14:conditionalFormatting>
        <x14:conditionalFormatting xmlns:xm="http://schemas.microsoft.com/office/excel/2006/main">
          <x14:cfRule type="dataBar" id="{9C4F8105-9F16-9942-BA30-75E20F6558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F2:F9</xm:sqref>
        </x14:conditionalFormatting>
        <x14:conditionalFormatting xmlns:xm="http://schemas.microsoft.com/office/excel/2006/main">
          <x14:cfRule type="dataBar" id="{A1DB8A5D-B448-6946-879E-F4E0944F33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F2:F1048576</xm:sqref>
        </x14:conditionalFormatting>
        <x14:conditionalFormatting xmlns:xm="http://schemas.microsoft.com/office/excel/2006/main">
          <x14:cfRule type="dataBar" id="{FBFE45AA-9B08-6041-BDE9-F9187E271C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A6C9E20C-D52E-7849-9DDA-7CD785F300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FF29856-A890-DD48-9C48-D65D0C074A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245CD11B-126B-2644-ADE1-53022B3A58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G2:G6</xm:sqref>
        </x14:conditionalFormatting>
        <x14:conditionalFormatting xmlns:xm="http://schemas.microsoft.com/office/excel/2006/main">
          <x14:cfRule type="dataBar" id="{F42533BC-C6B5-E94F-A19F-FAB1045386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G2:G8</xm:sqref>
        </x14:conditionalFormatting>
        <x14:conditionalFormatting xmlns:xm="http://schemas.microsoft.com/office/excel/2006/main">
          <x14:cfRule type="dataBar" id="{D0384FB4-DEC5-F14F-B090-F46202014F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G2:G1048576</xm:sqref>
        </x14:conditionalFormatting>
        <x14:conditionalFormatting xmlns:xm="http://schemas.microsoft.com/office/excel/2006/main">
          <x14:cfRule type="dataBar" id="{C70E54F3-97D1-484E-8819-7A4644B7CB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G8</xm:sqref>
        </x14:conditionalFormatting>
        <x14:conditionalFormatting xmlns:xm="http://schemas.microsoft.com/office/excel/2006/main">
          <x14:cfRule type="dataBar" id="{A438D15E-2A4E-B041-AAD0-D6C52F4F24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25DA159-8F36-824E-9EA0-2E215B35A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8A106DA0-52EC-A44D-BB97-180995C195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H2:H6</xm:sqref>
        </x14:conditionalFormatting>
        <x14:conditionalFormatting xmlns:xm="http://schemas.microsoft.com/office/excel/2006/main">
          <x14:cfRule type="dataBar" id="{405221AB-B3FC-2C4B-B5E9-5A48934ADA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H2:H8</xm:sqref>
        </x14:conditionalFormatting>
        <x14:conditionalFormatting xmlns:xm="http://schemas.microsoft.com/office/excel/2006/main">
          <x14:cfRule type="dataBar" id="{739A2316-BE36-8D4D-B160-E39DFEFC4A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H2:H1048576</xm:sqref>
        </x14:conditionalFormatting>
        <x14:conditionalFormatting xmlns:xm="http://schemas.microsoft.com/office/excel/2006/main">
          <x14:cfRule type="dataBar" id="{11D4C122-24FD-4F47-A2A5-2017B5C0AE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DC4C7849-8A2B-E947-8146-38E14BCA97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823432F-6CB6-6B40-A537-51D6C12914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88A5B42E-2404-024D-8FE3-F284BEFACC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I2:I6</xm:sqref>
        </x14:conditionalFormatting>
        <x14:conditionalFormatting xmlns:xm="http://schemas.microsoft.com/office/excel/2006/main">
          <x14:cfRule type="dataBar" id="{471970AD-45AD-9040-88D7-F3F7B246B4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I2:I8</xm:sqref>
        </x14:conditionalFormatting>
        <x14:conditionalFormatting xmlns:xm="http://schemas.microsoft.com/office/excel/2006/main">
          <x14:cfRule type="dataBar" id="{E428E382-012D-A44D-813A-21DE308434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I2:I1048576</xm:sqref>
        </x14:conditionalFormatting>
        <x14:conditionalFormatting xmlns:xm="http://schemas.microsoft.com/office/excel/2006/main">
          <x14:cfRule type="dataBar" id="{F92990B1-E198-824E-876E-62BDABCB48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237F6E0E-B3AD-EF45-8A11-B0CDB88841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A6C502D-CC88-404C-83F5-EE195B9E07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92D1A69-DDD2-DB41-837C-1B71D8EAF9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J1:J1048576</xm:sqref>
        </x14:conditionalFormatting>
        <x14:conditionalFormatting xmlns:xm="http://schemas.microsoft.com/office/excel/2006/main">
          <x14:cfRule type="dataBar" id="{9CBCC0BE-C86A-C648-93AB-EF20E8B7EF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J2:J6</xm:sqref>
        </x14:conditionalFormatting>
        <x14:conditionalFormatting xmlns:xm="http://schemas.microsoft.com/office/excel/2006/main">
          <x14:cfRule type="dataBar" id="{61DC1854-6047-C94C-AA28-B714F1A5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J2:J8</xm:sqref>
        </x14:conditionalFormatting>
        <x14:conditionalFormatting xmlns:xm="http://schemas.microsoft.com/office/excel/2006/main">
          <x14:cfRule type="dataBar" id="{D0E348DD-D146-7540-9FC4-908A6828DB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J2:J1048576</xm:sqref>
        </x14:conditionalFormatting>
        <x14:conditionalFormatting xmlns:xm="http://schemas.microsoft.com/office/excel/2006/main">
          <x14:cfRule type="dataBar" id="{6C9443F0-255B-7047-9008-961763CD86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DB6ABB6D-232C-2A47-8482-91D49E1FAC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0CDB68A-B5D3-3946-94F3-D60DCB128D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471DA8CC-E0B1-014C-A9D5-1C0920D121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K2:K6</xm:sqref>
        </x14:conditionalFormatting>
        <x14:conditionalFormatting xmlns:xm="http://schemas.microsoft.com/office/excel/2006/main">
          <x14:cfRule type="dataBar" id="{4E5FC8DF-A4AE-964D-A760-2CCB9E64ED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K2:K8</xm:sqref>
        </x14:conditionalFormatting>
        <x14:conditionalFormatting xmlns:xm="http://schemas.microsoft.com/office/excel/2006/main">
          <x14:cfRule type="dataBar" id="{98C56D70-99FD-9A4D-B32D-0CAA735827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K2:K1048576</xm:sqref>
        </x14:conditionalFormatting>
        <x14:conditionalFormatting xmlns:xm="http://schemas.microsoft.com/office/excel/2006/main">
          <x14:cfRule type="dataBar" id="{78208423-7509-6D4F-9640-DB7200A7AA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K5:K1048576</xm:sqref>
        </x14:conditionalFormatting>
        <x14:conditionalFormatting xmlns:xm="http://schemas.microsoft.com/office/excel/2006/main">
          <x14:cfRule type="dataBar" id="{3B92B9BA-07C9-AD41-A57C-6218299748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E03CEE0E-453A-FC40-A906-458F4AAD1C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4EBCBF4-C7DB-8648-A521-4BEBF5E4E3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L1:L1048576</xm:sqref>
        </x14:conditionalFormatting>
        <x14:conditionalFormatting xmlns:xm="http://schemas.microsoft.com/office/excel/2006/main">
          <x14:cfRule type="dataBar" id="{BCC779AA-7B61-5F4B-B618-E7D3BFD9EE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L2:L6</xm:sqref>
        </x14:conditionalFormatting>
        <x14:conditionalFormatting xmlns:xm="http://schemas.microsoft.com/office/excel/2006/main">
          <x14:cfRule type="dataBar" id="{A85A2405-CC3A-664B-93FD-88DD3B758E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L2:L8</xm:sqref>
        </x14:conditionalFormatting>
        <x14:conditionalFormatting xmlns:xm="http://schemas.microsoft.com/office/excel/2006/main">
          <x14:cfRule type="dataBar" id="{250ED59B-5171-F04F-B00A-E71F4855F1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L2:L1048576</xm:sqref>
        </x14:conditionalFormatting>
        <x14:conditionalFormatting xmlns:xm="http://schemas.microsoft.com/office/excel/2006/main">
          <x14:cfRule type="dataBar" id="{85AC9916-2C8E-F24F-878E-D36AD5DCDC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L5:L1048576</xm:sqref>
        </x14:conditionalFormatting>
        <x14:conditionalFormatting xmlns:xm="http://schemas.microsoft.com/office/excel/2006/main">
          <x14:cfRule type="dataBar" id="{54FCAB9E-E5B6-DB44-B572-3782A57FCE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EFE55920-4211-DC4D-ABAE-996F4F74C2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N2:N6</xm:sqref>
        </x14:conditionalFormatting>
        <x14:conditionalFormatting xmlns:xm="http://schemas.microsoft.com/office/excel/2006/main">
          <x14:cfRule type="dataBar" id="{78B46D56-EBD4-E848-9591-1D9EC9DA4B9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N2:N8</xm:sqref>
        </x14:conditionalFormatting>
        <x14:conditionalFormatting xmlns:xm="http://schemas.microsoft.com/office/excel/2006/main">
          <x14:cfRule type="dataBar" id="{1FF1689A-3E7A-D145-A8E7-CEFCEA71844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N2:N1048576</xm:sqref>
        </x14:conditionalFormatting>
        <x14:conditionalFormatting xmlns:xm="http://schemas.microsoft.com/office/excel/2006/main">
          <x14:cfRule type="dataBar" id="{00F349F7-3450-8440-87FA-07495D5E41A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N8</xm:sqref>
        </x14:conditionalFormatting>
        <x14:conditionalFormatting xmlns:xm="http://schemas.microsoft.com/office/excel/2006/main">
          <x14:cfRule type="dataBar" id="{1049CF55-F1F0-0E4F-A0FD-D21F82937A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F7F3BB9-58AD-E84D-93DB-5C6BC6473A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5DDFF7B-4290-C44F-ADB6-A2C20D3645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O1:O1048576</xm:sqref>
        </x14:conditionalFormatting>
        <x14:conditionalFormatting xmlns:xm="http://schemas.microsoft.com/office/excel/2006/main">
          <x14:cfRule type="dataBar" id="{30942D54-BA7B-5140-9DC3-5B27E8277E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O2:O6</xm:sqref>
        </x14:conditionalFormatting>
        <x14:conditionalFormatting xmlns:xm="http://schemas.microsoft.com/office/excel/2006/main">
          <x14:cfRule type="dataBar" id="{21DF6DEA-B85B-C54D-A71A-7F2B2CE05F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O2:O8</xm:sqref>
        </x14:conditionalFormatting>
        <x14:conditionalFormatting xmlns:xm="http://schemas.microsoft.com/office/excel/2006/main">
          <x14:cfRule type="dataBar" id="{1998324D-042C-5145-A0DA-CDCF6CFEDA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O2:O1048576</xm:sqref>
        </x14:conditionalFormatting>
        <x14:conditionalFormatting xmlns:xm="http://schemas.microsoft.com/office/excel/2006/main">
          <x14:cfRule type="dataBar" id="{3B59AD05-C55C-EC4F-9AA4-4C4C48B45D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O8</xm:sqref>
        </x14:conditionalFormatting>
        <x14:conditionalFormatting xmlns:xm="http://schemas.microsoft.com/office/excel/2006/main">
          <x14:cfRule type="dataBar" id="{5C999000-3CB7-A547-AFF6-7CD870CBFC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972DD6F-FC0F-BD4A-B562-F26A47F5ED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P1:P1048576</xm:sqref>
        </x14:conditionalFormatting>
        <x14:conditionalFormatting xmlns:xm="http://schemas.microsoft.com/office/excel/2006/main">
          <x14:cfRule type="dataBar" id="{991DCE5F-2E33-A64C-A3BC-1B09B7A201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</xm:sqref>
        </x14:conditionalFormatting>
        <x14:conditionalFormatting xmlns:xm="http://schemas.microsoft.com/office/excel/2006/main">
          <x14:cfRule type="dataBar" id="{CE52DEEB-E29F-0644-96A2-7FA3C61D19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P2:P6</xm:sqref>
        </x14:conditionalFormatting>
        <x14:conditionalFormatting xmlns:xm="http://schemas.microsoft.com/office/excel/2006/main">
          <x14:cfRule type="dataBar" id="{4A12EBD7-81DE-6949-966D-E27CC5C5CD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P2:P8</xm:sqref>
        </x14:conditionalFormatting>
        <x14:conditionalFormatting xmlns:xm="http://schemas.microsoft.com/office/excel/2006/main">
          <x14:cfRule type="dataBar" id="{CF55C974-5F94-8E42-8320-2D8103C416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P2:P1048576</xm:sqref>
        </x14:conditionalFormatting>
        <x14:conditionalFormatting xmlns:xm="http://schemas.microsoft.com/office/excel/2006/main">
          <x14:cfRule type="dataBar" id="{2B71AFDC-A522-5C4B-8576-0E37C299E4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</xm:sqref>
        </x14:conditionalFormatting>
        <x14:conditionalFormatting xmlns:xm="http://schemas.microsoft.com/office/excel/2006/main">
          <x14:cfRule type="dataBar" id="{8CFA8E9D-56F5-9D46-BC0B-E58A2EA2B1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P9:P1048576 P7</xm:sqref>
        </x14:conditionalFormatting>
        <x14:conditionalFormatting xmlns:xm="http://schemas.microsoft.com/office/excel/2006/main">
          <x14:cfRule type="dataBar" id="{CBC6EAB6-47A0-8F40-A28C-A3B609D6D1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</xm:sqref>
        </x14:conditionalFormatting>
        <x14:conditionalFormatting xmlns:xm="http://schemas.microsoft.com/office/excel/2006/main">
          <x14:cfRule type="dataBar" id="{DDEA1D81-C080-ED49-BFB7-4D5B9DDA23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F4D1592-20D4-9040-B181-40123308D1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E380960-ECAB-514F-B74D-74097BE786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Q1:Q1048576 R5:S6 Q8:R8</xm:sqref>
        </x14:conditionalFormatting>
        <x14:conditionalFormatting xmlns:xm="http://schemas.microsoft.com/office/excel/2006/main">
          <x14:cfRule type="dataBar" id="{8200E685-45EE-DF40-BE70-0D7CC389DD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Q2:Q6</xm:sqref>
        </x14:conditionalFormatting>
        <x14:conditionalFormatting xmlns:xm="http://schemas.microsoft.com/office/excel/2006/main">
          <x14:cfRule type="dataBar" id="{7878AE30-9F04-C94B-B264-886991A707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Q2:Q8</xm:sqref>
        </x14:conditionalFormatting>
        <x14:conditionalFormatting xmlns:xm="http://schemas.microsoft.com/office/excel/2006/main">
          <x14:cfRule type="dataBar" id="{E8533CCF-E54F-BC4C-9F19-3005A13488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Q2:Q1048576</xm:sqref>
        </x14:conditionalFormatting>
        <x14:conditionalFormatting xmlns:xm="http://schemas.microsoft.com/office/excel/2006/main">
          <x14:cfRule type="dataBar" id="{B2E1CA3E-C785-684E-A9ED-109CF1CDB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Q2:S8</xm:sqref>
        </x14:conditionalFormatting>
        <x14:conditionalFormatting xmlns:xm="http://schemas.microsoft.com/office/excel/2006/main">
          <x14:cfRule type="dataBar" id="{30A90CE9-C3F7-8D4F-A60D-EB7F1304B5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R1:R4 R7 R9:R1048576</xm:sqref>
        </x14:conditionalFormatting>
        <x14:conditionalFormatting xmlns:xm="http://schemas.microsoft.com/office/excel/2006/main">
          <x14:cfRule type="dataBar" id="{18799DFF-6380-5547-972A-1DC4EBF935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15C7B1A2-56C1-EF47-9E6D-9838B841B1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R2:R8</xm:sqref>
        </x14:conditionalFormatting>
        <x14:conditionalFormatting xmlns:xm="http://schemas.microsoft.com/office/excel/2006/main">
          <x14:cfRule type="dataBar" id="{F0570F4A-226D-AA4E-A3C4-C27E361ACF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R2:R1048576</xm:sqref>
        </x14:conditionalFormatting>
        <x14:conditionalFormatting xmlns:xm="http://schemas.microsoft.com/office/excel/2006/main">
          <x14:cfRule type="dataBar" id="{72D0DDF5-D388-254D-87EB-019B9F862B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4FAF643-BC57-8746-B0AC-0BBF67D5EB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R9:R1048576 R7</xm:sqref>
        </x14:conditionalFormatting>
        <x14:conditionalFormatting xmlns:xm="http://schemas.microsoft.com/office/excel/2006/main">
          <x14:cfRule type="dataBar" id="{7658C61D-A77A-1344-8B97-134980919F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S2:S6</xm:sqref>
        </x14:conditionalFormatting>
        <x14:conditionalFormatting xmlns:xm="http://schemas.microsoft.com/office/excel/2006/main">
          <x14:cfRule type="dataBar" id="{3089DA46-AFB7-D742-A12F-984F8CEB70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S2:S8</xm:sqref>
        </x14:conditionalFormatting>
        <x14:conditionalFormatting xmlns:xm="http://schemas.microsoft.com/office/excel/2006/main">
          <x14:cfRule type="dataBar" id="{C2A54F48-181F-2C45-9A27-C4C23733E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S2:S1048576</xm:sqref>
        </x14:conditionalFormatting>
        <x14:conditionalFormatting xmlns:xm="http://schemas.microsoft.com/office/excel/2006/main">
          <x14:cfRule type="dataBar" id="{90B49769-AD89-9A4B-8B21-7D762C7B84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S7:S1048576 S1:S4</xm:sqref>
        </x14:conditionalFormatting>
        <x14:conditionalFormatting xmlns:xm="http://schemas.microsoft.com/office/excel/2006/main">
          <x14:cfRule type="dataBar" id="{E27824AD-1989-F245-94E0-33FEAE32F2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A9E1644-5FDF-7A4B-A08A-608F099868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S7:S1048576</xm:sqref>
        </x14:conditionalFormatting>
        <x14:conditionalFormatting xmlns:xm="http://schemas.microsoft.com/office/excel/2006/main">
          <x14:cfRule type="dataBar" id="{25447F02-E8DC-F243-A9C7-E8A5F87508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T1:T1048576 U2:V11</xm:sqref>
        </x14:conditionalFormatting>
        <x14:conditionalFormatting xmlns:xm="http://schemas.microsoft.com/office/excel/2006/main">
          <x14:cfRule type="dataBar" id="{5A787130-2061-4A45-8617-7BFF82AAE5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T2:T1048576</xm:sqref>
        </x14:conditionalFormatting>
        <x14:conditionalFormatting xmlns:xm="http://schemas.microsoft.com/office/excel/2006/main">
          <x14:cfRule type="dataBar" id="{352257F8-CD30-D746-9078-64BD7D796B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468D138-8FEC-A943-9011-D47D3BB8D2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33D8B3B-CD68-CA47-866D-5901B1A031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T2:V10 U11:V11</xm:sqref>
        </x14:conditionalFormatting>
        <x14:conditionalFormatting xmlns:xm="http://schemas.microsoft.com/office/excel/2006/main">
          <x14:cfRule type="dataBar" id="{C0051E61-9F7B-BF4B-A351-AED02AD554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T2:V1048576</xm:sqref>
        </x14:conditionalFormatting>
        <x14:conditionalFormatting xmlns:xm="http://schemas.microsoft.com/office/excel/2006/main">
          <x14:cfRule type="dataBar" id="{B7FC9BDF-EA96-9E47-9875-35CF24BB40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020CC20-9F16-5B49-BD87-C67856652B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U9:U1048576 U1</xm:sqref>
        </x14:conditionalFormatting>
        <x14:conditionalFormatting xmlns:xm="http://schemas.microsoft.com/office/excel/2006/main">
          <x14:cfRule type="dataBar" id="{34698D27-C77D-A842-B1B2-B3B3B850ED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4B7DEBB-1174-DB4C-A0B6-82DEA40198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V9:V1048576 V1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41A4-7434-4C4C-A92D-C4A60151DD47}">
  <dimension ref="A1:K27"/>
  <sheetViews>
    <sheetView zoomScale="110" zoomScaleNormal="110" workbookViewId="0">
      <selection activeCell="G8" sqref="G8"/>
    </sheetView>
  </sheetViews>
  <sheetFormatPr baseColWidth="10" defaultRowHeight="16" x14ac:dyDescent="0.2"/>
  <cols>
    <col min="1" max="1" width="30.5" bestFit="1" customWidth="1"/>
    <col min="2" max="2" width="5.5" bestFit="1" customWidth="1"/>
    <col min="3" max="3" width="9.1640625" bestFit="1" customWidth="1"/>
    <col min="4" max="4" width="8" style="2" bestFit="1" customWidth="1"/>
    <col min="5" max="5" width="10.6640625" bestFit="1" customWidth="1"/>
    <col min="6" max="6" width="6.33203125" customWidth="1"/>
    <col min="7" max="7" width="6.6640625" customWidth="1"/>
    <col min="8" max="8" width="17.6640625" bestFit="1" customWidth="1"/>
    <col min="9" max="9" width="24.33203125" style="20" bestFit="1" customWidth="1"/>
    <col min="10" max="10" width="27" style="20" bestFit="1" customWidth="1"/>
    <col min="11" max="11" width="19.5" style="3" bestFit="1" customWidth="1"/>
  </cols>
  <sheetData>
    <row r="1" spans="1:11" x14ac:dyDescent="0.2">
      <c r="A1" s="44" t="s">
        <v>0</v>
      </c>
      <c r="B1" s="44" t="s">
        <v>1</v>
      </c>
      <c r="C1" s="44" t="s">
        <v>4</v>
      </c>
      <c r="D1" s="46" t="s">
        <v>25</v>
      </c>
      <c r="E1" s="44">
        <v>30000</v>
      </c>
      <c r="F1" s="44">
        <v>0</v>
      </c>
      <c r="G1" s="44">
        <v>60</v>
      </c>
      <c r="H1" s="44" t="s">
        <v>26</v>
      </c>
      <c r="I1" s="47" t="s">
        <v>28</v>
      </c>
      <c r="J1" s="47" t="s">
        <v>27</v>
      </c>
      <c r="K1" s="48" t="s">
        <v>29</v>
      </c>
    </row>
    <row r="2" spans="1:11" x14ac:dyDescent="0.2">
      <c r="A2" t="s">
        <v>164</v>
      </c>
      <c r="B2">
        <v>20</v>
      </c>
      <c r="C2" s="22">
        <v>44000</v>
      </c>
      <c r="D2" s="2">
        <f>PMT($F$1/1200,$G$1,-(C2*1.08875+750-$E$1))</f>
        <v>310.9166666666668</v>
      </c>
      <c r="H2" s="2">
        <f>D2-(IF($G$1 = 36, Cars!Q2, IF($G$1 = 48, (Cars!Q2+Cars!R2)/2, IF($G$1 = 60, Cars!R2, IF($G$1 = 72, (Cars!R2+Cars!S2)/2, Cars!S2)))))/$G$1</f>
        <v>-107.56666666666655</v>
      </c>
      <c r="I2" s="20">
        <f>H2*$G$1</f>
        <v>-6453.9999999999927</v>
      </c>
      <c r="J2" s="20">
        <f>I2+$E$1</f>
        <v>23546.000000000007</v>
      </c>
      <c r="K2" s="3">
        <f>((C2*(1+$F$1/1200)^$G$1)-C2)/C2</f>
        <v>0</v>
      </c>
    </row>
    <row r="3" spans="1:11" x14ac:dyDescent="0.2">
      <c r="A3" s="164" t="s">
        <v>165</v>
      </c>
      <c r="B3" s="1">
        <v>20</v>
      </c>
      <c r="C3" s="23">
        <v>47000</v>
      </c>
      <c r="D3" s="2">
        <f t="shared" ref="D3:D11" si="0">PMT($F$1/1200,$G$1,-(C3*1.08875+750-$E$1))</f>
        <v>365.3541666666668</v>
      </c>
      <c r="H3" s="2">
        <f>D3-(IF($G$1 = 36, Cars!Q3, IF($G$1 = 48, (Cars!Q3+Cars!R3)/2, IF($G$1 = 60, Cars!R3, IF($G$1 = 72, (Cars!R3+Cars!S3)/2, Cars!S3)))))/$G$1</f>
        <v>28.987500000000125</v>
      </c>
      <c r="I3" s="20">
        <f t="shared" ref="I3:I5" si="1">H3*$G$1</f>
        <v>1739.2500000000075</v>
      </c>
      <c r="J3" s="20">
        <f t="shared" ref="J3:J5" si="2">I3+$E$1</f>
        <v>31739.250000000007</v>
      </c>
      <c r="K3" s="3">
        <f t="shared" ref="K3:K5" si="3">((C3*(1+$F$1/1200)^$G$1)-C3)/C3</f>
        <v>0</v>
      </c>
    </row>
    <row r="4" spans="1:11" x14ac:dyDescent="0.2">
      <c r="A4" s="165" t="s">
        <v>166</v>
      </c>
      <c r="B4" t="s">
        <v>185</v>
      </c>
      <c r="C4" s="22">
        <f>AVERAGE(68695,72375,72777,73994,74351,66874)</f>
        <v>71511</v>
      </c>
      <c r="D4" s="2">
        <f t="shared" si="0"/>
        <v>810.12668750000012</v>
      </c>
      <c r="H4" s="2">
        <f>D4-(IF($G$1 = 36, Cars!Q4, IF($G$1 = 48, (Cars!Q4+Cars!R4)/2, IF($G$1 = 60, Cars!R4, IF($G$1 = 72, (Cars!R4+Cars!S4)/2, Cars!S4)))))/$G$1</f>
        <v>-134.63997916666654</v>
      </c>
      <c r="I4" s="20">
        <f t="shared" si="1"/>
        <v>-8078.3987499999921</v>
      </c>
      <c r="J4" s="20">
        <f t="shared" si="2"/>
        <v>21921.601250000007</v>
      </c>
      <c r="K4" s="3">
        <f t="shared" si="3"/>
        <v>0</v>
      </c>
    </row>
    <row r="5" spans="1:11" x14ac:dyDescent="0.2">
      <c r="A5" s="160" t="s">
        <v>167</v>
      </c>
      <c r="B5">
        <v>16</v>
      </c>
      <c r="C5" s="22">
        <v>16588</v>
      </c>
      <c r="D5" s="2">
        <f t="shared" si="0"/>
        <v>-186.49691666666664</v>
      </c>
      <c r="H5" s="2">
        <f>D5-(IF($G$1 = 36, Cars!Q5, IF($G$1 = 48, (Cars!Q5+Cars!R5)/2, IF($G$1 = 60, Cars!R5, IF($G$1 = 72, (Cars!R5+Cars!S5)/2, Cars!S5)))))/$G$1</f>
        <v>-344.83024999999998</v>
      </c>
      <c r="I5" s="20">
        <f t="shared" si="1"/>
        <v>-20689.814999999999</v>
      </c>
      <c r="J5" s="20">
        <f t="shared" si="2"/>
        <v>9310.1850000000013</v>
      </c>
      <c r="K5" s="3">
        <f t="shared" si="3"/>
        <v>0</v>
      </c>
    </row>
    <row r="6" spans="1:11" x14ac:dyDescent="0.2">
      <c r="A6" s="166" t="s">
        <v>168</v>
      </c>
      <c r="B6">
        <v>18</v>
      </c>
      <c r="C6" s="22">
        <f>AVERAGE(44711,49677)</f>
        <v>47194</v>
      </c>
      <c r="D6" s="2">
        <f t="shared" si="0"/>
        <v>368.87445833333345</v>
      </c>
      <c r="H6" s="2">
        <f>D6-(IF($G$1 = 36, Cars!Q6, IF($G$1 = 48, (Cars!Q6+Cars!R6)/2, IF($G$1 = 60, Cars!R6, IF($G$1 = 72, (Cars!R6+Cars!S6)/2, Cars!S6)))))/$G$1</f>
        <v>-232.15887499999985</v>
      </c>
      <c r="I6" s="20">
        <f t="shared" ref="I6:I11" si="4">H6*$G$1</f>
        <v>-13929.53249999999</v>
      </c>
      <c r="J6" s="20">
        <f t="shared" ref="J6:J11" si="5">I6+$E$1</f>
        <v>16070.46750000001</v>
      </c>
      <c r="K6" s="3">
        <f t="shared" ref="K6:K11" si="6">((C6*(1+$F$1/1200)^$G$1)-C6)/C6</f>
        <v>0</v>
      </c>
    </row>
    <row r="7" spans="1:11" x14ac:dyDescent="0.2">
      <c r="A7" s="167" t="s">
        <v>169</v>
      </c>
      <c r="B7" t="s">
        <v>170</v>
      </c>
      <c r="C7" s="22">
        <f>AVERAGE(79995,83897)</f>
        <v>81946</v>
      </c>
      <c r="D7" s="2">
        <f t="shared" si="0"/>
        <v>999.47845833333338</v>
      </c>
      <c r="H7" s="2">
        <f>D7-(IF($G$1 = 36, Cars!Q7, IF($G$1 = 48, (Cars!Q7+Cars!R7)/2, IF($G$1 = 60, Cars!R7, IF($G$1 = 72, (Cars!R7+Cars!S7)/2, Cars!S7)))))/$G$1</f>
        <v>-229.20487500000002</v>
      </c>
      <c r="I7" s="20">
        <f t="shared" si="4"/>
        <v>-13752.292500000001</v>
      </c>
      <c r="J7" s="20">
        <f t="shared" si="5"/>
        <v>16247.707499999999</v>
      </c>
      <c r="K7" s="3">
        <f t="shared" si="6"/>
        <v>0</v>
      </c>
    </row>
    <row r="8" spans="1:11" x14ac:dyDescent="0.2">
      <c r="A8" s="161" t="s">
        <v>172</v>
      </c>
      <c r="B8">
        <v>16</v>
      </c>
      <c r="C8" s="22">
        <v>36999</v>
      </c>
      <c r="D8" s="2">
        <f t="shared" si="0"/>
        <v>183.87768750000006</v>
      </c>
      <c r="H8" s="2">
        <f>D8-(IF($G$1 = 36, Cars!Q8, IF($G$1 = 48, (Cars!Q8+Cars!R8)/2, IF($G$1 = 60, Cars!R8, IF($G$1 = 72, (Cars!R8+Cars!S8)/2, Cars!S8)))))/$G$1</f>
        <v>-287.31848786127478</v>
      </c>
      <c r="I8" s="20">
        <f t="shared" si="4"/>
        <v>-17239.109271676487</v>
      </c>
      <c r="J8" s="20">
        <f t="shared" si="5"/>
        <v>12760.890728323513</v>
      </c>
      <c r="K8" s="3">
        <f t="shared" si="6"/>
        <v>0</v>
      </c>
    </row>
    <row r="9" spans="1:11" x14ac:dyDescent="0.2">
      <c r="A9" s="162" t="s">
        <v>182</v>
      </c>
      <c r="B9">
        <v>20</v>
      </c>
      <c r="C9" s="22">
        <f>AVERAGE(55987,50000)</f>
        <v>52993.5</v>
      </c>
      <c r="D9" s="2">
        <f t="shared" si="0"/>
        <v>474.11121875000015</v>
      </c>
      <c r="H9" s="2">
        <f>D9-(IF($G$1 = 36, Cars!Q9, IF($G$1 = 48, (Cars!Q9+Cars!R9)/2, IF($G$1 = 60, Cars!R9, IF($G$1 = 72, (Cars!R9+Cars!S9)/2, Cars!S9)))))/$G$1</f>
        <v>-94.222114583333223</v>
      </c>
      <c r="I9" s="20">
        <f t="shared" si="4"/>
        <v>-5653.3268749999934</v>
      </c>
      <c r="J9" s="20">
        <f t="shared" si="5"/>
        <v>24346.673125000008</v>
      </c>
      <c r="K9" s="3">
        <f t="shared" si="6"/>
        <v>0</v>
      </c>
    </row>
    <row r="10" spans="1:11" x14ac:dyDescent="0.2">
      <c r="A10" t="s">
        <v>184</v>
      </c>
      <c r="B10">
        <v>20</v>
      </c>
      <c r="C10" s="22">
        <v>38886</v>
      </c>
      <c r="D10" s="2">
        <f t="shared" si="0"/>
        <v>218.11887500000012</v>
      </c>
      <c r="H10" s="2">
        <f>D10-(IF($G$1 = 36, Cars!Q10, IF($G$1 = 48, (Cars!Q10+Cars!R10)/2, IF($G$1 = 60, Cars!R10, IF($G$1 = 72, (Cars!R10+Cars!S10)/2, Cars!S10)))))/$G$1</f>
        <v>-60.178022872340307</v>
      </c>
      <c r="I10" s="20">
        <f t="shared" si="4"/>
        <v>-3610.6813723404184</v>
      </c>
      <c r="J10" s="20">
        <f t="shared" si="5"/>
        <v>26389.318627659581</v>
      </c>
      <c r="K10" s="3">
        <f t="shared" si="6"/>
        <v>0</v>
      </c>
    </row>
    <row r="11" spans="1:11" x14ac:dyDescent="0.2">
      <c r="A11" t="s">
        <v>186</v>
      </c>
      <c r="B11">
        <v>17</v>
      </c>
      <c r="C11" s="22">
        <v>99990</v>
      </c>
      <c r="D11" s="2">
        <f t="shared" si="0"/>
        <v>1326.9018750000002</v>
      </c>
      <c r="H11" s="2">
        <f>D11-(IF($G$1 = 36, Cars!Q11, IF($G$1 = 48, (Cars!Q11+Cars!R11)/2, IF($G$1 = 60, Cars!R11, IF($G$1 = 72, (Cars!R11+Cars!S11)/2, Cars!S11)))))/$G$1</f>
        <v>-172.3298934816828</v>
      </c>
      <c r="I11" s="20">
        <f t="shared" si="4"/>
        <v>-10339.793608900967</v>
      </c>
      <c r="J11" s="20">
        <f t="shared" si="5"/>
        <v>19660.206391099033</v>
      </c>
      <c r="K11" s="3">
        <f t="shared" si="6"/>
        <v>0</v>
      </c>
    </row>
    <row r="13" spans="1:11" x14ac:dyDescent="0.2">
      <c r="A13" t="s">
        <v>22</v>
      </c>
      <c r="B13" t="s">
        <v>23</v>
      </c>
      <c r="C13" t="s">
        <v>24</v>
      </c>
    </row>
    <row r="14" spans="1:11" x14ac:dyDescent="0.2">
      <c r="A14">
        <v>5000</v>
      </c>
      <c r="B14">
        <v>0</v>
      </c>
      <c r="C14">
        <v>36</v>
      </c>
      <c r="E14" s="118"/>
    </row>
    <row r="15" spans="1:11" x14ac:dyDescent="0.2">
      <c r="A15">
        <v>10000</v>
      </c>
      <c r="B15">
        <v>3</v>
      </c>
      <c r="C15">
        <v>48</v>
      </c>
    </row>
    <row r="16" spans="1:11" x14ac:dyDescent="0.2">
      <c r="A16">
        <v>15000</v>
      </c>
      <c r="B16">
        <v>4</v>
      </c>
      <c r="C16">
        <v>60</v>
      </c>
    </row>
    <row r="17" spans="1:3" x14ac:dyDescent="0.2">
      <c r="A17">
        <v>20000</v>
      </c>
      <c r="B17">
        <v>5</v>
      </c>
      <c r="C17">
        <v>72</v>
      </c>
    </row>
    <row r="18" spans="1:3" x14ac:dyDescent="0.2">
      <c r="A18">
        <v>25000</v>
      </c>
      <c r="B18">
        <v>7</v>
      </c>
      <c r="C18">
        <v>84</v>
      </c>
    </row>
    <row r="19" spans="1:3" x14ac:dyDescent="0.2">
      <c r="A19">
        <v>30000</v>
      </c>
      <c r="B19">
        <v>9</v>
      </c>
    </row>
    <row r="20" spans="1:3" x14ac:dyDescent="0.2">
      <c r="A20">
        <v>35000</v>
      </c>
      <c r="B20">
        <v>11</v>
      </c>
    </row>
    <row r="21" spans="1:3" x14ac:dyDescent="0.2">
      <c r="A21">
        <v>40000</v>
      </c>
    </row>
    <row r="22" spans="1:3" x14ac:dyDescent="0.2">
      <c r="A22">
        <v>45000</v>
      </c>
    </row>
    <row r="23" spans="1:3" x14ac:dyDescent="0.2">
      <c r="A23">
        <v>50000</v>
      </c>
    </row>
    <row r="24" spans="1:3" x14ac:dyDescent="0.2">
      <c r="A24">
        <v>55000</v>
      </c>
    </row>
    <row r="25" spans="1:3" x14ac:dyDescent="0.2">
      <c r="A25">
        <v>60000</v>
      </c>
    </row>
    <row r="26" spans="1:3" x14ac:dyDescent="0.2">
      <c r="A26">
        <v>65000</v>
      </c>
    </row>
    <row r="27" spans="1:3" x14ac:dyDescent="0.2">
      <c r="A27">
        <v>75000</v>
      </c>
    </row>
  </sheetData>
  <scenarios current="0" show="0">
    <scenario name="Optimal Duration" locked="1" count="1" user="Tashrif Apon" comment="Created by Tashrif Apon on 1/6/2024">
      <inputCells r="G1" val="0"/>
    </scenario>
  </scenarios>
  <phoneticPr fontId="6" type="noConversion"/>
  <conditionalFormatting sqref="C2:C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{FA8BFA94-9324-F549-918B-5DAC9888F2F3}</x14:id>
        </ext>
      </extLst>
    </cfRule>
  </conditionalFormatting>
  <conditionalFormatting sqref="C2:C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{97B09933-4A87-C24D-8BA4-8A2E351FD4E2}</x14:id>
        </ext>
      </extLst>
    </cfRule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{B1545773-77F2-2246-905C-C5131FCD2AA5}</x14:id>
        </ext>
      </extLst>
    </cfRule>
  </conditionalFormatting>
  <conditionalFormatting sqref="C12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{A4BE249A-EDF1-4342-BD98-AA952113EBC0}</x14:id>
        </ext>
      </extLst>
    </cfRule>
  </conditionalFormatting>
  <conditionalFormatting sqref="C19:C1048576 C12 C1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{B54ECBA6-FA4C-CF4C-BA31-970A9D790E38}</x14:id>
        </ext>
      </extLst>
    </cfRule>
  </conditionalFormatting>
  <conditionalFormatting sqref="D1:D1048576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{7A88D5BB-002B-B442-A5FD-FB61D3597B7A}</x14:id>
        </ext>
      </extLst>
    </cfRule>
  </conditionalFormatting>
  <conditionalFormatting sqref="D2:D12">
    <cfRule type="dataBar" priority="13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{7A7CE128-10F4-E64E-A17B-E60484879BB9}</x14:id>
        </ext>
      </extLst>
    </cfRule>
  </conditionalFormatting>
  <conditionalFormatting sqref="H1:H1048576 K1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{73AF88D5-6CBD-3340-AA16-33066683747B}</x14:id>
        </ext>
      </extLst>
    </cfRule>
  </conditionalFormatting>
  <conditionalFormatting sqref="I1:I1048576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{B7861879-10A2-9D4F-9FC4-4FEC986B33C6}</x14:id>
        </ext>
      </extLst>
    </cfRule>
  </conditionalFormatting>
  <conditionalFormatting sqref="J1:J1048576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{1DAEB8D2-B650-714B-BB98-64A2FD8E6774}</x14:id>
        </ext>
      </extLst>
    </cfRule>
  </conditionalFormatting>
  <conditionalFormatting sqref="J2:J11">
    <cfRule type="cellIs" dxfId="4" priority="19" operator="lessThanOrEqual">
      <formula>$E$1</formula>
    </cfRule>
  </conditionalFormatting>
  <conditionalFormatting sqref="K1:K1048576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{80795A3C-1C3F-9741-BDB8-3537BD692627}</x14:id>
        </ext>
      </extLst>
    </cfRule>
  </conditionalFormatting>
  <dataValidations count="3">
    <dataValidation type="list" allowBlank="1" showInputMessage="1" showErrorMessage="1" sqref="F1" xr:uid="{C0821064-D239-4D48-BAC9-7596C7CE13C4}">
      <formula1>$B$14:$B$20</formula1>
    </dataValidation>
    <dataValidation type="list" allowBlank="1" showInputMessage="1" showErrorMessage="1" sqref="G1" xr:uid="{E7F2233F-8D37-6641-A2B0-6954508A0E7B}">
      <formula1>$C$14:$C$18</formula1>
    </dataValidation>
    <dataValidation type="list" allowBlank="1" showInputMessage="1" showErrorMessage="1" sqref="E1" xr:uid="{53D73A5B-9CAA-7545-9FB2-670B5114CEC8}">
      <formula1>$A$14:$A$27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8BFA94-9324-F549-918B-5DAC9888F2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C2:C4</xm:sqref>
        </x14:conditionalFormatting>
        <x14:conditionalFormatting xmlns:xm="http://schemas.microsoft.com/office/excel/2006/main">
          <x14:cfRule type="dataBar" id="{97B09933-4A87-C24D-8BA4-8A2E351FD4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1545773-77F2-2246-905C-C5131FCD2A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A4BE249A-EDF1-4342-BD98-AA952113EB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C12</xm:sqref>
        </x14:conditionalFormatting>
        <x14:conditionalFormatting xmlns:xm="http://schemas.microsoft.com/office/excel/2006/main">
          <x14:cfRule type="dataBar" id="{B54ECBA6-FA4C-CF4C-BA31-970A9D790E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C19:C1048576 C12 C1</xm:sqref>
        </x14:conditionalFormatting>
        <x14:conditionalFormatting xmlns:xm="http://schemas.microsoft.com/office/excel/2006/main">
          <x14:cfRule type="dataBar" id="{7A88D5BB-002B-B442-A5FD-FB61D3597B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7CE128-10F4-E64E-A17B-E60484879B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73AF88D5-6CBD-3340-AA16-3306668374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H1:H1048576 K1</xm:sqref>
        </x14:conditionalFormatting>
        <x14:conditionalFormatting xmlns:xm="http://schemas.microsoft.com/office/excel/2006/main">
          <x14:cfRule type="dataBar" id="{B7861879-10A2-9D4F-9FC4-4FEC986B33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1DAEB8D2-B650-714B-BB98-64A2FD8E67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J1:J1048576</xm:sqref>
        </x14:conditionalFormatting>
        <x14:conditionalFormatting xmlns:xm="http://schemas.microsoft.com/office/excel/2006/main">
          <x14:cfRule type="dataBar" id="{80795A3C-1C3F-9741-BDB8-3537BD6926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E16A-6EF3-1047-A25B-FEBF159EEFC1}">
  <dimension ref="A1:M9"/>
  <sheetViews>
    <sheetView workbookViewId="0">
      <selection activeCell="E13" sqref="E13"/>
    </sheetView>
  </sheetViews>
  <sheetFormatPr baseColWidth="10" defaultRowHeight="16" x14ac:dyDescent="0.2"/>
  <cols>
    <col min="1" max="1" width="26.6640625" bestFit="1" customWidth="1"/>
    <col min="5" max="5" width="10.33203125" bestFit="1" customWidth="1"/>
    <col min="8" max="8" width="16.33203125" bestFit="1" customWidth="1"/>
    <col min="9" max="9" width="20.33203125" bestFit="1" customWidth="1"/>
    <col min="11" max="11" width="19.83203125" bestFit="1" customWidth="1"/>
    <col min="12" max="12" width="15.33203125" bestFit="1" customWidth="1"/>
  </cols>
  <sheetData>
    <row r="1" spans="1:13" x14ac:dyDescent="0.2">
      <c r="A1" s="44" t="s">
        <v>0</v>
      </c>
      <c r="B1" s="128">
        <v>20</v>
      </c>
      <c r="C1" s="128">
        <v>30</v>
      </c>
      <c r="D1" s="128">
        <v>25</v>
      </c>
      <c r="E1" s="128" t="s">
        <v>153</v>
      </c>
      <c r="F1" s="129" t="s">
        <v>154</v>
      </c>
      <c r="G1" s="128">
        <v>40</v>
      </c>
      <c r="H1" s="128" t="s">
        <v>156</v>
      </c>
      <c r="I1" s="130" t="s">
        <v>157</v>
      </c>
      <c r="K1" s="52" t="s">
        <v>158</v>
      </c>
      <c r="L1" s="52" t="s">
        <v>159</v>
      </c>
      <c r="M1" s="52" t="s">
        <v>160</v>
      </c>
    </row>
    <row r="2" spans="1:13" x14ac:dyDescent="0.2">
      <c r="A2" s="125" t="s">
        <v>164</v>
      </c>
      <c r="B2">
        <v>3844</v>
      </c>
      <c r="C2">
        <v>2046</v>
      </c>
      <c r="D2" s="22">
        <f t="shared" ref="D2:D7" si="0">0.7*C2+0.3*B2</f>
        <v>2585.3999999999996</v>
      </c>
      <c r="E2" s="2">
        <f t="shared" ref="E2:E7" si="1">D2/12</f>
        <v>215.44999999999996</v>
      </c>
      <c r="F2" s="119" t="s">
        <v>155</v>
      </c>
      <c r="G2" s="6">
        <f>($G$8/$D$8)*D2</f>
        <v>653.25561832248559</v>
      </c>
      <c r="H2" s="22">
        <f t="shared" ref="H2:H7" si="2">G2*1.5</f>
        <v>979.88342748372838</v>
      </c>
      <c r="I2" s="120">
        <f t="shared" ref="I2:I7" si="3">H2/12</f>
        <v>81.656952290310699</v>
      </c>
      <c r="K2" s="20">
        <f>(E2-I2)*'Car Payments'!$G$1</f>
        <v>8027.5828625813556</v>
      </c>
      <c r="L2" s="20">
        <f>SUM((E2-I2)*12*1.06^('Car Payments'!$G$1/12-1),(E2-I2)*12*1.06^('Car Payments'!$G$1/12-2),(E2-I2)*12*1.06^('Car Payments'!$G$1/12-3),(E2-I2)*12*1.06^('Car Payments'!$G$1/12-4),(E2-I2)*12*1.06^('Car Payments'!$G$1/12-4))</f>
        <v>9146.7771624457782</v>
      </c>
      <c r="M2" s="20">
        <f>L2-K2</f>
        <v>1119.1942998644226</v>
      </c>
    </row>
    <row r="3" spans="1:13" x14ac:dyDescent="0.2">
      <c r="A3" s="126" t="s">
        <v>187</v>
      </c>
      <c r="B3">
        <v>4152</v>
      </c>
      <c r="C3">
        <v>2198</v>
      </c>
      <c r="D3" s="22">
        <f t="shared" si="0"/>
        <v>2784.2</v>
      </c>
      <c r="E3" s="2">
        <f t="shared" si="1"/>
        <v>232.01666666666665</v>
      </c>
      <c r="F3" s="119" t="s">
        <v>155</v>
      </c>
      <c r="G3" s="6">
        <f>($G$8/$D$8)*D3</f>
        <v>703.48661426992521</v>
      </c>
      <c r="H3" s="22">
        <f t="shared" si="2"/>
        <v>1055.2299214048878</v>
      </c>
      <c r="I3" s="120">
        <f t="shared" si="3"/>
        <v>87.935826783740652</v>
      </c>
      <c r="K3" s="20">
        <f>(E3-I3)*'Car Payments'!$G$1</f>
        <v>8644.8503929755607</v>
      </c>
      <c r="L3" s="20">
        <f>SUM((E3-I3)*12*1.06^('Car Payments'!$G$1/12-1),(E3-I3)*12*1.06^('Car Payments'!$G$1/12-2),(E3-I3)*12*1.06^('Car Payments'!$G$1/12-3),(E3-I3)*12*1.06^('Car Payments'!$G$1/12-4),(E3-I3)*12*1.06^('Car Payments'!$G$1/12-4))</f>
        <v>9850.1032628148605</v>
      </c>
      <c r="M3" s="20">
        <f t="shared" ref="M3:M8" si="4">L3-K3</f>
        <v>1205.2528698392998</v>
      </c>
    </row>
    <row r="4" spans="1:13" x14ac:dyDescent="0.2">
      <c r="A4" s="125" t="s">
        <v>167</v>
      </c>
      <c r="D4" s="22">
        <f>64.88*12</f>
        <v>778.56</v>
      </c>
      <c r="E4" s="2">
        <v>64.88</v>
      </c>
      <c r="F4" s="119" t="s">
        <v>155</v>
      </c>
      <c r="G4" s="6">
        <v>519</v>
      </c>
      <c r="H4" s="22">
        <f>G4*1.5</f>
        <v>778.5</v>
      </c>
      <c r="I4" s="120">
        <f t="shared" si="3"/>
        <v>64.875</v>
      </c>
      <c r="K4" s="20">
        <f>(E4-I4)*'Car Payments'!$G$1</f>
        <v>0.29999999999972715</v>
      </c>
      <c r="L4" s="20">
        <f>SUM((E4-I4)*12*1.06^('Car Payments'!$G$1/12-1),(E4-I4)*12*1.06^('Car Payments'!$G$1/12-2),(E4-I4)*12*1.06^('Car Payments'!$G$1/12-3),(E4-I4)*12*1.06^('Car Payments'!$G$1/12-4),(E4-I4)*12*1.06^('Car Payments'!$G$1/12-4))</f>
        <v>0.34182557759968912</v>
      </c>
      <c r="M4" s="20">
        <f t="shared" si="4"/>
        <v>4.1825577599961972E-2</v>
      </c>
    </row>
    <row r="5" spans="1:13" x14ac:dyDescent="0.2">
      <c r="A5" s="125" t="s">
        <v>169</v>
      </c>
      <c r="B5">
        <v>6558</v>
      </c>
      <c r="C5">
        <v>3544</v>
      </c>
      <c r="D5" s="22">
        <f t="shared" si="0"/>
        <v>4448.2</v>
      </c>
      <c r="E5" s="2">
        <f t="shared" si="1"/>
        <v>370.68333333333334</v>
      </c>
      <c r="F5" s="119" t="s">
        <v>155</v>
      </c>
      <c r="G5" s="6">
        <f>($G$8/$D$8)*D5</f>
        <v>1123.9311678742479</v>
      </c>
      <c r="H5" s="22">
        <f t="shared" si="2"/>
        <v>1685.8967518113718</v>
      </c>
      <c r="I5" s="120">
        <f t="shared" si="3"/>
        <v>140.49139598428098</v>
      </c>
      <c r="K5" s="20">
        <f>(E5-I5)*'Car Payments'!$G$1</f>
        <v>13811.516240943141</v>
      </c>
      <c r="L5" s="20">
        <f>SUM((E5-I5)*12*1.06^('Car Payments'!$G$1/12-1),(E5-I5)*12*1.06^('Car Payments'!$G$1/12-2),(E5-I5)*12*1.06^('Car Payments'!$G$1/12-3),(E5-I5)*12*1.06^('Car Payments'!$G$1/12-4),(E5-I5)*12*1.06^('Car Payments'!$G$1/12-4))</f>
        <v>15737.09838864057</v>
      </c>
      <c r="M5" s="20">
        <f t="shared" si="4"/>
        <v>1925.5821476974288</v>
      </c>
    </row>
    <row r="6" spans="1:13" x14ac:dyDescent="0.2">
      <c r="A6" s="125" t="s">
        <v>175</v>
      </c>
      <c r="B6">
        <v>5198</v>
      </c>
      <c r="C6">
        <v>2792</v>
      </c>
      <c r="D6" s="22">
        <f t="shared" si="0"/>
        <v>3513.7999999999997</v>
      </c>
      <c r="E6" s="2">
        <f t="shared" si="1"/>
        <v>292.81666666666666</v>
      </c>
      <c r="F6" s="119" t="s">
        <v>155</v>
      </c>
      <c r="G6" s="6">
        <f>($G$8/$D$8)*D6</f>
        <v>887.83538008105131</v>
      </c>
      <c r="H6" s="22">
        <f t="shared" si="2"/>
        <v>1331.7530701215769</v>
      </c>
      <c r="I6" s="120">
        <f t="shared" si="3"/>
        <v>110.97942251013141</v>
      </c>
      <c r="K6" s="20">
        <f>(E6-I6)*'Car Payments'!$G$1</f>
        <v>10910.234649392114</v>
      </c>
      <c r="L6" s="20">
        <f>SUM((E6-I6)*12*1.06^('Car Payments'!$G$1/12-1),(E6-I6)*12*1.06^('Car Payments'!$G$1/12-2),(E6-I6)*12*1.06^('Car Payments'!$G$1/12-3),(E6-I6)*12*1.06^('Car Payments'!$G$1/12-4),(E6-I6)*12*1.06^('Car Payments'!$G$1/12-4))</f>
        <v>12431.324202599979</v>
      </c>
      <c r="M6" s="20">
        <f t="shared" si="4"/>
        <v>1521.0895532078648</v>
      </c>
    </row>
    <row r="7" spans="1:13" x14ac:dyDescent="0.2">
      <c r="A7" s="125" t="s">
        <v>188</v>
      </c>
      <c r="B7">
        <v>4530</v>
      </c>
      <c r="C7">
        <v>2410</v>
      </c>
      <c r="D7" s="22">
        <f t="shared" si="0"/>
        <v>3046</v>
      </c>
      <c r="E7" s="2">
        <f t="shared" si="1"/>
        <v>253.83333333333334</v>
      </c>
      <c r="F7" s="119" t="s">
        <v>155</v>
      </c>
      <c r="G7" s="6">
        <v>833</v>
      </c>
      <c r="H7" s="22">
        <f t="shared" si="2"/>
        <v>1249.5</v>
      </c>
      <c r="I7" s="120">
        <f t="shared" si="3"/>
        <v>104.125</v>
      </c>
      <c r="K7" s="20">
        <f>(E7-I7)*'Car Payments'!$G$1</f>
        <v>8982.5</v>
      </c>
      <c r="L7" s="20">
        <f>SUM((E7-I7)*12*1.06^('Car Payments'!$G$1/12-1),(E7-I7)*12*1.06^('Car Payments'!$G$1/12-2),(E7-I7)*12*1.06^('Car Payments'!$G$1/12-3),(E7-I7)*12*1.06^('Car Payments'!$G$1/12-4),(E7-I7)*12*1.06^('Car Payments'!$G$1/12-4))</f>
        <v>10234.827502640002</v>
      </c>
      <c r="M7" s="20">
        <f t="shared" si="4"/>
        <v>1252.3275026400024</v>
      </c>
    </row>
    <row r="8" spans="1:13" x14ac:dyDescent="0.2">
      <c r="A8" s="127" t="s">
        <v>166</v>
      </c>
      <c r="B8" s="122">
        <v>4800</v>
      </c>
      <c r="C8" s="122">
        <v>2596</v>
      </c>
      <c r="D8" s="163">
        <f>0.7*C8+0.3*B8</f>
        <v>3257.2</v>
      </c>
      <c r="E8" s="123">
        <f>D8/12</f>
        <v>271.43333333333334</v>
      </c>
      <c r="F8" s="121" t="s">
        <v>155</v>
      </c>
      <c r="G8" s="122">
        <v>823</v>
      </c>
      <c r="H8" s="163">
        <f>G8*1.5</f>
        <v>1234.5</v>
      </c>
      <c r="I8" s="124">
        <f>H8/12</f>
        <v>102.875</v>
      </c>
      <c r="K8" s="20">
        <f>(E8-I8)*'Car Payments'!$G$1</f>
        <v>10113.5</v>
      </c>
      <c r="L8" s="20">
        <f>SUM((E8-I8)*12*1.06^('Car Payments'!$G$1/12-1),(E8-I8)*12*1.06^('Car Payments'!$G$1/12-2),(E8-I8)*12*1.06^('Car Payments'!$G$1/12-3),(E8-I8)*12*1.06^('Car Payments'!$G$1/12-4),(E8-I8)*12*1.06^('Car Payments'!$G$1/12-4))</f>
        <v>11523.509930192002</v>
      </c>
      <c r="M8" s="20">
        <f t="shared" si="4"/>
        <v>1410.0099301920018</v>
      </c>
    </row>
    <row r="9" spans="1:13" x14ac:dyDescent="0.2">
      <c r="K9" s="52" t="s">
        <v>161</v>
      </c>
    </row>
  </sheetData>
  <phoneticPr fontId="6" type="noConversion"/>
  <conditionalFormatting sqref="D2:D8">
    <cfRule type="dataBar" priority="13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{52BB0A9D-D07C-DD42-900D-27BDD8CF41FF}</x14:id>
        </ext>
      </extLst>
    </cfRule>
  </conditionalFormatting>
  <conditionalFormatting sqref="E2:E8">
    <cfRule type="dataBar" priority="13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{7332D618-C3AF-1041-83E2-AD71058982BE}</x14:id>
        </ext>
      </extLst>
    </cfRule>
  </conditionalFormatting>
  <conditionalFormatting sqref="H2:H8">
    <cfRule type="dataBar" priority="13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{7D438449-CB3F-E249-961D-D39D6709F8E9}</x14:id>
        </ext>
      </extLst>
    </cfRule>
  </conditionalFormatting>
  <conditionalFormatting sqref="I2:I8">
    <cfRule type="dataBar" priority="13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{0B66EF3B-BE3C-024F-A63A-7D72C2DDAC62}</x14:id>
        </ext>
      </extLst>
    </cfRule>
  </conditionalFormatting>
  <conditionalFormatting sqref="K2:L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{17E76DA6-7F79-994E-8C88-308E22A7853F}</x14:id>
        </ext>
      </extLst>
    </cfRule>
  </conditionalFormatting>
  <pageMargins left="0.7" right="0.7" top="0.75" bottom="0.75" header="0.3" footer="0.3"/>
  <ignoredErrors>
    <ignoredError sqref="D4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BB0A9D-D07C-DD42-900D-27BDD8CF41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D2:D8</xm:sqref>
        </x14:conditionalFormatting>
        <x14:conditionalFormatting xmlns:xm="http://schemas.microsoft.com/office/excel/2006/main">
          <x14:cfRule type="dataBar" id="{7332D618-C3AF-1041-83E2-AD71058982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id="{7D438449-CB3F-E249-961D-D39D6709F8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H2:H8</xm:sqref>
        </x14:conditionalFormatting>
        <x14:conditionalFormatting xmlns:xm="http://schemas.microsoft.com/office/excel/2006/main">
          <x14:cfRule type="dataBar" id="{0B66EF3B-BE3C-024F-A63A-7D72C2DDAC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I2:I8</xm:sqref>
        </x14:conditionalFormatting>
        <x14:conditionalFormatting xmlns:xm="http://schemas.microsoft.com/office/excel/2006/main">
          <x14:cfRule type="dataBar" id="{17E76DA6-7F79-994E-8C88-308E22A785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K2:L8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0CEE-7A6F-E340-B122-37E566C0B71D}">
  <dimension ref="A1:W44"/>
  <sheetViews>
    <sheetView zoomScaleNormal="100" workbookViewId="0">
      <selection activeCell="E40" sqref="E40"/>
    </sheetView>
  </sheetViews>
  <sheetFormatPr baseColWidth="10" defaultRowHeight="16" x14ac:dyDescent="0.2"/>
  <cols>
    <col min="1" max="1" width="35.83203125" bestFit="1" customWidth="1"/>
    <col min="2" max="2" width="13.6640625" bestFit="1" customWidth="1"/>
    <col min="3" max="3" width="11.1640625" bestFit="1" customWidth="1"/>
    <col min="4" max="4" width="14.5" bestFit="1" customWidth="1"/>
    <col min="5" max="5" width="30.5" bestFit="1" customWidth="1"/>
    <col min="6" max="6" width="11.1640625" bestFit="1" customWidth="1"/>
    <col min="7" max="7" width="14" bestFit="1" customWidth="1"/>
    <col min="8" max="12" width="11.1640625" bestFit="1" customWidth="1"/>
    <col min="13" max="13" width="14.33203125" customWidth="1"/>
    <col min="14" max="14" width="22" bestFit="1" customWidth="1"/>
    <col min="15" max="19" width="11.1640625" bestFit="1" customWidth="1"/>
    <col min="20" max="23" width="11.5" bestFit="1" customWidth="1"/>
  </cols>
  <sheetData>
    <row r="1" spans="1:23" x14ac:dyDescent="0.2">
      <c r="A1" s="52" t="s">
        <v>30</v>
      </c>
      <c r="B1" s="5">
        <v>70000</v>
      </c>
      <c r="C1" s="5">
        <v>75000</v>
      </c>
      <c r="D1" s="5">
        <v>80000</v>
      </c>
      <c r="E1" s="5">
        <v>85000</v>
      </c>
      <c r="F1" s="5">
        <v>90000</v>
      </c>
      <c r="G1" s="5">
        <v>95000</v>
      </c>
      <c r="H1" s="5">
        <v>100000</v>
      </c>
      <c r="I1" s="5">
        <v>105000</v>
      </c>
      <c r="J1" s="5">
        <v>110000</v>
      </c>
      <c r="K1" s="5">
        <v>115000</v>
      </c>
      <c r="L1" s="5">
        <v>120000</v>
      </c>
      <c r="M1" s="5"/>
      <c r="N1" s="134" t="s">
        <v>57</v>
      </c>
      <c r="O1" s="135"/>
      <c r="P1" s="135"/>
      <c r="Q1" s="135"/>
      <c r="R1" s="135"/>
      <c r="S1" s="135"/>
      <c r="T1" s="135"/>
      <c r="U1" s="136"/>
      <c r="V1" s="136"/>
      <c r="W1" s="137"/>
    </row>
    <row r="2" spans="1:23" x14ac:dyDescent="0.2">
      <c r="A2" s="52" t="s">
        <v>55</v>
      </c>
      <c r="B2" s="5">
        <f>$B$41</f>
        <v>51391.816744600299</v>
      </c>
      <c r="C2" s="5">
        <f t="shared" ref="C2:L2" si="0">$B$41</f>
        <v>51391.816744600299</v>
      </c>
      <c r="D2" s="5">
        <f t="shared" si="0"/>
        <v>51391.816744600299</v>
      </c>
      <c r="E2" s="5">
        <f t="shared" si="0"/>
        <v>51391.816744600299</v>
      </c>
      <c r="F2" s="5">
        <f t="shared" si="0"/>
        <v>51391.816744600299</v>
      </c>
      <c r="G2" s="5">
        <f t="shared" si="0"/>
        <v>51391.816744600299</v>
      </c>
      <c r="H2" s="5">
        <f t="shared" si="0"/>
        <v>51391.816744600299</v>
      </c>
      <c r="I2" s="5">
        <f t="shared" si="0"/>
        <v>51391.816744600299</v>
      </c>
      <c r="J2" s="5">
        <f t="shared" si="0"/>
        <v>51391.816744600299</v>
      </c>
      <c r="K2" s="5">
        <f t="shared" si="0"/>
        <v>51391.816744600299</v>
      </c>
      <c r="L2" s="5">
        <f t="shared" si="0"/>
        <v>51391.816744600299</v>
      </c>
      <c r="M2" s="5"/>
      <c r="N2" s="138" t="s">
        <v>58</v>
      </c>
      <c r="O2" s="139" t="s">
        <v>59</v>
      </c>
      <c r="P2" s="139" t="s">
        <v>60</v>
      </c>
      <c r="Q2" s="139" t="s">
        <v>61</v>
      </c>
      <c r="R2" s="139" t="s">
        <v>63</v>
      </c>
      <c r="S2" s="139" t="s">
        <v>62</v>
      </c>
      <c r="T2" s="139" t="s">
        <v>64</v>
      </c>
      <c r="U2" s="139" t="s">
        <v>66</v>
      </c>
      <c r="V2" s="139" t="s">
        <v>68</v>
      </c>
      <c r="W2" s="140" t="s">
        <v>69</v>
      </c>
    </row>
    <row r="3" spans="1:23" x14ac:dyDescent="0.2">
      <c r="A3" s="52" t="s">
        <v>37</v>
      </c>
      <c r="B3" s="4">
        <f>0.1*11000 + 0.12*(MIN(44725,B2)-11000)+IF(B2&gt;44725,IF(B2&lt;95375, (B2-44725)*0.22,  (95375-44725)*0.22 + (B2-95375)*0.24))</f>
        <v>6613.6996838120658</v>
      </c>
      <c r="C3" s="4">
        <f t="shared" ref="C3:L3" si="1">0.1*11000 + 0.12*(MIN(44725,C2)-11000)+IF(C2&gt;44725,IF(C2&lt;95375, (C2-44725)*0.22,  (95375-44725)*0.22 + (C2-95375)*0.24))</f>
        <v>6613.6996838120658</v>
      </c>
      <c r="D3" s="4">
        <f t="shared" si="1"/>
        <v>6613.6996838120658</v>
      </c>
      <c r="E3" s="4">
        <f t="shared" si="1"/>
        <v>6613.6996838120658</v>
      </c>
      <c r="F3" s="4">
        <f t="shared" si="1"/>
        <v>6613.6996838120658</v>
      </c>
      <c r="G3" s="4">
        <f t="shared" si="1"/>
        <v>6613.6996838120658</v>
      </c>
      <c r="H3" s="4">
        <f t="shared" si="1"/>
        <v>6613.6996838120658</v>
      </c>
      <c r="I3" s="4">
        <f t="shared" si="1"/>
        <v>6613.6996838120658</v>
      </c>
      <c r="J3" s="4">
        <f t="shared" si="1"/>
        <v>6613.6996838120658</v>
      </c>
      <c r="K3" s="4">
        <f t="shared" si="1"/>
        <v>6613.6996838120658</v>
      </c>
      <c r="L3" s="4">
        <f t="shared" si="1"/>
        <v>6613.6996838120658</v>
      </c>
      <c r="M3" s="4"/>
      <c r="N3" s="141">
        <f t="shared" ref="N3:T3" si="2">SUM(B28,C27,D26,E25,F24)</f>
        <v>274542.32696262159</v>
      </c>
      <c r="O3" s="7">
        <f t="shared" si="2"/>
        <v>306984.35197398369</v>
      </c>
      <c r="P3" s="7">
        <f t="shared" si="2"/>
        <v>333267.06180536689</v>
      </c>
      <c r="Q3" s="7">
        <f t="shared" si="2"/>
        <v>365011.50787924911</v>
      </c>
      <c r="R3" s="7">
        <f t="shared" si="2"/>
        <v>391786.78519949497</v>
      </c>
      <c r="S3" s="7">
        <f t="shared" si="2"/>
        <v>418562.06251974072</v>
      </c>
      <c r="T3" s="7">
        <f t="shared" si="2"/>
        <v>445337.33983998658</v>
      </c>
      <c r="U3" s="7">
        <f>SUM(I28,J27,K26,L25,L24)</f>
        <v>473769.09734894184</v>
      </c>
      <c r="V3" s="7">
        <f>SUM(J28,K27,L26,L25,L24)</f>
        <v>489387.73217381269</v>
      </c>
      <c r="W3" s="142">
        <f>SUM(K28,L27,L26,L25,L24)</f>
        <v>499150.70639864192</v>
      </c>
    </row>
    <row r="4" spans="1:23" x14ac:dyDescent="0.2">
      <c r="A4" s="52" t="s">
        <v>31</v>
      </c>
      <c r="B4" s="4">
        <f>IF(B2&gt;80650, 4271 + (B2-80650)*0.06,600 + (B2-13900)*0.055)</f>
        <v>2662.0499209530167</v>
      </c>
      <c r="C4" s="4">
        <f t="shared" ref="C4:L4" si="3">IF(C2&gt;80650, 4271 + (C2-80650)*0.06,600 + (C2-13900)*0.055)</f>
        <v>2662.0499209530167</v>
      </c>
      <c r="D4" s="4">
        <f t="shared" si="3"/>
        <v>2662.0499209530167</v>
      </c>
      <c r="E4" s="4">
        <f t="shared" si="3"/>
        <v>2662.0499209530167</v>
      </c>
      <c r="F4" s="4">
        <f t="shared" si="3"/>
        <v>2662.0499209530167</v>
      </c>
      <c r="G4" s="4">
        <f t="shared" si="3"/>
        <v>2662.0499209530167</v>
      </c>
      <c r="H4" s="4">
        <f t="shared" si="3"/>
        <v>2662.0499209530167</v>
      </c>
      <c r="I4" s="4">
        <f t="shared" si="3"/>
        <v>2662.0499209530167</v>
      </c>
      <c r="J4" s="4">
        <f t="shared" si="3"/>
        <v>2662.0499209530167</v>
      </c>
      <c r="K4" s="4">
        <f t="shared" si="3"/>
        <v>2662.0499209530167</v>
      </c>
      <c r="L4" s="4">
        <f t="shared" si="3"/>
        <v>2662.0499209530167</v>
      </c>
      <c r="M4" s="4"/>
      <c r="N4" s="143">
        <f>N3*0.9</f>
        <v>247088.09426635943</v>
      </c>
      <c r="O4" s="11">
        <f t="shared" ref="O4:S4" si="4">O3*0.9</f>
        <v>276285.91677658533</v>
      </c>
      <c r="P4" s="11">
        <f t="shared" si="4"/>
        <v>299940.35562483023</v>
      </c>
      <c r="Q4" s="11">
        <f t="shared" si="4"/>
        <v>328510.35709132423</v>
      </c>
      <c r="R4" s="11">
        <f t="shared" si="4"/>
        <v>352608.10667954548</v>
      </c>
      <c r="S4" s="11">
        <f t="shared" si="4"/>
        <v>376705.85626776668</v>
      </c>
      <c r="T4" s="11">
        <f>T3*0.9</f>
        <v>400803.60585598793</v>
      </c>
      <c r="U4" s="11">
        <f t="shared" ref="U4:W4" si="5">U3*0.9</f>
        <v>426392.18761404767</v>
      </c>
      <c r="V4" s="11">
        <f t="shared" si="5"/>
        <v>440448.95895643142</v>
      </c>
      <c r="W4" s="144">
        <f t="shared" si="5"/>
        <v>449235.63575877773</v>
      </c>
    </row>
    <row r="5" spans="1:23" x14ac:dyDescent="0.2">
      <c r="A5" s="52" t="s">
        <v>38</v>
      </c>
      <c r="B5" s="4">
        <f>B2*0.062</f>
        <v>3186.2926381652187</v>
      </c>
      <c r="C5" s="4">
        <f t="shared" ref="C5:L5" si="6">C2*0.062</f>
        <v>3186.2926381652187</v>
      </c>
      <c r="D5" s="4">
        <f t="shared" si="6"/>
        <v>3186.2926381652187</v>
      </c>
      <c r="E5" s="4">
        <f t="shared" si="6"/>
        <v>3186.2926381652187</v>
      </c>
      <c r="F5" s="4">
        <f t="shared" si="6"/>
        <v>3186.2926381652187</v>
      </c>
      <c r="G5" s="4">
        <f t="shared" si="6"/>
        <v>3186.2926381652187</v>
      </c>
      <c r="H5" s="4">
        <f t="shared" si="6"/>
        <v>3186.2926381652187</v>
      </c>
      <c r="I5" s="4">
        <f t="shared" si="6"/>
        <v>3186.2926381652187</v>
      </c>
      <c r="J5" s="4">
        <f t="shared" si="6"/>
        <v>3186.2926381652187</v>
      </c>
      <c r="K5" s="4">
        <f t="shared" si="6"/>
        <v>3186.2926381652187</v>
      </c>
      <c r="L5" s="4">
        <f t="shared" si="6"/>
        <v>3186.2926381652187</v>
      </c>
      <c r="M5" s="4"/>
      <c r="N5" s="145">
        <f>N4/(1.02^5)</f>
        <v>223795.29971920032</v>
      </c>
      <c r="O5" s="146">
        <f t="shared" ref="O5:W5" si="7">O4/(1.02^5)</f>
        <v>250240.66714665739</v>
      </c>
      <c r="P5" s="146">
        <f t="shared" si="7"/>
        <v>271665.22120075044</v>
      </c>
      <c r="Q5" s="146">
        <f t="shared" si="7"/>
        <v>297541.95176583994</v>
      </c>
      <c r="R5" s="146">
        <f t="shared" si="7"/>
        <v>319368.0260154581</v>
      </c>
      <c r="S5" s="146">
        <f t="shared" si="7"/>
        <v>341194.10026507621</v>
      </c>
      <c r="T5" s="146">
        <f t="shared" si="7"/>
        <v>363020.17451469437</v>
      </c>
      <c r="U5" s="146">
        <f t="shared" si="7"/>
        <v>386196.54139282083</v>
      </c>
      <c r="V5" s="146">
        <f t="shared" si="7"/>
        <v>398928.19228435203</v>
      </c>
      <c r="W5" s="147">
        <f t="shared" si="7"/>
        <v>406886.55618025485</v>
      </c>
    </row>
    <row r="6" spans="1:23" x14ac:dyDescent="0.2">
      <c r="A6" s="52" t="s">
        <v>39</v>
      </c>
      <c r="B6" s="4">
        <f>0.0145*B2</f>
        <v>745.18134279670437</v>
      </c>
      <c r="C6" s="4">
        <f t="shared" ref="C6:L6" si="8">0.0145*C2</f>
        <v>745.18134279670437</v>
      </c>
      <c r="D6" s="4">
        <f t="shared" si="8"/>
        <v>745.18134279670437</v>
      </c>
      <c r="E6" s="4">
        <f t="shared" si="8"/>
        <v>745.18134279670437</v>
      </c>
      <c r="F6" s="4">
        <f t="shared" si="8"/>
        <v>745.18134279670437</v>
      </c>
      <c r="G6" s="4">
        <f t="shared" si="8"/>
        <v>745.18134279670437</v>
      </c>
      <c r="H6" s="4">
        <f t="shared" si="8"/>
        <v>745.18134279670437</v>
      </c>
      <c r="I6" s="4">
        <f t="shared" si="8"/>
        <v>745.18134279670437</v>
      </c>
      <c r="J6" s="4">
        <f t="shared" si="8"/>
        <v>745.18134279670437</v>
      </c>
      <c r="K6" s="4">
        <f t="shared" si="8"/>
        <v>745.18134279670437</v>
      </c>
      <c r="L6" s="4">
        <f t="shared" si="8"/>
        <v>745.18134279670437</v>
      </c>
      <c r="M6" s="4"/>
      <c r="N6" s="148" t="s">
        <v>65</v>
      </c>
      <c r="O6" s="136"/>
      <c r="P6" s="136"/>
      <c r="Q6" s="136"/>
      <c r="R6" s="136"/>
      <c r="S6" s="136"/>
      <c r="T6" s="136"/>
      <c r="U6" s="136"/>
      <c r="V6" s="136"/>
      <c r="W6" s="137"/>
    </row>
    <row r="7" spans="1:23" x14ac:dyDescent="0.2">
      <c r="A7" s="53" t="s">
        <v>40</v>
      </c>
      <c r="B7" s="10">
        <f t="shared" ref="B7:L7" si="9">B2-(B3+B4+B5+B6)</f>
        <v>38184.593158873293</v>
      </c>
      <c r="C7" s="10">
        <f t="shared" si="9"/>
        <v>38184.593158873293</v>
      </c>
      <c r="D7" s="10">
        <f t="shared" si="9"/>
        <v>38184.593158873293</v>
      </c>
      <c r="E7" s="10">
        <f t="shared" si="9"/>
        <v>38184.593158873293</v>
      </c>
      <c r="F7" s="10">
        <f t="shared" si="9"/>
        <v>38184.593158873293</v>
      </c>
      <c r="G7" s="10">
        <f t="shared" si="9"/>
        <v>38184.593158873293</v>
      </c>
      <c r="H7" s="10">
        <f t="shared" si="9"/>
        <v>38184.593158873293</v>
      </c>
      <c r="I7" s="10">
        <f t="shared" si="9"/>
        <v>38184.593158873293</v>
      </c>
      <c r="J7" s="10">
        <f t="shared" si="9"/>
        <v>38184.593158873293</v>
      </c>
      <c r="K7" s="10">
        <f t="shared" si="9"/>
        <v>38184.593158873293</v>
      </c>
      <c r="L7" s="10">
        <f t="shared" si="9"/>
        <v>38184.593158873293</v>
      </c>
      <c r="M7" s="4"/>
      <c r="N7" s="149" t="s">
        <v>58</v>
      </c>
      <c r="O7" s="150" t="s">
        <v>59</v>
      </c>
      <c r="P7" s="150" t="s">
        <v>60</v>
      </c>
      <c r="Q7" s="150" t="s">
        <v>61</v>
      </c>
      <c r="R7" s="150" t="s">
        <v>63</v>
      </c>
      <c r="S7" s="150" t="s">
        <v>62</v>
      </c>
      <c r="T7" s="150" t="s">
        <v>64</v>
      </c>
      <c r="U7" s="150" t="s">
        <v>66</v>
      </c>
      <c r="V7" s="150" t="s">
        <v>68</v>
      </c>
      <c r="W7" s="151" t="s">
        <v>69</v>
      </c>
    </row>
    <row r="8" spans="1:23" x14ac:dyDescent="0.2">
      <c r="A8" s="53" t="s">
        <v>25</v>
      </c>
      <c r="B8" s="10">
        <f>B7/12</f>
        <v>3182.0494299061079</v>
      </c>
      <c r="C8" s="10">
        <f t="shared" ref="C8:J8" si="10">C7/12</f>
        <v>3182.0494299061079</v>
      </c>
      <c r="D8" s="10">
        <f t="shared" si="10"/>
        <v>3182.0494299061079</v>
      </c>
      <c r="E8" s="10">
        <f t="shared" si="10"/>
        <v>3182.0494299061079</v>
      </c>
      <c r="F8" s="10">
        <f t="shared" si="10"/>
        <v>3182.0494299061079</v>
      </c>
      <c r="G8" s="10">
        <f t="shared" si="10"/>
        <v>3182.0494299061079</v>
      </c>
      <c r="H8" s="10">
        <f t="shared" si="10"/>
        <v>3182.0494299061079</v>
      </c>
      <c r="I8" s="10">
        <f t="shared" si="10"/>
        <v>3182.0494299061079</v>
      </c>
      <c r="J8" s="10">
        <f t="shared" si="10"/>
        <v>3182.0494299061079</v>
      </c>
      <c r="K8" s="10">
        <f t="shared" ref="K8" si="11">K7/12</f>
        <v>3182.0494299061079</v>
      </c>
      <c r="L8" s="10">
        <f t="shared" ref="L8" si="12">L7/12</f>
        <v>3182.0494299061079</v>
      </c>
      <c r="M8" s="4"/>
      <c r="N8" s="152">
        <f t="shared" ref="N8:V8" si="13">SUM(B28,B27,C26,C25,D24)</f>
        <v>234306.59100527782</v>
      </c>
      <c r="O8" s="4">
        <f t="shared" si="13"/>
        <v>271949.33912796737</v>
      </c>
      <c r="P8" s="4">
        <f t="shared" si="13"/>
        <v>298232.04895935068</v>
      </c>
      <c r="Q8" s="4">
        <f t="shared" si="13"/>
        <v>329976.4950332329</v>
      </c>
      <c r="R8" s="4">
        <f t="shared" si="13"/>
        <v>356751.77235347871</v>
      </c>
      <c r="S8" s="4">
        <f t="shared" si="13"/>
        <v>383527.04967372451</v>
      </c>
      <c r="T8" s="4">
        <f t="shared" si="13"/>
        <v>410302.32699397032</v>
      </c>
      <c r="U8" s="4">
        <f t="shared" si="13"/>
        <v>444550.15127860056</v>
      </c>
      <c r="V8" s="4">
        <f t="shared" si="13"/>
        <v>471820.68298852519</v>
      </c>
      <c r="W8" s="153">
        <f>SUM(K28,K27,L26,L25,L24)</f>
        <v>493275.14792277484</v>
      </c>
    </row>
    <row r="9" spans="1:23" s="5" customFormat="1" x14ac:dyDescent="0.2">
      <c r="A9" s="54" t="s">
        <v>32</v>
      </c>
      <c r="B9" s="5">
        <f>$B$33</f>
        <v>900</v>
      </c>
      <c r="C9" s="5">
        <f t="shared" ref="C9:D14" si="14">B9</f>
        <v>900</v>
      </c>
      <c r="D9" s="5">
        <f t="shared" si="14"/>
        <v>900</v>
      </c>
      <c r="E9" s="5">
        <f t="shared" ref="E9:L9" si="15">D9</f>
        <v>900</v>
      </c>
      <c r="F9" s="5">
        <f t="shared" si="15"/>
        <v>900</v>
      </c>
      <c r="G9" s="5">
        <f t="shared" si="15"/>
        <v>900</v>
      </c>
      <c r="H9" s="5">
        <f t="shared" si="15"/>
        <v>900</v>
      </c>
      <c r="I9" s="5">
        <f t="shared" si="15"/>
        <v>900</v>
      </c>
      <c r="J9" s="5">
        <f t="shared" si="15"/>
        <v>900</v>
      </c>
      <c r="K9" s="5">
        <f t="shared" si="15"/>
        <v>900</v>
      </c>
      <c r="L9" s="5">
        <f t="shared" si="15"/>
        <v>900</v>
      </c>
      <c r="N9" s="154">
        <f>N8*0.9</f>
        <v>210875.93190475003</v>
      </c>
      <c r="O9" s="155">
        <f t="shared" ref="O9" si="16">O8*0.9</f>
        <v>244754.40521517064</v>
      </c>
      <c r="P9" s="155">
        <f t="shared" ref="P9" si="17">P8*0.9</f>
        <v>268408.8440634156</v>
      </c>
      <c r="Q9" s="155">
        <f t="shared" ref="Q9" si="18">Q8*0.9</f>
        <v>296978.84552990959</v>
      </c>
      <c r="R9" s="155">
        <f t="shared" ref="R9" si="19">R8*0.9</f>
        <v>321076.59511813085</v>
      </c>
      <c r="S9" s="155">
        <f t="shared" ref="S9" si="20">S8*0.9</f>
        <v>345174.34470635204</v>
      </c>
      <c r="T9" s="155">
        <f t="shared" ref="T9" si="21">T8*0.9</f>
        <v>369272.0942945733</v>
      </c>
      <c r="U9" s="155">
        <f t="shared" ref="U9:W9" si="22">U8*0.9</f>
        <v>400095.13615074049</v>
      </c>
      <c r="V9" s="155">
        <f t="shared" si="22"/>
        <v>424638.61468967266</v>
      </c>
      <c r="W9" s="156">
        <f t="shared" si="22"/>
        <v>443947.63313049736</v>
      </c>
    </row>
    <row r="10" spans="1:23" s="5" customFormat="1" x14ac:dyDescent="0.2">
      <c r="A10" s="54" t="s">
        <v>106</v>
      </c>
      <c r="B10" s="5">
        <f>B34</f>
        <v>1370.1617916666667</v>
      </c>
      <c r="C10" s="5">
        <f t="shared" si="14"/>
        <v>1370.1617916666667</v>
      </c>
      <c r="D10" s="5">
        <f t="shared" si="14"/>
        <v>1370.1617916666667</v>
      </c>
      <c r="E10" s="5">
        <f t="shared" ref="E10:L10" si="23">D10</f>
        <v>1370.1617916666667</v>
      </c>
      <c r="F10" s="5">
        <f t="shared" si="23"/>
        <v>1370.1617916666667</v>
      </c>
      <c r="G10" s="5">
        <f t="shared" si="23"/>
        <v>1370.1617916666667</v>
      </c>
      <c r="H10" s="5">
        <f t="shared" si="23"/>
        <v>1370.1617916666667</v>
      </c>
      <c r="I10" s="5">
        <f t="shared" si="23"/>
        <v>1370.1617916666667</v>
      </c>
      <c r="J10" s="5">
        <f t="shared" si="23"/>
        <v>1370.1617916666667</v>
      </c>
      <c r="K10" s="5">
        <f t="shared" si="23"/>
        <v>1370.1617916666667</v>
      </c>
      <c r="L10" s="5">
        <f t="shared" si="23"/>
        <v>1370.1617916666667</v>
      </c>
      <c r="N10" s="145">
        <f>N9/(1.02^5)</f>
        <v>190996.82857772743</v>
      </c>
      <c r="O10" s="146">
        <f t="shared" ref="O10:W10" si="24">O9/(1.02^5)</f>
        <v>221681.60564497591</v>
      </c>
      <c r="P10" s="146">
        <f t="shared" si="24"/>
        <v>243106.15969906902</v>
      </c>
      <c r="Q10" s="146">
        <f t="shared" si="24"/>
        <v>268982.89026415849</v>
      </c>
      <c r="R10" s="146">
        <f t="shared" si="24"/>
        <v>290808.96451377665</v>
      </c>
      <c r="S10" s="146">
        <f t="shared" si="24"/>
        <v>312635.03876339475</v>
      </c>
      <c r="T10" s="146">
        <f t="shared" si="24"/>
        <v>334461.11301301292</v>
      </c>
      <c r="U10" s="146">
        <f t="shared" si="24"/>
        <v>362378.49167482066</v>
      </c>
      <c r="V10" s="146">
        <f t="shared" si="24"/>
        <v>384608.27636793081</v>
      </c>
      <c r="W10" s="147">
        <f t="shared" si="24"/>
        <v>402097.04927735979</v>
      </c>
    </row>
    <row r="11" spans="1:23" x14ac:dyDescent="0.2">
      <c r="A11" s="52" t="s">
        <v>43</v>
      </c>
      <c r="B11" s="4">
        <f>B35</f>
        <v>94.444444444444443</v>
      </c>
      <c r="C11" s="4">
        <f t="shared" si="14"/>
        <v>94.444444444444443</v>
      </c>
      <c r="D11" s="4">
        <f t="shared" si="14"/>
        <v>94.444444444444443</v>
      </c>
      <c r="E11" s="4">
        <f t="shared" ref="E11:L11" si="25">D11</f>
        <v>94.444444444444443</v>
      </c>
      <c r="F11" s="4">
        <f t="shared" si="25"/>
        <v>94.444444444444443</v>
      </c>
      <c r="G11" s="4">
        <f t="shared" si="25"/>
        <v>94.444444444444443</v>
      </c>
      <c r="H11" s="4">
        <f t="shared" si="25"/>
        <v>94.444444444444443</v>
      </c>
      <c r="I11" s="4">
        <f t="shared" si="25"/>
        <v>94.444444444444443</v>
      </c>
      <c r="J11" s="4">
        <f t="shared" si="25"/>
        <v>94.444444444444443</v>
      </c>
      <c r="K11" s="4">
        <f t="shared" si="25"/>
        <v>94.444444444444443</v>
      </c>
      <c r="L11" s="4">
        <f t="shared" si="25"/>
        <v>94.444444444444443</v>
      </c>
      <c r="M11" s="4"/>
      <c r="N11" s="148" t="s">
        <v>67</v>
      </c>
      <c r="O11" s="136"/>
      <c r="P11" s="136"/>
      <c r="Q11" s="136"/>
      <c r="R11" s="136"/>
      <c r="S11" s="136"/>
      <c r="T11" s="136"/>
      <c r="U11" s="136"/>
      <c r="V11" s="136"/>
      <c r="W11" s="137"/>
    </row>
    <row r="12" spans="1:23" s="6" customFormat="1" x14ac:dyDescent="0.2">
      <c r="A12" s="55" t="s">
        <v>33</v>
      </c>
      <c r="B12" s="6">
        <v>600</v>
      </c>
      <c r="C12" s="6">
        <f t="shared" si="14"/>
        <v>600</v>
      </c>
      <c r="D12" s="6">
        <f t="shared" si="14"/>
        <v>600</v>
      </c>
      <c r="E12" s="6">
        <f t="shared" ref="E12:L14" si="26">D12</f>
        <v>600</v>
      </c>
      <c r="F12" s="6">
        <f t="shared" si="26"/>
        <v>600</v>
      </c>
      <c r="G12" s="6">
        <f t="shared" si="26"/>
        <v>600</v>
      </c>
      <c r="H12" s="6">
        <f t="shared" si="26"/>
        <v>600</v>
      </c>
      <c r="I12" s="6">
        <f t="shared" si="26"/>
        <v>600</v>
      </c>
      <c r="J12" s="6">
        <f t="shared" si="26"/>
        <v>600</v>
      </c>
      <c r="K12" s="6">
        <f t="shared" si="26"/>
        <v>600</v>
      </c>
      <c r="L12" s="6">
        <f t="shared" si="26"/>
        <v>600</v>
      </c>
      <c r="N12" s="149" t="s">
        <v>58</v>
      </c>
      <c r="O12" s="150" t="s">
        <v>59</v>
      </c>
      <c r="P12" s="150" t="s">
        <v>60</v>
      </c>
      <c r="Q12" s="150" t="s">
        <v>61</v>
      </c>
      <c r="R12" s="150" t="s">
        <v>63</v>
      </c>
      <c r="S12" s="150" t="s">
        <v>62</v>
      </c>
      <c r="T12" s="150" t="s">
        <v>64</v>
      </c>
      <c r="U12" s="150" t="s">
        <v>66</v>
      </c>
      <c r="V12" s="150" t="s">
        <v>68</v>
      </c>
      <c r="W12" s="151" t="s">
        <v>69</v>
      </c>
    </row>
    <row r="13" spans="1:23" s="6" customFormat="1" x14ac:dyDescent="0.2">
      <c r="A13" s="55" t="s">
        <v>41</v>
      </c>
      <c r="B13" s="6">
        <v>173</v>
      </c>
      <c r="C13" s="6">
        <f t="shared" si="14"/>
        <v>173</v>
      </c>
      <c r="D13" s="6">
        <f t="shared" si="14"/>
        <v>173</v>
      </c>
      <c r="E13" s="6">
        <f t="shared" si="26"/>
        <v>173</v>
      </c>
      <c r="F13" s="6">
        <f t="shared" si="26"/>
        <v>173</v>
      </c>
      <c r="G13" s="6">
        <f t="shared" si="26"/>
        <v>173</v>
      </c>
      <c r="H13" s="6">
        <f t="shared" si="26"/>
        <v>173</v>
      </c>
      <c r="I13" s="6">
        <f t="shared" si="26"/>
        <v>173</v>
      </c>
      <c r="J13" s="6">
        <f t="shared" si="26"/>
        <v>173</v>
      </c>
      <c r="K13" s="6">
        <f t="shared" si="26"/>
        <v>173</v>
      </c>
      <c r="L13" s="6">
        <f t="shared" si="26"/>
        <v>173</v>
      </c>
      <c r="N13" s="152">
        <f t="shared" ref="N13:W13" si="27">SUM(B28,B27,B26,C25,C24)</f>
        <v>217602.71741637535</v>
      </c>
      <c r="O13" s="4">
        <f t="shared" si="27"/>
        <v>260277.6117522507</v>
      </c>
      <c r="P13" s="4">
        <f t="shared" si="27"/>
        <v>286560.32158363401</v>
      </c>
      <c r="Q13" s="4">
        <f t="shared" si="27"/>
        <v>318304.76765751623</v>
      </c>
      <c r="R13" s="4">
        <f t="shared" si="27"/>
        <v>345080.04497776204</v>
      </c>
      <c r="S13" s="4">
        <f t="shared" si="27"/>
        <v>371855.32229800778</v>
      </c>
      <c r="T13" s="4">
        <f t="shared" si="27"/>
        <v>398630.59961825365</v>
      </c>
      <c r="U13" s="4">
        <f t="shared" si="27"/>
        <v>432878.42390288389</v>
      </c>
      <c r="V13" s="4">
        <f t="shared" si="27"/>
        <v>460148.95561280847</v>
      </c>
      <c r="W13" s="153">
        <f t="shared" si="27"/>
        <v>487419.48732273316</v>
      </c>
    </row>
    <row r="14" spans="1:23" s="6" customFormat="1" x14ac:dyDescent="0.2">
      <c r="A14" s="55" t="s">
        <v>34</v>
      </c>
      <c r="B14" s="6">
        <v>100</v>
      </c>
      <c r="C14" s="6">
        <f t="shared" si="14"/>
        <v>100</v>
      </c>
      <c r="D14" s="6">
        <f t="shared" si="14"/>
        <v>100</v>
      </c>
      <c r="E14" s="6">
        <f t="shared" si="26"/>
        <v>100</v>
      </c>
      <c r="F14" s="6">
        <f t="shared" si="26"/>
        <v>100</v>
      </c>
      <c r="G14" s="6">
        <f t="shared" si="26"/>
        <v>100</v>
      </c>
      <c r="H14" s="6">
        <f t="shared" si="26"/>
        <v>100</v>
      </c>
      <c r="I14" s="6">
        <f t="shared" si="26"/>
        <v>100</v>
      </c>
      <c r="J14" s="6">
        <f t="shared" si="26"/>
        <v>100</v>
      </c>
      <c r="K14" s="6">
        <f t="shared" si="26"/>
        <v>100</v>
      </c>
      <c r="L14" s="6">
        <f t="shared" si="26"/>
        <v>100</v>
      </c>
      <c r="N14" s="143">
        <f>N13*0.9</f>
        <v>195842.44567473783</v>
      </c>
      <c r="O14" s="11">
        <f t="shared" ref="O14" si="28">O13*0.9</f>
        <v>234249.85057702565</v>
      </c>
      <c r="P14" s="11">
        <f t="shared" ref="P14" si="29">P13*0.9</f>
        <v>257904.2894252706</v>
      </c>
      <c r="Q14" s="11">
        <f t="shared" ref="Q14" si="30">Q13*0.9</f>
        <v>286474.29089176463</v>
      </c>
      <c r="R14" s="11">
        <f t="shared" ref="R14" si="31">R13*0.9</f>
        <v>310572.04047998582</v>
      </c>
      <c r="S14" s="11">
        <f t="shared" ref="S14" si="32">S13*0.9</f>
        <v>334669.79006820702</v>
      </c>
      <c r="T14" s="11">
        <f t="shared" ref="T14" si="33">T13*0.9</f>
        <v>358767.53965642827</v>
      </c>
      <c r="U14" s="11">
        <f t="shared" ref="U14" si="34">U13*0.9</f>
        <v>389590.58151259553</v>
      </c>
      <c r="V14" s="11">
        <f t="shared" ref="V14" si="35">V13*0.9</f>
        <v>414134.06005152763</v>
      </c>
      <c r="W14" s="144">
        <f t="shared" ref="W14" si="36">W13*0.9</f>
        <v>438677.53859045985</v>
      </c>
    </row>
    <row r="15" spans="1:23" s="6" customFormat="1" x14ac:dyDescent="0.2">
      <c r="A15" s="56" t="s">
        <v>102</v>
      </c>
      <c r="B15" s="41">
        <f>B16+B10+B11</f>
        <v>2959.7313678560831</v>
      </c>
      <c r="C15" s="41">
        <f t="shared" ref="C15:L15" si="37">C16+C10+C11</f>
        <v>3376.3980345227501</v>
      </c>
      <c r="D15" s="41">
        <f t="shared" si="37"/>
        <v>3793.0647011894162</v>
      </c>
      <c r="E15" s="41">
        <f t="shared" si="37"/>
        <v>4209.7313678560831</v>
      </c>
      <c r="F15" s="41">
        <f t="shared" si="37"/>
        <v>4626.3980345227501</v>
      </c>
      <c r="G15" s="41">
        <f t="shared" si="37"/>
        <v>5043.0647011894162</v>
      </c>
      <c r="H15" s="41">
        <f t="shared" si="37"/>
        <v>5459.7313678560831</v>
      </c>
      <c r="I15" s="41">
        <f t="shared" si="37"/>
        <v>5876.3980345227501</v>
      </c>
      <c r="J15" s="41">
        <f t="shared" si="37"/>
        <v>6293.0647011894162</v>
      </c>
      <c r="K15" s="41">
        <f t="shared" si="37"/>
        <v>6709.7313678560822</v>
      </c>
      <c r="L15" s="41">
        <f t="shared" si="37"/>
        <v>7126.3980345227483</v>
      </c>
      <c r="N15" s="145">
        <f>N14/(1.02^5)</f>
        <v>177380.53692005161</v>
      </c>
      <c r="O15" s="146">
        <f t="shared" ref="O15:W15" si="38">O14/(1.02^5)</f>
        <v>212167.30686566624</v>
      </c>
      <c r="P15" s="146">
        <f t="shared" si="38"/>
        <v>233591.86091975935</v>
      </c>
      <c r="Q15" s="146">
        <f t="shared" si="38"/>
        <v>259468.59148484888</v>
      </c>
      <c r="R15" s="146">
        <f t="shared" si="38"/>
        <v>281294.66573446698</v>
      </c>
      <c r="S15" s="146">
        <f t="shared" si="38"/>
        <v>303120.73998408508</v>
      </c>
      <c r="T15" s="146">
        <f t="shared" si="38"/>
        <v>324946.81423370325</v>
      </c>
      <c r="U15" s="146">
        <f t="shared" si="38"/>
        <v>352864.19289551099</v>
      </c>
      <c r="V15" s="146">
        <f t="shared" si="38"/>
        <v>375093.97758862114</v>
      </c>
      <c r="W15" s="147">
        <f t="shared" si="38"/>
        <v>397323.76228173135</v>
      </c>
    </row>
    <row r="16" spans="1:23" x14ac:dyDescent="0.2">
      <c r="A16" s="53" t="s">
        <v>35</v>
      </c>
      <c r="B16" s="10">
        <f t="shared" ref="B16:L16" si="39">(B8-(SUM(B9:B14)))+(B1-B2)/12</f>
        <v>1495.1251317449721</v>
      </c>
      <c r="C16" s="10">
        <f t="shared" si="39"/>
        <v>1911.7917984116389</v>
      </c>
      <c r="D16" s="10">
        <f t="shared" si="39"/>
        <v>2328.4584650783054</v>
      </c>
      <c r="E16" s="10">
        <f t="shared" si="39"/>
        <v>2745.1251317449724</v>
      </c>
      <c r="F16" s="10">
        <f t="shared" si="39"/>
        <v>3161.7917984116389</v>
      </c>
      <c r="G16" s="10">
        <f t="shared" si="39"/>
        <v>3578.4584650783054</v>
      </c>
      <c r="H16" s="10">
        <f t="shared" si="39"/>
        <v>3995.1251317449724</v>
      </c>
      <c r="I16" s="10">
        <f t="shared" si="39"/>
        <v>4411.7917984116393</v>
      </c>
      <c r="J16" s="10">
        <f t="shared" si="39"/>
        <v>4828.4584650783054</v>
      </c>
      <c r="K16" s="10">
        <f t="shared" si="39"/>
        <v>5245.1251317449714</v>
      </c>
      <c r="L16" s="10">
        <f t="shared" si="39"/>
        <v>5661.7917984116375</v>
      </c>
      <c r="M16" s="4"/>
    </row>
    <row r="17" spans="1:20" x14ac:dyDescent="0.2">
      <c r="A17" s="56" t="s">
        <v>103</v>
      </c>
      <c r="B17" s="42">
        <f>MIN(B15,1875)</f>
        <v>1875</v>
      </c>
      <c r="C17" s="42">
        <f t="shared" ref="C17:L17" si="40">MIN(C15,1875)</f>
        <v>1875</v>
      </c>
      <c r="D17" s="42">
        <f t="shared" si="40"/>
        <v>1875</v>
      </c>
      <c r="E17" s="42">
        <f t="shared" si="40"/>
        <v>1875</v>
      </c>
      <c r="F17" s="42">
        <f t="shared" si="40"/>
        <v>1875</v>
      </c>
      <c r="G17" s="42">
        <f t="shared" si="40"/>
        <v>1875</v>
      </c>
      <c r="H17" s="42">
        <f t="shared" si="40"/>
        <v>1875</v>
      </c>
      <c r="I17" s="42">
        <f t="shared" si="40"/>
        <v>1875</v>
      </c>
      <c r="J17" s="42">
        <f t="shared" si="40"/>
        <v>1875</v>
      </c>
      <c r="K17" s="42">
        <f t="shared" si="40"/>
        <v>1875</v>
      </c>
      <c r="L17" s="42">
        <f t="shared" si="40"/>
        <v>1875</v>
      </c>
      <c r="M17" s="4"/>
    </row>
    <row r="18" spans="1:20" x14ac:dyDescent="0.2">
      <c r="A18" s="53" t="s">
        <v>36</v>
      </c>
      <c r="B18" s="10">
        <f>MIN(B16,22500/12)</f>
        <v>1495.1251317449721</v>
      </c>
      <c r="C18" s="10">
        <f t="shared" ref="C18:L18" si="41">MIN(C16,22500/12)</f>
        <v>1875</v>
      </c>
      <c r="D18" s="10">
        <f t="shared" si="41"/>
        <v>1875</v>
      </c>
      <c r="E18" s="10">
        <f t="shared" si="41"/>
        <v>1875</v>
      </c>
      <c r="F18" s="10">
        <f t="shared" si="41"/>
        <v>1875</v>
      </c>
      <c r="G18" s="10">
        <f t="shared" si="41"/>
        <v>1875</v>
      </c>
      <c r="H18" s="10">
        <f t="shared" si="41"/>
        <v>1875</v>
      </c>
      <c r="I18" s="10">
        <f t="shared" si="41"/>
        <v>1875</v>
      </c>
      <c r="J18" s="10">
        <f t="shared" si="41"/>
        <v>1875</v>
      </c>
      <c r="K18" s="10">
        <f t="shared" si="41"/>
        <v>1875</v>
      </c>
      <c r="L18" s="10">
        <f t="shared" si="41"/>
        <v>1875</v>
      </c>
      <c r="M18" s="4"/>
    </row>
    <row r="19" spans="1:20" x14ac:dyDescent="0.2">
      <c r="A19" s="56" t="s">
        <v>104</v>
      </c>
      <c r="B19" s="42">
        <f>B15+B17</f>
        <v>4834.7313678560831</v>
      </c>
      <c r="C19" s="42">
        <f t="shared" ref="C19:L19" si="42">C15+C17</f>
        <v>5251.3980345227501</v>
      </c>
      <c r="D19" s="42">
        <f t="shared" si="42"/>
        <v>5668.0647011894162</v>
      </c>
      <c r="E19" s="42">
        <f t="shared" si="42"/>
        <v>6084.7313678560831</v>
      </c>
      <c r="F19" s="42">
        <f t="shared" si="42"/>
        <v>6501.3980345227501</v>
      </c>
      <c r="G19" s="42">
        <f t="shared" si="42"/>
        <v>6918.0647011894162</v>
      </c>
      <c r="H19" s="42">
        <f t="shared" si="42"/>
        <v>7334.7313678560831</v>
      </c>
      <c r="I19" s="42">
        <f t="shared" si="42"/>
        <v>7751.3980345227501</v>
      </c>
      <c r="J19" s="42">
        <f t="shared" si="42"/>
        <v>8168.0647011894162</v>
      </c>
      <c r="K19" s="42">
        <f t="shared" si="42"/>
        <v>8584.7313678560822</v>
      </c>
      <c r="L19" s="42">
        <f t="shared" si="42"/>
        <v>9001.3980345227483</v>
      </c>
      <c r="M19" s="4"/>
    </row>
    <row r="20" spans="1:20" x14ac:dyDescent="0.2">
      <c r="A20" s="57" t="s">
        <v>105</v>
      </c>
      <c r="B20" s="43">
        <f>ROUND((('Car Payments'!$E1)/0.9)/B19,0)</f>
        <v>7</v>
      </c>
      <c r="C20" s="43">
        <f>ROUND((('Car Payments'!$E1)/0.9)/C19,0)</f>
        <v>6</v>
      </c>
      <c r="D20" s="43">
        <f>ROUND((('Car Payments'!$E1)/0.9)/D19,0)</f>
        <v>6</v>
      </c>
      <c r="E20" s="43">
        <f>ROUND((('Car Payments'!$E1)/0.9)/E19,0)</f>
        <v>5</v>
      </c>
      <c r="F20" s="43">
        <f>ROUND((('Car Payments'!$E1)/0.9)/F19,0)</f>
        <v>5</v>
      </c>
      <c r="G20" s="43">
        <f>ROUND((('Car Payments'!$E1)/0.9)/G19,0)</f>
        <v>5</v>
      </c>
      <c r="H20" s="43">
        <f>ROUND((('Car Payments'!$E1)/0.9)/H19,0)</f>
        <v>5</v>
      </c>
      <c r="I20" s="43">
        <f>ROUND((('Car Payments'!$E1)/0.9)/I19,0)</f>
        <v>4</v>
      </c>
      <c r="J20" s="43">
        <f>ROUND((('Car Payments'!$E1)/0.9)/J19,0)</f>
        <v>4</v>
      </c>
      <c r="K20" s="43">
        <f>ROUND((('Car Payments'!$E1)/0.9)/K19,0)</f>
        <v>4</v>
      </c>
      <c r="L20" s="43">
        <f>ROUND((('Car Payments'!$E1)/0.9)/L19,0)</f>
        <v>4</v>
      </c>
      <c r="M20" s="4"/>
    </row>
    <row r="21" spans="1:20" x14ac:dyDescent="0.2">
      <c r="A21" s="53" t="s">
        <v>42</v>
      </c>
      <c r="B21" s="10">
        <f>B16+B18</f>
        <v>2990.2502634899442</v>
      </c>
      <c r="C21" s="10">
        <f t="shared" ref="C21:J21" si="43">C16+C18</f>
        <v>3786.7917984116389</v>
      </c>
      <c r="D21" s="10">
        <f t="shared" si="43"/>
        <v>4203.4584650783054</v>
      </c>
      <c r="E21" s="10">
        <f t="shared" si="43"/>
        <v>4620.1251317449724</v>
      </c>
      <c r="F21" s="10">
        <f t="shared" si="43"/>
        <v>5036.7917984116393</v>
      </c>
      <c r="G21" s="10">
        <f t="shared" si="43"/>
        <v>5453.4584650783054</v>
      </c>
      <c r="H21" s="10">
        <f t="shared" si="43"/>
        <v>5870.1251317449724</v>
      </c>
      <c r="I21" s="10">
        <f t="shared" si="43"/>
        <v>6286.7917984116393</v>
      </c>
      <c r="J21" s="10">
        <f t="shared" si="43"/>
        <v>6703.4584650783054</v>
      </c>
      <c r="K21" s="10">
        <f t="shared" ref="K21" si="44">K16+K18</f>
        <v>7120.1251317449714</v>
      </c>
      <c r="L21" s="10">
        <f t="shared" ref="L21" si="45">L16+L18</f>
        <v>7536.7917984116375</v>
      </c>
      <c r="M21" s="4"/>
    </row>
    <row r="22" spans="1:20" x14ac:dyDescent="0.2">
      <c r="A22" s="52"/>
      <c r="B22" s="4"/>
      <c r="C22" s="4"/>
      <c r="D22" s="4"/>
      <c r="E22" s="4"/>
      <c r="F22" s="4"/>
      <c r="G22" s="4"/>
      <c r="H22" s="4"/>
      <c r="I22" s="4"/>
      <c r="J22" s="4"/>
    </row>
    <row r="23" spans="1:20" s="4" customFormat="1" x14ac:dyDescent="0.2">
      <c r="A23" s="58" t="s">
        <v>149</v>
      </c>
    </row>
    <row r="24" spans="1:20" s="4" customFormat="1" x14ac:dyDescent="0.2">
      <c r="A24" s="54">
        <v>1</v>
      </c>
      <c r="B24" s="4">
        <f>(12*B$21+B$1*(1.03^(5-$A24)-1))*(1.06*0.975)^$A24</f>
        <v>46165.018627252284</v>
      </c>
      <c r="C24" s="4">
        <f t="shared" ref="C24:L27" si="46">(12*C$21+C$1*(1.03^(5-$A24)-1))*(1.06*0.975)^$A24</f>
        <v>56692.293519026141</v>
      </c>
      <c r="D24" s="4">
        <f t="shared" si="46"/>
        <v>62508.360294701139</v>
      </c>
      <c r="E24" s="4">
        <f t="shared" si="46"/>
        <v>68324.427070376143</v>
      </c>
      <c r="F24" s="4">
        <f t="shared" si="46"/>
        <v>74140.493846051148</v>
      </c>
      <c r="G24" s="4">
        <f t="shared" si="46"/>
        <v>79956.560621726137</v>
      </c>
      <c r="H24" s="4">
        <f t="shared" si="46"/>
        <v>85772.627397401156</v>
      </c>
      <c r="I24" s="4">
        <f t="shared" si="46"/>
        <v>91588.694173076146</v>
      </c>
      <c r="J24" s="4">
        <f t="shared" si="46"/>
        <v>97404.760948751136</v>
      </c>
      <c r="K24" s="4">
        <f t="shared" si="46"/>
        <v>103220.82772442613</v>
      </c>
      <c r="L24" s="4">
        <f t="shared" si="46"/>
        <v>109036.89450010115</v>
      </c>
      <c r="N24" s="16"/>
      <c r="O24" s="16"/>
      <c r="P24" s="16"/>
      <c r="Q24" s="16"/>
      <c r="R24" s="16"/>
      <c r="S24" s="16"/>
      <c r="T24" s="16"/>
    </row>
    <row r="25" spans="1:20" s="4" customFormat="1" x14ac:dyDescent="0.2">
      <c r="A25" s="54">
        <v>2</v>
      </c>
      <c r="B25" s="4">
        <f t="shared" ref="B25:B27" si="47">(12*B$21+B$1*(1.03^(5-$A25)-1))*(1.06*0.975)^$A25</f>
        <v>45260.498105326173</v>
      </c>
      <c r="C25" s="4">
        <f t="shared" si="46"/>
        <v>55965.3618026931</v>
      </c>
      <c r="D25" s="4">
        <f t="shared" si="46"/>
        <v>61801.191912071845</v>
      </c>
      <c r="E25" s="4">
        <f t="shared" si="46"/>
        <v>67637.022021450612</v>
      </c>
      <c r="F25" s="4">
        <f t="shared" si="46"/>
        <v>73472.852130829371</v>
      </c>
      <c r="G25" s="4">
        <f t="shared" si="46"/>
        <v>79308.682240208102</v>
      </c>
      <c r="H25" s="4">
        <f t="shared" si="46"/>
        <v>85144.512349586861</v>
      </c>
      <c r="I25" s="4">
        <f t="shared" si="46"/>
        <v>90980.342458965621</v>
      </c>
      <c r="J25" s="4">
        <f t="shared" si="46"/>
        <v>96816.172568344351</v>
      </c>
      <c r="K25" s="4">
        <f t="shared" si="46"/>
        <v>102652.0026777231</v>
      </c>
      <c r="L25" s="4">
        <f t="shared" si="46"/>
        <v>108487.83278710186</v>
      </c>
    </row>
    <row r="26" spans="1:20" s="4" customFormat="1" x14ac:dyDescent="0.2">
      <c r="A26" s="54">
        <v>3</v>
      </c>
      <c r="B26" s="4">
        <f t="shared" si="47"/>
        <v>44317.347339837099</v>
      </c>
      <c r="C26" s="4">
        <f t="shared" si="46"/>
        <v>55205.154153064548</v>
      </c>
      <c r="D26" s="4">
        <f t="shared" si="46"/>
        <v>61060.814753106242</v>
      </c>
      <c r="E26" s="4">
        <f t="shared" si="46"/>
        <v>66916.475353147951</v>
      </c>
      <c r="F26" s="4">
        <f t="shared" si="46"/>
        <v>72772.135953189631</v>
      </c>
      <c r="G26" s="4">
        <f t="shared" si="46"/>
        <v>78627.79655323131</v>
      </c>
      <c r="H26" s="4">
        <f t="shared" si="46"/>
        <v>84483.457153273019</v>
      </c>
      <c r="I26" s="4">
        <f t="shared" si="46"/>
        <v>90339.117753314698</v>
      </c>
      <c r="J26" s="4">
        <f t="shared" si="46"/>
        <v>96194.778353356378</v>
      </c>
      <c r="K26" s="4">
        <f t="shared" si="46"/>
        <v>102050.43895339807</v>
      </c>
      <c r="L26" s="4">
        <f t="shared" si="46"/>
        <v>107906.09955343975</v>
      </c>
    </row>
    <row r="27" spans="1:20" s="4" customFormat="1" x14ac:dyDescent="0.2">
      <c r="A27" s="54">
        <v>4</v>
      </c>
      <c r="B27" s="4">
        <f t="shared" si="47"/>
        <v>43334.243915857478</v>
      </c>
      <c r="C27" s="4">
        <f t="shared" si="46"/>
        <v>54410.525503052049</v>
      </c>
      <c r="D27" s="4">
        <f t="shared" si="46"/>
        <v>60286.083978919123</v>
      </c>
      <c r="E27" s="4">
        <f t="shared" si="46"/>
        <v>66161.642454786212</v>
      </c>
      <c r="F27" s="4">
        <f t="shared" si="46"/>
        <v>72037.200930653285</v>
      </c>
      <c r="G27" s="4">
        <f t="shared" si="46"/>
        <v>77912.759406520359</v>
      </c>
      <c r="H27" s="4">
        <f t="shared" si="46"/>
        <v>83788.317882387433</v>
      </c>
      <c r="I27" s="4">
        <f t="shared" si="46"/>
        <v>89663.876358254507</v>
      </c>
      <c r="J27" s="4">
        <f t="shared" si="46"/>
        <v>95539.434834121566</v>
      </c>
      <c r="K27" s="4">
        <f t="shared" si="46"/>
        <v>101414.99330998864</v>
      </c>
      <c r="L27" s="4">
        <f t="shared" si="46"/>
        <v>107290.55178585571</v>
      </c>
    </row>
    <row r="28" spans="1:20" s="4" customFormat="1" x14ac:dyDescent="0.2">
      <c r="A28" s="54">
        <v>5</v>
      </c>
      <c r="B28" s="4">
        <f>((12-B20)*B$21+B$1*(1.03^(5-$A28)-1))*(1.06*0.975)^($A28-B20/12)</f>
        <v>17293.470838961526</v>
      </c>
      <c r="C28" s="4">
        <f t="shared" ref="C28:L28" si="48">((12-C20)*C$21+C$1*(1.03^(5-$A28)-1))*(1.06*0.975)^($A28-C20/12)</f>
        <v>26352.379889361124</v>
      </c>
      <c r="D28" s="4">
        <f t="shared" si="48"/>
        <v>29251.973759781831</v>
      </c>
      <c r="E28" s="4">
        <f t="shared" si="48"/>
        <v>37613.303872701537</v>
      </c>
      <c r="F28" s="4">
        <f t="shared" si="48"/>
        <v>41005.465231984846</v>
      </c>
      <c r="G28" s="4">
        <f t="shared" si="48"/>
        <v>44397.626591268134</v>
      </c>
      <c r="H28" s="4">
        <f t="shared" si="48"/>
        <v>47789.787950551443</v>
      </c>
      <c r="I28" s="4">
        <f t="shared" si="48"/>
        <v>58654.496274219186</v>
      </c>
      <c r="J28" s="4">
        <f t="shared" si="48"/>
        <v>62541.912023181307</v>
      </c>
      <c r="K28" s="4">
        <f t="shared" si="48"/>
        <v>66429.327772143428</v>
      </c>
      <c r="L28" s="4">
        <f t="shared" si="48"/>
        <v>70316.743521105542</v>
      </c>
    </row>
    <row r="29" spans="1:20" s="7" customFormat="1" x14ac:dyDescent="0.2">
      <c r="A29" s="59" t="s">
        <v>44</v>
      </c>
      <c r="B29" s="7">
        <f t="shared" ref="B29:L29" si="49">SUM(B24:B28)</f>
        <v>196370.57882723457</v>
      </c>
      <c r="C29" s="7">
        <f t="shared" si="49"/>
        <v>248625.71486719695</v>
      </c>
      <c r="D29" s="7">
        <f t="shared" si="49"/>
        <v>274908.42469858017</v>
      </c>
      <c r="E29" s="7">
        <f t="shared" si="49"/>
        <v>306652.87077246245</v>
      </c>
      <c r="F29" s="7">
        <f t="shared" si="49"/>
        <v>333428.14809270832</v>
      </c>
      <c r="G29" s="7">
        <f t="shared" si="49"/>
        <v>360203.42541295401</v>
      </c>
      <c r="H29" s="7">
        <f t="shared" si="49"/>
        <v>386978.70273319987</v>
      </c>
      <c r="I29" s="7">
        <f t="shared" si="49"/>
        <v>421226.52701783017</v>
      </c>
      <c r="J29" s="7">
        <f t="shared" si="49"/>
        <v>448497.05872775475</v>
      </c>
      <c r="K29" s="7">
        <f t="shared" si="49"/>
        <v>475767.59043767938</v>
      </c>
      <c r="L29" s="7">
        <f t="shared" si="49"/>
        <v>503038.12214760407</v>
      </c>
    </row>
    <row r="30" spans="1:20" x14ac:dyDescent="0.2">
      <c r="A30" s="53" t="s">
        <v>51</v>
      </c>
      <c r="B30" s="11">
        <f>B29*0.9</f>
        <v>176733.52094451111</v>
      </c>
      <c r="C30" s="11">
        <f t="shared" ref="C30:L30" si="50">C29*0.9</f>
        <v>223763.14338047727</v>
      </c>
      <c r="D30" s="11">
        <f t="shared" si="50"/>
        <v>247417.58222872217</v>
      </c>
      <c r="E30" s="11">
        <f t="shared" si="50"/>
        <v>275987.58369521622</v>
      </c>
      <c r="F30" s="11">
        <f t="shared" si="50"/>
        <v>300085.33328343747</v>
      </c>
      <c r="G30" s="11">
        <f t="shared" si="50"/>
        <v>324183.08287165861</v>
      </c>
      <c r="H30" s="11">
        <f t="shared" si="50"/>
        <v>348280.83245987986</v>
      </c>
      <c r="I30" s="11">
        <f t="shared" si="50"/>
        <v>379103.87431604718</v>
      </c>
      <c r="J30" s="11">
        <f t="shared" si="50"/>
        <v>403647.35285497928</v>
      </c>
      <c r="K30" s="11">
        <f t="shared" si="50"/>
        <v>428190.83139391145</v>
      </c>
      <c r="L30" s="11">
        <f t="shared" si="50"/>
        <v>452734.30993284367</v>
      </c>
      <c r="M30" s="7"/>
      <c r="N30" s="7"/>
      <c r="O30" s="7"/>
      <c r="P30" s="7"/>
      <c r="Q30" s="7"/>
      <c r="R30" s="7"/>
      <c r="S30" s="7"/>
      <c r="T30" s="7"/>
    </row>
    <row r="31" spans="1:20" x14ac:dyDescent="0.2">
      <c r="A31" s="132" t="s">
        <v>163</v>
      </c>
      <c r="B31" s="133">
        <f>B30/(1.02^5)</f>
        <v>160072.99504916446</v>
      </c>
      <c r="C31" s="133">
        <f t="shared" ref="C31:L31" si="51">C30/(1.02^5)</f>
        <v>202669.17306408726</v>
      </c>
      <c r="D31" s="133">
        <f t="shared" si="51"/>
        <v>224093.72711818034</v>
      </c>
      <c r="E31" s="133">
        <f t="shared" si="51"/>
        <v>249970.45768326987</v>
      </c>
      <c r="F31" s="133">
        <f t="shared" si="51"/>
        <v>271796.53193288803</v>
      </c>
      <c r="G31" s="133">
        <f t="shared" si="51"/>
        <v>293622.60618250608</v>
      </c>
      <c r="H31" s="133">
        <f t="shared" si="51"/>
        <v>315448.68043212424</v>
      </c>
      <c r="I31" s="133">
        <f t="shared" si="51"/>
        <v>343366.05909393204</v>
      </c>
      <c r="J31" s="133">
        <f t="shared" si="51"/>
        <v>365595.84378704219</v>
      </c>
      <c r="K31" s="133">
        <f t="shared" si="51"/>
        <v>387825.6284801524</v>
      </c>
      <c r="L31" s="133">
        <f t="shared" si="51"/>
        <v>410055.41317326261</v>
      </c>
    </row>
    <row r="32" spans="1:20" x14ac:dyDescent="0.2">
      <c r="A32" s="52"/>
    </row>
    <row r="33" spans="1:23" x14ac:dyDescent="0.2">
      <c r="A33" s="54" t="s">
        <v>32</v>
      </c>
      <c r="B33" s="13">
        <v>900</v>
      </c>
      <c r="D33" s="16"/>
      <c r="E33" s="4"/>
      <c r="H33" s="4"/>
      <c r="I33" s="4"/>
      <c r="J33" s="4"/>
    </row>
    <row r="34" spans="1:23" x14ac:dyDescent="0.2">
      <c r="A34" s="54" t="s">
        <v>106</v>
      </c>
      <c r="B34" s="13">
        <f>E35+E36</f>
        <v>1370.1617916666667</v>
      </c>
      <c r="C34" s="52"/>
      <c r="D34" s="44" t="s">
        <v>0</v>
      </c>
      <c r="E34" s="74" t="s">
        <v>169</v>
      </c>
      <c r="F34" s="80"/>
      <c r="G34" s="77" t="s">
        <v>10</v>
      </c>
      <c r="H34" s="71">
        <v>21.6</v>
      </c>
      <c r="I34" s="16"/>
      <c r="J34" s="16"/>
      <c r="N34" s="17"/>
      <c r="O34" s="17"/>
      <c r="P34" s="17"/>
      <c r="Q34" s="17"/>
      <c r="R34" s="17"/>
      <c r="S34" s="17"/>
      <c r="T34" s="17"/>
      <c r="U34" s="17"/>
    </row>
    <row r="35" spans="1:23" x14ac:dyDescent="0.2">
      <c r="A35" s="52" t="s">
        <v>43</v>
      </c>
      <c r="B35" s="14">
        <f>(H36/H34)*H35*4</f>
        <v>94.444444444444443</v>
      </c>
      <c r="D35" s="72" t="s">
        <v>131</v>
      </c>
      <c r="E35" s="75">
        <v>999.47845833333338</v>
      </c>
      <c r="F35" s="81"/>
      <c r="G35" s="78" t="s">
        <v>133</v>
      </c>
      <c r="H35" s="73">
        <v>4.25</v>
      </c>
      <c r="I35" s="7">
        <v>3.5</v>
      </c>
      <c r="J35" s="7">
        <v>4</v>
      </c>
      <c r="K35" s="7">
        <v>4.25</v>
      </c>
      <c r="N35" s="4"/>
      <c r="O35" s="4"/>
      <c r="P35" s="4"/>
      <c r="Q35" s="4"/>
      <c r="R35" s="4"/>
      <c r="S35" s="4"/>
      <c r="T35" s="4"/>
      <c r="U35" s="4"/>
    </row>
    <row r="36" spans="1:23" x14ac:dyDescent="0.2">
      <c r="A36" s="55" t="s">
        <v>33</v>
      </c>
      <c r="B36" s="15">
        <v>600</v>
      </c>
      <c r="D36" s="72" t="s">
        <v>132</v>
      </c>
      <c r="E36" s="76">
        <v>370.68333333333334</v>
      </c>
      <c r="F36" s="82"/>
      <c r="G36" s="79" t="s">
        <v>134</v>
      </c>
      <c r="H36" s="62">
        <v>120</v>
      </c>
      <c r="I36" s="7"/>
      <c r="J36" s="7"/>
      <c r="N36" s="18"/>
      <c r="O36" s="18"/>
      <c r="P36" s="18"/>
      <c r="Q36" s="18"/>
      <c r="R36" s="18"/>
      <c r="S36" s="18"/>
      <c r="T36" s="18"/>
      <c r="U36" s="18"/>
    </row>
    <row r="37" spans="1:23" x14ac:dyDescent="0.2">
      <c r="A37" s="55" t="s">
        <v>41</v>
      </c>
      <c r="B37" s="15">
        <v>173</v>
      </c>
      <c r="D37" s="17"/>
    </row>
    <row r="38" spans="1:23" x14ac:dyDescent="0.2">
      <c r="A38" s="55" t="s">
        <v>34</v>
      </c>
      <c r="B38" s="15">
        <v>100</v>
      </c>
      <c r="D38" s="17"/>
    </row>
    <row r="39" spans="1:23" x14ac:dyDescent="0.2">
      <c r="A39" s="55" t="s">
        <v>44</v>
      </c>
      <c r="B39" s="5">
        <f>SUM(B33:B38)</f>
        <v>3237.6062361111108</v>
      </c>
      <c r="D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">
      <c r="A40" s="55" t="s">
        <v>54</v>
      </c>
      <c r="B40" s="20">
        <f>B39*12</f>
        <v>38851.274833333329</v>
      </c>
      <c r="D40" s="17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">
      <c r="A41" s="55" t="s">
        <v>56</v>
      </c>
      <c r="B41" s="20">
        <f>(B40-384.5)/0.7485</f>
        <v>51391.816744600299</v>
      </c>
      <c r="D41" s="1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D42" s="17"/>
    </row>
    <row r="43" spans="1:23" x14ac:dyDescent="0.2">
      <c r="A43" s="6"/>
      <c r="B43" s="5"/>
      <c r="C43" s="5"/>
      <c r="D43" s="17"/>
      <c r="E43" s="5"/>
      <c r="F43" s="5"/>
      <c r="G43" s="5"/>
      <c r="H43" s="5"/>
      <c r="I43" s="5"/>
      <c r="J43" s="5"/>
      <c r="K43" s="5"/>
      <c r="L43" s="5"/>
      <c r="M43" s="5"/>
    </row>
    <row r="44" spans="1:23" x14ac:dyDescent="0.2">
      <c r="A44" s="6"/>
      <c r="D44" s="16"/>
    </row>
  </sheetData>
  <dataValidations count="1">
    <dataValidation type="list" allowBlank="1" showInputMessage="1" showErrorMessage="1" sqref="H35" xr:uid="{38EC5BB1-9AFC-6B4F-BA21-A48DC106DF0D}">
      <formula1>$I$35:$K$35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DE18EC3-902C-0044-92C8-B0813D97E0FC}">
          <x14:formula1>
            <xm:f>Cars!$N$2:$N$11</xm:f>
          </x14:formula1>
          <xm:sqref>H34</xm:sqref>
        </x14:dataValidation>
        <x14:dataValidation type="list" allowBlank="1" showInputMessage="1" showErrorMessage="1" xr:uid="{79AA6F73-F4D7-D44B-94D3-3A114F342972}">
          <x14:formula1>
            <xm:f>'Car Payments'!$A$2:$A$11</xm:f>
          </x14:formula1>
          <xm:sqref>E34</xm:sqref>
        </x14:dataValidation>
        <x14:dataValidation type="list" allowBlank="1" showInputMessage="1" showErrorMessage="1" xr:uid="{583459A8-B453-224F-84BF-A9142B23A94F}">
          <x14:formula1>
            <xm:f>'Car Payments'!$D$2:$D$11</xm:f>
          </x14:formula1>
          <xm:sqref>E35</xm:sqref>
        </x14:dataValidation>
        <x14:dataValidation type="list" allowBlank="1" showInputMessage="1" showErrorMessage="1" xr:uid="{482CFBCF-6EC0-174A-8AD0-F9BFD1FFCED5}">
          <x14:formula1>
            <xm:f>'Car Insurance'!$E$2:$E$8</xm:f>
          </x14:formula1>
          <xm:sqref>E36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B7BE-485D-C645-A394-A019D69056AB}">
  <dimension ref="A1:AP59"/>
  <sheetViews>
    <sheetView zoomScaleNormal="100" workbookViewId="0">
      <selection activeCell="B3" sqref="B3"/>
    </sheetView>
  </sheetViews>
  <sheetFormatPr baseColWidth="10" defaultRowHeight="16" x14ac:dyDescent="0.2"/>
  <cols>
    <col min="1" max="1" width="26" style="6" bestFit="1" customWidth="1"/>
    <col min="2" max="2" width="10.1640625" style="5" bestFit="1" customWidth="1"/>
    <col min="3" max="3" width="10.6640625" style="5" bestFit="1" customWidth="1"/>
    <col min="4" max="4" width="10.1640625" style="5" bestFit="1" customWidth="1"/>
    <col min="5" max="5" width="12.6640625" style="5" bestFit="1" customWidth="1"/>
    <col min="6" max="14" width="10.1640625" style="5" bestFit="1" customWidth="1"/>
    <col min="15" max="15" width="10.83203125" style="5"/>
    <col min="16" max="16" width="12" style="5" bestFit="1" customWidth="1"/>
    <col min="17" max="18" width="7.6640625" style="5" bestFit="1" customWidth="1"/>
    <col min="19" max="28" width="9.1640625" style="5" bestFit="1" customWidth="1"/>
    <col min="29" max="29" width="10.83203125" style="5"/>
    <col min="30" max="30" width="15.1640625" style="5" bestFit="1" customWidth="1"/>
    <col min="31" max="42" width="9.1640625" style="5" bestFit="1" customWidth="1"/>
    <col min="43" max="16384" width="10.83203125" style="5"/>
  </cols>
  <sheetData>
    <row r="1" spans="1:42" x14ac:dyDescent="0.2">
      <c r="A1" s="95" t="s">
        <v>23</v>
      </c>
      <c r="B1" s="96">
        <v>4.5</v>
      </c>
      <c r="C1" s="38" t="s">
        <v>99</v>
      </c>
      <c r="D1" s="39">
        <v>85000</v>
      </c>
      <c r="E1" s="38" t="s">
        <v>100</v>
      </c>
      <c r="F1" s="39">
        <f>(1.03^4)*(IF(D1 = Finances!B1, 80000, IF(D1 = Finances!C1, 85000, IF(D1 =Finances!D1,90000, IF(D1 = Finances!E1,95000, IF(D1=Finances!F1,100000, IF(D1=Finances!G1,105000, IF(D1 = Finances!H1,110000,IF(D1=Finances!I1,115000,120000)))))))))</f>
        <v>106923.33695</v>
      </c>
      <c r="G1" s="5">
        <f>F1/36</f>
        <v>2970.0926930555556</v>
      </c>
      <c r="H1" s="83">
        <f>0.4*F1/12</f>
        <v>3564.1112316666672</v>
      </c>
    </row>
    <row r="2" spans="1:42" x14ac:dyDescent="0.2">
      <c r="A2" s="40" t="s">
        <v>152</v>
      </c>
      <c r="B2" s="97">
        <f>((1+B1/1200)^360)-1</f>
        <v>2.8476980499633955</v>
      </c>
      <c r="C2" s="94" t="s">
        <v>101</v>
      </c>
      <c r="D2" s="39">
        <f>IF(D1 = Finances!B1, Finances!N9, IF(D1 = Finances!C1, Finances!O9, IF(D1 =Finances!D1,Finances!P9, IF(D1 = Finances!E1,Finances!Q9, IF(D1=Finances!F1,Finances!R9, IF(D1=Finances!G1,Finances!S9, IF(D1 = Finances!H1,Finances!T9,IF(D1 = Finances!I1,Finances!U9, IF(D1 = Finances!J1,Finances!V9, IF(D1 = Finances!K1,Finances!W9,Finances!L30))))))))))</f>
        <v>296978.84552990959</v>
      </c>
      <c r="E2" s="38" t="s">
        <v>22</v>
      </c>
      <c r="F2" s="39">
        <f>D2-10000-20000-100000</f>
        <v>166978.84552990959</v>
      </c>
    </row>
    <row r="3" spans="1:42" x14ac:dyDescent="0.2">
      <c r="A3" s="6" t="s">
        <v>189</v>
      </c>
      <c r="B3" s="21">
        <f>$F2/B4</f>
        <v>0.41744711382477401</v>
      </c>
      <c r="C3" s="21">
        <f t="shared" ref="C3:N3" si="0">$F2/C4</f>
        <v>0.37106410117757688</v>
      </c>
      <c r="D3" s="21">
        <f t="shared" si="0"/>
        <v>0.33395769105981921</v>
      </c>
      <c r="E3" s="21">
        <f t="shared" si="0"/>
        <v>0.303597900963472</v>
      </c>
      <c r="F3" s="21">
        <f t="shared" si="0"/>
        <v>0.27829807588318267</v>
      </c>
      <c r="G3" s="21">
        <f t="shared" si="0"/>
        <v>0.25689053158447628</v>
      </c>
      <c r="H3" s="21">
        <f t="shared" si="0"/>
        <v>0.23854120789987085</v>
      </c>
      <c r="I3" s="21">
        <f t="shared" si="0"/>
        <v>0.22263846070654614</v>
      </c>
      <c r="J3" s="21">
        <f t="shared" si="0"/>
        <v>0.208723556912387</v>
      </c>
      <c r="K3" s="21">
        <f t="shared" si="0"/>
        <v>0.19644570062342306</v>
      </c>
      <c r="L3" s="21">
        <f t="shared" si="0"/>
        <v>0.18553205058878844</v>
      </c>
      <c r="M3" s="21">
        <f t="shared" si="0"/>
        <v>0.17576720582095748</v>
      </c>
      <c r="N3" s="21">
        <f t="shared" si="0"/>
        <v>0.1669788455299096</v>
      </c>
    </row>
    <row r="4" spans="1:42" x14ac:dyDescent="0.2">
      <c r="A4" s="6" t="s">
        <v>45</v>
      </c>
      <c r="B4" s="5">
        <v>400000</v>
      </c>
      <c r="C4" s="5">
        <v>450000</v>
      </c>
      <c r="D4" s="5">
        <v>500000</v>
      </c>
      <c r="E4" s="5">
        <v>550000</v>
      </c>
      <c r="F4" s="5">
        <v>600000</v>
      </c>
      <c r="G4" s="5">
        <v>650000</v>
      </c>
      <c r="H4" s="5">
        <v>700000</v>
      </c>
      <c r="I4" s="5">
        <v>750000</v>
      </c>
      <c r="J4" s="5">
        <v>800000</v>
      </c>
      <c r="K4" s="5">
        <v>850000</v>
      </c>
      <c r="L4" s="5">
        <v>900000</v>
      </c>
      <c r="M4" s="5">
        <v>950000</v>
      </c>
      <c r="N4" s="5">
        <v>1000000</v>
      </c>
      <c r="P4" s="5">
        <v>400000</v>
      </c>
      <c r="Q4" s="5">
        <v>450000</v>
      </c>
      <c r="R4" s="5">
        <v>500000</v>
      </c>
      <c r="S4" s="5">
        <v>550000</v>
      </c>
      <c r="T4" s="5">
        <v>600000</v>
      </c>
      <c r="U4" s="5">
        <v>650000</v>
      </c>
      <c r="V4" s="5">
        <v>700000</v>
      </c>
      <c r="W4" s="5">
        <v>750000</v>
      </c>
      <c r="X4" s="5">
        <v>800000</v>
      </c>
      <c r="Y4" s="5">
        <v>850000</v>
      </c>
      <c r="Z4" s="5">
        <v>900000</v>
      </c>
      <c r="AA4" s="5">
        <v>950000</v>
      </c>
      <c r="AB4" s="5">
        <v>1000000</v>
      </c>
      <c r="AD4" s="5">
        <v>400000</v>
      </c>
      <c r="AE4" s="5">
        <v>450000</v>
      </c>
      <c r="AF4" s="5">
        <v>500000</v>
      </c>
      <c r="AG4" s="5">
        <v>550000</v>
      </c>
      <c r="AH4" s="5">
        <v>600000</v>
      </c>
      <c r="AI4" s="5">
        <v>650000</v>
      </c>
      <c r="AJ4" s="5">
        <v>700000</v>
      </c>
      <c r="AK4" s="5">
        <v>750000</v>
      </c>
      <c r="AL4" s="5">
        <v>800000</v>
      </c>
      <c r="AM4" s="5">
        <v>850000</v>
      </c>
      <c r="AN4" s="5">
        <v>900000</v>
      </c>
      <c r="AO4" s="5">
        <v>950000</v>
      </c>
      <c r="AP4" s="5">
        <v>1000000</v>
      </c>
    </row>
    <row r="5" spans="1:42" x14ac:dyDescent="0.2">
      <c r="A5" s="6" t="s">
        <v>47</v>
      </c>
      <c r="B5" s="5">
        <f>PMT($B$1/1200,180,-(1.04*B4-$F$2))+(0.0173*B4)/12+200</f>
        <v>2681.6617860886372</v>
      </c>
      <c r="C5" s="5">
        <f t="shared" ref="C5:N5" si="1">PMT($B$1/1200,360,-(1.04*C4-$F$2))+(0.0173*C4)/12+200</f>
        <v>2373.9799691682201</v>
      </c>
      <c r="D5" s="5">
        <f t="shared" si="1"/>
        <v>2709.5396636110117</v>
      </c>
      <c r="E5" s="5">
        <f t="shared" si="1"/>
        <v>3045.0993580538029</v>
      </c>
      <c r="F5" s="5">
        <f t="shared" si="1"/>
        <v>3380.6590524965941</v>
      </c>
      <c r="G5" s="5">
        <f t="shared" si="1"/>
        <v>3716.2187469393857</v>
      </c>
      <c r="H5" s="5">
        <f t="shared" si="1"/>
        <v>4051.7784413821769</v>
      </c>
      <c r="I5" s="5">
        <f t="shared" si="1"/>
        <v>4387.338135824968</v>
      </c>
      <c r="J5" s="5">
        <f t="shared" si="1"/>
        <v>4722.8978302677597</v>
      </c>
      <c r="K5" s="5">
        <f t="shared" si="1"/>
        <v>5058.4575247105504</v>
      </c>
      <c r="L5" s="5">
        <f t="shared" si="1"/>
        <v>5394.017219153342</v>
      </c>
      <c r="M5" s="5">
        <f t="shared" si="1"/>
        <v>5729.5769135961327</v>
      </c>
      <c r="N5" s="5">
        <f t="shared" si="1"/>
        <v>6065.1366080389244</v>
      </c>
    </row>
    <row r="7" spans="1:42" x14ac:dyDescent="0.2">
      <c r="A7" s="6" t="s">
        <v>46</v>
      </c>
      <c r="P7" s="5" t="s">
        <v>49</v>
      </c>
      <c r="AD7" s="5" t="s">
        <v>50</v>
      </c>
    </row>
    <row r="8" spans="1:42" x14ac:dyDescent="0.2">
      <c r="A8" s="6">
        <v>1</v>
      </c>
      <c r="B8" s="5">
        <f t="shared" ref="B8:N8" si="2">B4*(1.0374)^$A$8</f>
        <v>414960.00000000006</v>
      </c>
      <c r="C8" s="5">
        <f t="shared" si="2"/>
        <v>466830.00000000006</v>
      </c>
      <c r="D8" s="5">
        <f t="shared" si="2"/>
        <v>518700.00000000006</v>
      </c>
      <c r="E8" s="5">
        <f t="shared" si="2"/>
        <v>570570</v>
      </c>
      <c r="F8" s="5">
        <f t="shared" si="2"/>
        <v>622440.00000000012</v>
      </c>
      <c r="G8" s="5">
        <f t="shared" si="2"/>
        <v>674310.00000000012</v>
      </c>
      <c r="H8" s="5">
        <f t="shared" si="2"/>
        <v>726180.00000000012</v>
      </c>
      <c r="I8" s="5">
        <f t="shared" si="2"/>
        <v>778050.00000000012</v>
      </c>
      <c r="J8" s="5">
        <f t="shared" si="2"/>
        <v>829920.00000000012</v>
      </c>
      <c r="K8" s="5">
        <f t="shared" si="2"/>
        <v>881790.00000000012</v>
      </c>
      <c r="L8" s="5">
        <f t="shared" si="2"/>
        <v>933660.00000000012</v>
      </c>
      <c r="M8" s="5">
        <f t="shared" si="2"/>
        <v>985530.00000000012</v>
      </c>
      <c r="N8" s="5">
        <f t="shared" si="2"/>
        <v>1037400.0000000001</v>
      </c>
      <c r="P8" s="5">
        <f t="shared" ref="P8:AB8" si="3">P$4*0.8-(PMT($B$1/1200,360,-(0.8*B4))*12-((P$4*0.8*(1+$B$1/1200)^12)-P$4*0.8))</f>
        <v>315244.0281156748</v>
      </c>
      <c r="Q8" s="5">
        <f t="shared" si="3"/>
        <v>354649.53163013421</v>
      </c>
      <c r="R8" s="5">
        <f t="shared" si="3"/>
        <v>394055.03514459357</v>
      </c>
      <c r="S8" s="5">
        <f t="shared" si="3"/>
        <v>433460.53865905292</v>
      </c>
      <c r="T8" s="5">
        <f t="shared" si="3"/>
        <v>472866.04217351228</v>
      </c>
      <c r="U8" s="5">
        <f t="shared" si="3"/>
        <v>512271.54568797164</v>
      </c>
      <c r="V8" s="5">
        <f t="shared" si="3"/>
        <v>551677.04920243099</v>
      </c>
      <c r="W8" s="5">
        <f t="shared" si="3"/>
        <v>591082.55271689035</v>
      </c>
      <c r="X8" s="5">
        <f t="shared" si="3"/>
        <v>630488.05623134959</v>
      </c>
      <c r="Y8" s="5">
        <f t="shared" si="3"/>
        <v>669893.55974580906</v>
      </c>
      <c r="Z8" s="5">
        <f t="shared" si="3"/>
        <v>709299.06326026842</v>
      </c>
      <c r="AA8" s="5">
        <f t="shared" si="3"/>
        <v>748704.56677472778</v>
      </c>
      <c r="AB8" s="5">
        <f t="shared" si="3"/>
        <v>788110.07028918713</v>
      </c>
      <c r="AD8" s="5">
        <f>IF(B8-P8 &lt; B35, "No", B8-MAX(P8,0))</f>
        <v>99715.971884325263</v>
      </c>
      <c r="AE8" s="5">
        <f t="shared" ref="AE8:AP23" si="4">IF(C8-Q8 &lt; C35, "No", C8-MAX(Q8,0))</f>
        <v>112180.46836986585</v>
      </c>
      <c r="AF8" s="5">
        <f t="shared" si="4"/>
        <v>124644.96485540649</v>
      </c>
      <c r="AG8" s="5">
        <f t="shared" si="4"/>
        <v>137109.46134094708</v>
      </c>
      <c r="AH8" s="5">
        <f t="shared" si="4"/>
        <v>149573.95782648784</v>
      </c>
      <c r="AI8" s="5">
        <f t="shared" si="4"/>
        <v>162038.45431202848</v>
      </c>
      <c r="AJ8" s="5">
        <f t="shared" si="4"/>
        <v>174502.95079756912</v>
      </c>
      <c r="AK8" s="5">
        <f t="shared" si="4"/>
        <v>186967.44728310977</v>
      </c>
      <c r="AL8" s="5">
        <f t="shared" si="4"/>
        <v>199431.94376865053</v>
      </c>
      <c r="AM8" s="5">
        <f t="shared" si="4"/>
        <v>211896.44025419105</v>
      </c>
      <c r="AN8" s="5">
        <f t="shared" si="4"/>
        <v>224360.9367397317</v>
      </c>
      <c r="AO8" s="5">
        <f t="shared" si="4"/>
        <v>236825.43322527234</v>
      </c>
      <c r="AP8" s="5">
        <f t="shared" si="4"/>
        <v>249289.92971081298</v>
      </c>
    </row>
    <row r="9" spans="1:42" x14ac:dyDescent="0.2">
      <c r="A9" s="6">
        <f>A8+1</f>
        <v>2</v>
      </c>
      <c r="B9" s="5">
        <f t="shared" ref="B9:N9" si="5">B4*(1.0374)^$A$9</f>
        <v>430479.50400000007</v>
      </c>
      <c r="C9" s="5">
        <f t="shared" si="5"/>
        <v>484289.4420000001</v>
      </c>
      <c r="D9" s="5">
        <f t="shared" si="5"/>
        <v>538099.38000000012</v>
      </c>
      <c r="E9" s="5">
        <f t="shared" si="5"/>
        <v>591909.31800000009</v>
      </c>
      <c r="F9" s="5">
        <f t="shared" si="5"/>
        <v>645719.25600000017</v>
      </c>
      <c r="G9" s="5">
        <f t="shared" si="5"/>
        <v>699529.19400000013</v>
      </c>
      <c r="H9" s="5">
        <f t="shared" si="5"/>
        <v>753339.13200000022</v>
      </c>
      <c r="I9" s="5">
        <f t="shared" si="5"/>
        <v>807149.07000000018</v>
      </c>
      <c r="J9" s="5">
        <f t="shared" si="5"/>
        <v>860959.00800000015</v>
      </c>
      <c r="K9" s="5">
        <f t="shared" si="5"/>
        <v>914768.94600000023</v>
      </c>
      <c r="L9" s="5">
        <f t="shared" si="5"/>
        <v>968578.88400000019</v>
      </c>
      <c r="M9" s="5">
        <f t="shared" si="5"/>
        <v>1022388.8220000003</v>
      </c>
      <c r="N9" s="5">
        <f t="shared" si="5"/>
        <v>1076198.7600000002</v>
      </c>
      <c r="P9" s="5">
        <f t="shared" ref="P9:P32" si="6">MAX(0, P8-(PMT($B$1/1200,360,-(0.8*P$4))*12-((P8*(1+$B$1/1200)^12)-P8)))</f>
        <v>310269.56771508575</v>
      </c>
      <c r="Q9" s="5">
        <f t="shared" ref="Q9:Q32" si="7">MAX(0, Q8-(PMT($B$1/1200,360,-(0.8*Q$4))*12-((Q8*(1+$B$1/1200)^12)-Q8)))</f>
        <v>349053.26367947157</v>
      </c>
      <c r="R9" s="5">
        <f t="shared" ref="R9:R32" si="8">MAX(0, R8-(PMT($B$1/1200,360,-(0.8*R$4))*12-((R8*(1+$B$1/1200)^12)-R8)))</f>
        <v>387836.95964385726</v>
      </c>
      <c r="S9" s="5">
        <f t="shared" ref="S9:S32" si="9">MAX(0, S8-(PMT($B$1/1200,360,-(0.8*S$4))*12-((S8*(1+$B$1/1200)^12)-S8)))</f>
        <v>426620.65560824302</v>
      </c>
      <c r="T9" s="5">
        <f t="shared" ref="T9:T32" si="10">MAX(0, T8-(PMT($B$1/1200,360,-(0.8*T$4))*12-((T8*(1+$B$1/1200)^12)-T8)))</f>
        <v>465404.35157262877</v>
      </c>
      <c r="U9" s="5">
        <f t="shared" ref="U9:U32" si="11">MAX(0, U8-(PMT($B$1/1200,360,-(0.8*U$4))*12-((U8*(1+$B$1/1200)^12)-U8)))</f>
        <v>504188.04753701447</v>
      </c>
      <c r="V9" s="5">
        <f t="shared" ref="V9:V32" si="12">MAX(0, V8-(PMT($B$1/1200,360,-(0.8*V$4))*12-((V8*(1+$B$1/1200)^12)-V8)))</f>
        <v>542971.74350140011</v>
      </c>
      <c r="W9" s="5">
        <f t="shared" ref="W9:W32" si="13">MAX(0, W8-(PMT($B$1/1200,360,-(0.8*W$4))*12-((W8*(1+$B$1/1200)^12)-W8)))</f>
        <v>581755.43946578598</v>
      </c>
      <c r="X9" s="5">
        <f t="shared" ref="X9:X32" si="14">MAX(0, X8-(PMT($B$1/1200,360,-(0.8*X$4))*12-((X8*(1+$B$1/1200)^12)-X8)))</f>
        <v>620539.1354301715</v>
      </c>
      <c r="Y9" s="5">
        <f t="shared" ref="Y9:Y32" si="15">MAX(0, Y8-(PMT($B$1/1200,360,-(0.8*Y$4))*12-((Y8*(1+$B$1/1200)^12)-Y8)))</f>
        <v>659322.83139455738</v>
      </c>
      <c r="Z9" s="5">
        <f t="shared" ref="Z9:Z32" si="16">MAX(0, Z8-(PMT($B$1/1200,360,-(0.8*Z$4))*12-((Z8*(1+$B$1/1200)^12)-Z8)))</f>
        <v>698106.52735894313</v>
      </c>
      <c r="AA9" s="5">
        <f t="shared" ref="AA9:AA32" si="17">MAX(0, AA8-(PMT($B$1/1200,360,-(0.8*AA$4))*12-((AA8*(1+$B$1/1200)^12)-AA8)))</f>
        <v>736890.22332332889</v>
      </c>
      <c r="AB9" s="5">
        <f t="shared" ref="AB9:AB32" si="18">MAX(0, AB8-(PMT($B$1/1200,360,-(0.8*AB$4))*12-((AB8*(1+$B$1/1200)^12)-AB8)))</f>
        <v>775673.91928771453</v>
      </c>
      <c r="AD9" s="5">
        <f t="shared" ref="AD9:AP32" si="19">IF(B9-P9 &lt; B36, "No", B9-MAX(P9,0))</f>
        <v>120209.93628491432</v>
      </c>
      <c r="AE9" s="5">
        <f t="shared" si="4"/>
        <v>135236.17832052853</v>
      </c>
      <c r="AF9" s="5">
        <f t="shared" si="4"/>
        <v>150262.42035614286</v>
      </c>
      <c r="AG9" s="5">
        <f t="shared" si="4"/>
        <v>165288.66239175707</v>
      </c>
      <c r="AH9" s="5">
        <f t="shared" si="4"/>
        <v>180314.9044273714</v>
      </c>
      <c r="AI9" s="5">
        <f t="shared" si="4"/>
        <v>195341.14646298566</v>
      </c>
      <c r="AJ9" s="5">
        <f t="shared" si="4"/>
        <v>210367.38849860011</v>
      </c>
      <c r="AK9" s="5">
        <f t="shared" si="4"/>
        <v>225393.6305342142</v>
      </c>
      <c r="AL9" s="5">
        <f t="shared" si="4"/>
        <v>240419.87256982864</v>
      </c>
      <c r="AM9" s="5">
        <f t="shared" si="4"/>
        <v>255446.11460544285</v>
      </c>
      <c r="AN9" s="5">
        <f t="shared" si="4"/>
        <v>270472.35664105706</v>
      </c>
      <c r="AO9" s="5">
        <f t="shared" si="4"/>
        <v>285498.59867667139</v>
      </c>
      <c r="AP9" s="5">
        <f t="shared" si="4"/>
        <v>300524.84071228572</v>
      </c>
    </row>
    <row r="10" spans="1:42" x14ac:dyDescent="0.2">
      <c r="A10" s="6">
        <f t="shared" ref="A10:A32" si="20">A9+1</f>
        <v>3</v>
      </c>
      <c r="B10" s="5">
        <f t="shared" ref="B10:N10" si="21">B4*(1.0374)^$A$10</f>
        <v>446579.43744960014</v>
      </c>
      <c r="C10" s="5">
        <f t="shared" si="21"/>
        <v>502401.86713080015</v>
      </c>
      <c r="D10" s="5">
        <f t="shared" si="21"/>
        <v>558224.2968120001</v>
      </c>
      <c r="E10" s="5">
        <f t="shared" si="21"/>
        <v>614046.72649320017</v>
      </c>
      <c r="F10" s="5">
        <f t="shared" si="21"/>
        <v>669869.15617440012</v>
      </c>
      <c r="G10" s="5">
        <f t="shared" si="21"/>
        <v>725691.58585560019</v>
      </c>
      <c r="H10" s="5">
        <f t="shared" si="21"/>
        <v>781514.01553680014</v>
      </c>
      <c r="I10" s="5">
        <f t="shared" si="21"/>
        <v>837336.44521800021</v>
      </c>
      <c r="J10" s="5">
        <f t="shared" si="21"/>
        <v>893158.87489920028</v>
      </c>
      <c r="K10" s="5">
        <f t="shared" si="21"/>
        <v>948981.30458040023</v>
      </c>
      <c r="L10" s="5">
        <f t="shared" si="21"/>
        <v>1004803.7342616003</v>
      </c>
      <c r="M10" s="5">
        <f t="shared" si="21"/>
        <v>1060626.1639428004</v>
      </c>
      <c r="N10" s="5">
        <f t="shared" si="21"/>
        <v>1116448.5936240002</v>
      </c>
      <c r="P10" s="5">
        <f t="shared" si="6"/>
        <v>305066.5814740223</v>
      </c>
      <c r="Q10" s="5">
        <f t="shared" si="7"/>
        <v>343199.90415827523</v>
      </c>
      <c r="R10" s="5">
        <f t="shared" si="8"/>
        <v>381333.22684252798</v>
      </c>
      <c r="S10" s="5">
        <f t="shared" si="9"/>
        <v>419466.54952678079</v>
      </c>
      <c r="T10" s="5">
        <f t="shared" si="10"/>
        <v>457599.87221103365</v>
      </c>
      <c r="U10" s="5">
        <f t="shared" si="11"/>
        <v>495733.19489528646</v>
      </c>
      <c r="V10" s="5">
        <f t="shared" si="12"/>
        <v>533866.51757953921</v>
      </c>
      <c r="W10" s="5">
        <f t="shared" si="13"/>
        <v>571999.84026379208</v>
      </c>
      <c r="X10" s="5">
        <f t="shared" si="14"/>
        <v>610133.1629480446</v>
      </c>
      <c r="Y10" s="5">
        <f t="shared" si="15"/>
        <v>648266.48563229758</v>
      </c>
      <c r="Z10" s="5">
        <f t="shared" si="16"/>
        <v>686399.80831655045</v>
      </c>
      <c r="AA10" s="5">
        <f t="shared" si="17"/>
        <v>724533.13100080332</v>
      </c>
      <c r="AB10" s="5">
        <f t="shared" si="18"/>
        <v>762666.45368505595</v>
      </c>
      <c r="AD10" s="5">
        <f t="shared" si="19"/>
        <v>141512.85597557784</v>
      </c>
      <c r="AE10" s="5">
        <f t="shared" si="4"/>
        <v>159201.96297252493</v>
      </c>
      <c r="AF10" s="5">
        <f t="shared" si="4"/>
        <v>176891.06996947213</v>
      </c>
      <c r="AG10" s="5">
        <f t="shared" si="4"/>
        <v>194580.17696641939</v>
      </c>
      <c r="AH10" s="5">
        <f t="shared" si="4"/>
        <v>212269.28396336647</v>
      </c>
      <c r="AI10" s="5">
        <f t="shared" si="4"/>
        <v>229958.39096031373</v>
      </c>
      <c r="AJ10" s="5">
        <f t="shared" si="4"/>
        <v>247647.49795726093</v>
      </c>
      <c r="AK10" s="5">
        <f t="shared" si="4"/>
        <v>265336.60495420813</v>
      </c>
      <c r="AL10" s="5">
        <f t="shared" si="4"/>
        <v>283025.71195115568</v>
      </c>
      <c r="AM10" s="5">
        <f t="shared" si="4"/>
        <v>300714.81894810265</v>
      </c>
      <c r="AN10" s="5">
        <f t="shared" si="4"/>
        <v>318403.92594504985</v>
      </c>
      <c r="AO10" s="5">
        <f t="shared" si="4"/>
        <v>336093.03294199705</v>
      </c>
      <c r="AP10" s="5">
        <f t="shared" si="4"/>
        <v>353782.13993894425</v>
      </c>
    </row>
    <row r="11" spans="1:42" x14ac:dyDescent="0.2">
      <c r="A11" s="6">
        <f t="shared" si="20"/>
        <v>4</v>
      </c>
      <c r="B11" s="5">
        <f t="shared" ref="B11:N11" si="22">B4*(1.0374)^$A$11</f>
        <v>463281.50841021526</v>
      </c>
      <c r="C11" s="5">
        <f t="shared" si="22"/>
        <v>521191.69696149218</v>
      </c>
      <c r="D11" s="5">
        <f t="shared" si="22"/>
        <v>579101.88551276911</v>
      </c>
      <c r="E11" s="5">
        <f t="shared" si="22"/>
        <v>637012.07406404603</v>
      </c>
      <c r="F11" s="5">
        <f t="shared" si="22"/>
        <v>694922.26261532295</v>
      </c>
      <c r="G11" s="5">
        <f t="shared" si="22"/>
        <v>752832.45116659976</v>
      </c>
      <c r="H11" s="5">
        <f t="shared" si="22"/>
        <v>810742.63971787668</v>
      </c>
      <c r="I11" s="5">
        <f t="shared" si="22"/>
        <v>868652.8282691536</v>
      </c>
      <c r="J11" s="5">
        <f t="shared" si="22"/>
        <v>926563.01682043052</v>
      </c>
      <c r="K11" s="5">
        <f t="shared" si="22"/>
        <v>984473.20537170745</v>
      </c>
      <c r="L11" s="5">
        <f t="shared" si="22"/>
        <v>1042383.3939229844</v>
      </c>
      <c r="M11" s="5">
        <f t="shared" si="22"/>
        <v>1100293.5824742613</v>
      </c>
      <c r="N11" s="5">
        <f t="shared" si="22"/>
        <v>1158203.7710255382</v>
      </c>
      <c r="P11" s="5">
        <f t="shared" si="6"/>
        <v>299624.57095535583</v>
      </c>
      <c r="Q11" s="5">
        <f t="shared" si="7"/>
        <v>337077.64232477546</v>
      </c>
      <c r="R11" s="5">
        <f t="shared" si="8"/>
        <v>374530.71369419486</v>
      </c>
      <c r="S11" s="5">
        <f t="shared" si="9"/>
        <v>411983.78506361437</v>
      </c>
      <c r="T11" s="5">
        <f t="shared" si="10"/>
        <v>449436.85643303394</v>
      </c>
      <c r="U11" s="5">
        <f t="shared" si="11"/>
        <v>486889.92780245346</v>
      </c>
      <c r="V11" s="5">
        <f t="shared" si="12"/>
        <v>524342.99917187286</v>
      </c>
      <c r="W11" s="5">
        <f t="shared" si="13"/>
        <v>561796.07054129243</v>
      </c>
      <c r="X11" s="5">
        <f t="shared" si="14"/>
        <v>599249.14191071165</v>
      </c>
      <c r="Y11" s="5">
        <f t="shared" si="15"/>
        <v>636702.21328013134</v>
      </c>
      <c r="Z11" s="5">
        <f t="shared" si="16"/>
        <v>674155.28464955091</v>
      </c>
      <c r="AA11" s="5">
        <f t="shared" si="17"/>
        <v>711608.35601897049</v>
      </c>
      <c r="AB11" s="5">
        <f t="shared" si="18"/>
        <v>749061.42738838971</v>
      </c>
      <c r="AD11" s="5">
        <f t="shared" si="19"/>
        <v>163656.93745485944</v>
      </c>
      <c r="AE11" s="5">
        <f t="shared" si="4"/>
        <v>184114.05463671673</v>
      </c>
      <c r="AF11" s="5">
        <f t="shared" si="4"/>
        <v>204571.17181857425</v>
      </c>
      <c r="AG11" s="5">
        <f t="shared" si="4"/>
        <v>225028.28900043166</v>
      </c>
      <c r="AH11" s="5">
        <f t="shared" si="4"/>
        <v>245485.40618228901</v>
      </c>
      <c r="AI11" s="5">
        <f t="shared" si="4"/>
        <v>265942.5233641463</v>
      </c>
      <c r="AJ11" s="5">
        <f t="shared" si="4"/>
        <v>286399.64054600382</v>
      </c>
      <c r="AK11" s="5">
        <f t="shared" si="4"/>
        <v>306856.75772786117</v>
      </c>
      <c r="AL11" s="5">
        <f t="shared" si="4"/>
        <v>327313.87490971887</v>
      </c>
      <c r="AM11" s="5">
        <f t="shared" si="4"/>
        <v>347770.9920915761</v>
      </c>
      <c r="AN11" s="5">
        <f t="shared" si="4"/>
        <v>368228.10927343345</v>
      </c>
      <c r="AO11" s="5">
        <f t="shared" si="4"/>
        <v>388685.2264552908</v>
      </c>
      <c r="AP11" s="5">
        <f t="shared" si="4"/>
        <v>409142.3436371485</v>
      </c>
    </row>
    <row r="12" spans="1:42" s="8" customFormat="1" x14ac:dyDescent="0.2">
      <c r="A12" s="88">
        <f t="shared" si="20"/>
        <v>5</v>
      </c>
      <c r="B12" s="89">
        <f t="shared" ref="B12:N12" si="23">B4*(1.0374)^$A$12</f>
        <v>480608.23682475736</v>
      </c>
      <c r="C12" s="89">
        <f t="shared" si="23"/>
        <v>540684.2664278521</v>
      </c>
      <c r="D12" s="89">
        <f t="shared" si="23"/>
        <v>600760.29603094677</v>
      </c>
      <c r="E12" s="89">
        <f t="shared" si="23"/>
        <v>660836.32563404134</v>
      </c>
      <c r="F12" s="89">
        <f t="shared" si="23"/>
        <v>720912.35523713601</v>
      </c>
      <c r="G12" s="89">
        <f t="shared" si="23"/>
        <v>780988.38484023069</v>
      </c>
      <c r="H12" s="89">
        <f t="shared" si="23"/>
        <v>841064.41444332537</v>
      </c>
      <c r="I12" s="89">
        <f t="shared" si="23"/>
        <v>901140.44404642005</v>
      </c>
      <c r="J12" s="89">
        <f t="shared" si="23"/>
        <v>961216.47364951472</v>
      </c>
      <c r="K12" s="89">
        <f t="shared" si="23"/>
        <v>1021292.5032526094</v>
      </c>
      <c r="L12" s="89">
        <f t="shared" si="23"/>
        <v>1081368.5328557042</v>
      </c>
      <c r="M12" s="89">
        <f t="shared" si="23"/>
        <v>1141444.5624587988</v>
      </c>
      <c r="N12" s="92">
        <f t="shared" si="23"/>
        <v>1201520.5920618935</v>
      </c>
      <c r="P12" s="93">
        <f t="shared" si="6"/>
        <v>293932.55542559276</v>
      </c>
      <c r="Q12" s="90">
        <f t="shared" si="7"/>
        <v>330674.12485379202</v>
      </c>
      <c r="R12" s="90">
        <f t="shared" si="8"/>
        <v>367415.69428199105</v>
      </c>
      <c r="S12" s="90">
        <f t="shared" si="9"/>
        <v>404157.26371019013</v>
      </c>
      <c r="T12" s="90">
        <f t="shared" si="10"/>
        <v>440898.83313838934</v>
      </c>
      <c r="U12" s="90">
        <f t="shared" si="11"/>
        <v>477640.40256658848</v>
      </c>
      <c r="V12" s="90">
        <f t="shared" si="12"/>
        <v>514381.97199478751</v>
      </c>
      <c r="W12" s="90">
        <f t="shared" si="13"/>
        <v>551123.54142298677</v>
      </c>
      <c r="X12" s="90">
        <f t="shared" si="14"/>
        <v>587865.11085118551</v>
      </c>
      <c r="Y12" s="90">
        <f t="shared" si="15"/>
        <v>624606.68027938483</v>
      </c>
      <c r="Z12" s="90">
        <f t="shared" si="16"/>
        <v>661348.24970758404</v>
      </c>
      <c r="AA12" s="90">
        <f t="shared" si="17"/>
        <v>698089.81913578324</v>
      </c>
      <c r="AB12" s="91">
        <f t="shared" si="18"/>
        <v>734831.38856398209</v>
      </c>
      <c r="AD12" s="93">
        <f t="shared" si="19"/>
        <v>186675.6813991646</v>
      </c>
      <c r="AE12" s="90">
        <f t="shared" si="4"/>
        <v>210010.14157406008</v>
      </c>
      <c r="AF12" s="90">
        <f t="shared" si="4"/>
        <v>233344.60174895573</v>
      </c>
      <c r="AG12" s="90">
        <f t="shared" si="4"/>
        <v>256679.0619238512</v>
      </c>
      <c r="AH12" s="90">
        <f t="shared" si="4"/>
        <v>280013.52209874667</v>
      </c>
      <c r="AI12" s="90">
        <f t="shared" si="4"/>
        <v>303347.98227364221</v>
      </c>
      <c r="AJ12" s="90">
        <f t="shared" si="4"/>
        <v>326682.44244853785</v>
      </c>
      <c r="AK12" s="90">
        <f t="shared" si="4"/>
        <v>350016.90262343327</v>
      </c>
      <c r="AL12" s="90">
        <f t="shared" si="4"/>
        <v>373351.36279832921</v>
      </c>
      <c r="AM12" s="90">
        <f t="shared" si="4"/>
        <v>396685.82297322457</v>
      </c>
      <c r="AN12" s="90">
        <f t="shared" si="4"/>
        <v>420020.28314812016</v>
      </c>
      <c r="AO12" s="90">
        <f t="shared" si="4"/>
        <v>443354.74332301551</v>
      </c>
      <c r="AP12" s="91">
        <f t="shared" si="4"/>
        <v>466689.20349791145</v>
      </c>
    </row>
    <row r="13" spans="1:42" x14ac:dyDescent="0.2">
      <c r="A13" s="6">
        <f t="shared" si="20"/>
        <v>6</v>
      </c>
      <c r="B13" s="5">
        <f t="shared" ref="B13:N13" si="24">B4*(1.0374)^$A$13</f>
        <v>498582.98488200339</v>
      </c>
      <c r="C13" s="5">
        <f t="shared" si="24"/>
        <v>560905.85799225373</v>
      </c>
      <c r="D13" s="5">
        <f t="shared" si="24"/>
        <v>623228.73110250419</v>
      </c>
      <c r="E13" s="5">
        <f t="shared" si="24"/>
        <v>685551.60421275464</v>
      </c>
      <c r="F13" s="5">
        <f t="shared" si="24"/>
        <v>747874.47732300509</v>
      </c>
      <c r="G13" s="5">
        <f t="shared" si="24"/>
        <v>810197.35043325543</v>
      </c>
      <c r="H13" s="5">
        <f t="shared" si="24"/>
        <v>872520.22354350588</v>
      </c>
      <c r="I13" s="5">
        <f t="shared" si="24"/>
        <v>934843.09665375634</v>
      </c>
      <c r="J13" s="5">
        <f t="shared" si="24"/>
        <v>997165.96976400679</v>
      </c>
      <c r="K13" s="5">
        <f t="shared" si="24"/>
        <v>1059488.8428742571</v>
      </c>
      <c r="L13" s="5">
        <f t="shared" si="24"/>
        <v>1121811.7159845075</v>
      </c>
      <c r="M13" s="5">
        <f t="shared" si="24"/>
        <v>1184134.589094758</v>
      </c>
      <c r="N13" s="5">
        <f t="shared" si="24"/>
        <v>1246457.4622050084</v>
      </c>
      <c r="P13" s="5">
        <f t="shared" si="6"/>
        <v>287979.04969826405</v>
      </c>
      <c r="Q13" s="5">
        <f t="shared" si="7"/>
        <v>323976.43091054721</v>
      </c>
      <c r="R13" s="5">
        <f t="shared" si="8"/>
        <v>359973.81212283019</v>
      </c>
      <c r="S13" s="5">
        <f t="shared" si="9"/>
        <v>395971.19333511317</v>
      </c>
      <c r="T13" s="5">
        <f t="shared" si="10"/>
        <v>431968.57454739633</v>
      </c>
      <c r="U13" s="5">
        <f t="shared" si="11"/>
        <v>467965.95575967937</v>
      </c>
      <c r="V13" s="5">
        <f t="shared" si="12"/>
        <v>503963.3369719623</v>
      </c>
      <c r="W13" s="5">
        <f t="shared" si="13"/>
        <v>539960.71818424552</v>
      </c>
      <c r="X13" s="5">
        <f t="shared" si="14"/>
        <v>575958.09939652809</v>
      </c>
      <c r="Y13" s="5">
        <f t="shared" si="15"/>
        <v>611955.48060881137</v>
      </c>
      <c r="Z13" s="5">
        <f t="shared" si="16"/>
        <v>647952.86182109441</v>
      </c>
      <c r="AA13" s="5">
        <f t="shared" si="17"/>
        <v>683950.24303337769</v>
      </c>
      <c r="AB13" s="5">
        <f t="shared" si="18"/>
        <v>719947.62424566038</v>
      </c>
      <c r="AD13" s="5">
        <f t="shared" si="19"/>
        <v>210603.93518373935</v>
      </c>
      <c r="AE13" s="5">
        <f t="shared" si="4"/>
        <v>236929.42708170653</v>
      </c>
      <c r="AF13" s="5">
        <f t="shared" si="4"/>
        <v>263254.918979674</v>
      </c>
      <c r="AG13" s="5">
        <f t="shared" si="4"/>
        <v>289580.41087764147</v>
      </c>
      <c r="AH13" s="5">
        <f t="shared" si="4"/>
        <v>315905.90277560876</v>
      </c>
      <c r="AI13" s="5">
        <f t="shared" si="4"/>
        <v>342231.39467357605</v>
      </c>
      <c r="AJ13" s="5">
        <f t="shared" si="4"/>
        <v>368556.88657154358</v>
      </c>
      <c r="AK13" s="5">
        <f t="shared" si="4"/>
        <v>394882.37846951082</v>
      </c>
      <c r="AL13" s="5">
        <f t="shared" si="4"/>
        <v>421207.8703674787</v>
      </c>
      <c r="AM13" s="5">
        <f t="shared" si="4"/>
        <v>447533.36226544576</v>
      </c>
      <c r="AN13" s="5">
        <f t="shared" si="4"/>
        <v>473858.85416341305</v>
      </c>
      <c r="AO13" s="5">
        <f t="shared" si="4"/>
        <v>500184.34606138035</v>
      </c>
      <c r="AP13" s="5">
        <f t="shared" si="4"/>
        <v>526509.83795934799</v>
      </c>
    </row>
    <row r="14" spans="1:42" x14ac:dyDescent="0.2">
      <c r="A14" s="6">
        <f t="shared" si="20"/>
        <v>7</v>
      </c>
      <c r="B14" s="5">
        <f t="shared" ref="B14:N14" si="25">B4*(1.0374)^$A$14</f>
        <v>517229.98851659033</v>
      </c>
      <c r="C14" s="5">
        <f t="shared" si="25"/>
        <v>581883.73708116414</v>
      </c>
      <c r="D14" s="5">
        <f t="shared" si="25"/>
        <v>646537.48564573785</v>
      </c>
      <c r="E14" s="5">
        <f t="shared" si="25"/>
        <v>711191.23421031167</v>
      </c>
      <c r="F14" s="5">
        <f t="shared" si="25"/>
        <v>775844.98277488549</v>
      </c>
      <c r="G14" s="5">
        <f t="shared" si="25"/>
        <v>840498.73133945919</v>
      </c>
      <c r="H14" s="5">
        <f t="shared" si="25"/>
        <v>905152.47990403301</v>
      </c>
      <c r="I14" s="5">
        <f t="shared" si="25"/>
        <v>969806.22846860683</v>
      </c>
      <c r="J14" s="5">
        <f t="shared" si="25"/>
        <v>1034459.9770331807</v>
      </c>
      <c r="K14" s="5">
        <f t="shared" si="25"/>
        <v>1099113.7255977544</v>
      </c>
      <c r="L14" s="5">
        <f t="shared" si="25"/>
        <v>1163767.4741623283</v>
      </c>
      <c r="M14" s="5">
        <f t="shared" si="25"/>
        <v>1228421.222726902</v>
      </c>
      <c r="N14" s="5">
        <f t="shared" si="25"/>
        <v>1293074.9712914757</v>
      </c>
      <c r="P14" s="5">
        <f t="shared" si="6"/>
        <v>281752.04095944372</v>
      </c>
      <c r="Q14" s="5">
        <f t="shared" si="7"/>
        <v>316971.04607937433</v>
      </c>
      <c r="R14" s="5">
        <f t="shared" si="8"/>
        <v>352190.05119930475</v>
      </c>
      <c r="S14" s="5">
        <f t="shared" si="9"/>
        <v>387409.05631923524</v>
      </c>
      <c r="T14" s="5">
        <f t="shared" si="10"/>
        <v>422628.06143916585</v>
      </c>
      <c r="U14" s="5">
        <f t="shared" si="11"/>
        <v>457847.06655909639</v>
      </c>
      <c r="V14" s="5">
        <f t="shared" si="12"/>
        <v>493066.07167902676</v>
      </c>
      <c r="W14" s="5">
        <f t="shared" si="13"/>
        <v>528285.07679895742</v>
      </c>
      <c r="X14" s="5">
        <f t="shared" si="14"/>
        <v>563504.08191888744</v>
      </c>
      <c r="Y14" s="5">
        <f t="shared" si="15"/>
        <v>598723.08703881816</v>
      </c>
      <c r="Z14" s="5">
        <f t="shared" si="16"/>
        <v>633942.09215874865</v>
      </c>
      <c r="AA14" s="5">
        <f t="shared" si="17"/>
        <v>669161.09727867949</v>
      </c>
      <c r="AB14" s="5">
        <f t="shared" si="18"/>
        <v>704380.10239860951</v>
      </c>
      <c r="AD14" s="5">
        <f t="shared" si="19"/>
        <v>235477.9475571466</v>
      </c>
      <c r="AE14" s="5">
        <f t="shared" si="4"/>
        <v>264912.69100178982</v>
      </c>
      <c r="AF14" s="5">
        <f t="shared" si="4"/>
        <v>294347.43444643309</v>
      </c>
      <c r="AG14" s="5">
        <f t="shared" si="4"/>
        <v>323782.17789107643</v>
      </c>
      <c r="AH14" s="5">
        <f t="shared" si="4"/>
        <v>353216.92133571964</v>
      </c>
      <c r="AI14" s="5">
        <f t="shared" si="4"/>
        <v>382651.6647803628</v>
      </c>
      <c r="AJ14" s="5">
        <f t="shared" si="4"/>
        <v>412086.40822500625</v>
      </c>
      <c r="AK14" s="5">
        <f t="shared" si="4"/>
        <v>441521.15166964941</v>
      </c>
      <c r="AL14" s="5">
        <f t="shared" si="4"/>
        <v>470955.89511429321</v>
      </c>
      <c r="AM14" s="5">
        <f t="shared" si="4"/>
        <v>500390.63855893619</v>
      </c>
      <c r="AN14" s="5">
        <f t="shared" si="4"/>
        <v>529825.38200357964</v>
      </c>
      <c r="AO14" s="5">
        <f t="shared" si="4"/>
        <v>559260.1254482225</v>
      </c>
      <c r="AP14" s="5">
        <f t="shared" si="4"/>
        <v>588694.86889286619</v>
      </c>
    </row>
    <row r="15" spans="1:42" x14ac:dyDescent="0.2">
      <c r="A15" s="6">
        <f t="shared" si="20"/>
        <v>8</v>
      </c>
      <c r="B15" s="5">
        <f t="shared" ref="B15:N15" si="26">B4*(1.0374)^$A$15</f>
        <v>536574.39008711092</v>
      </c>
      <c r="C15" s="5">
        <f t="shared" si="26"/>
        <v>603646.18884799979</v>
      </c>
      <c r="D15" s="5">
        <f t="shared" si="26"/>
        <v>670717.98760888865</v>
      </c>
      <c r="E15" s="5">
        <f t="shared" si="26"/>
        <v>737789.78636977752</v>
      </c>
      <c r="F15" s="5">
        <f t="shared" si="26"/>
        <v>804861.58513066638</v>
      </c>
      <c r="G15" s="5">
        <f t="shared" si="26"/>
        <v>871933.38389155525</v>
      </c>
      <c r="H15" s="5">
        <f t="shared" si="26"/>
        <v>939005.18265244411</v>
      </c>
      <c r="I15" s="5">
        <f t="shared" si="26"/>
        <v>1006076.981413333</v>
      </c>
      <c r="J15" s="5">
        <f t="shared" si="26"/>
        <v>1073148.7801742218</v>
      </c>
      <c r="K15" s="5">
        <f t="shared" si="26"/>
        <v>1140220.5789351107</v>
      </c>
      <c r="L15" s="5">
        <f t="shared" si="26"/>
        <v>1207292.3776959996</v>
      </c>
      <c r="M15" s="5">
        <f t="shared" si="26"/>
        <v>1274364.1764568884</v>
      </c>
      <c r="N15" s="5">
        <f t="shared" si="26"/>
        <v>1341435.9752177773</v>
      </c>
      <c r="P15" s="5">
        <f t="shared" si="6"/>
        <v>275238.96452863573</v>
      </c>
      <c r="Q15" s="5">
        <f t="shared" si="7"/>
        <v>309643.83509471535</v>
      </c>
      <c r="R15" s="5">
        <f t="shared" si="8"/>
        <v>344048.7056607948</v>
      </c>
      <c r="S15" s="5">
        <f t="shared" si="9"/>
        <v>378453.57622687431</v>
      </c>
      <c r="T15" s="5">
        <f t="shared" si="10"/>
        <v>412858.44679295394</v>
      </c>
      <c r="U15" s="5">
        <f t="shared" si="11"/>
        <v>447263.31735903351</v>
      </c>
      <c r="V15" s="5">
        <f t="shared" si="12"/>
        <v>481668.18792511284</v>
      </c>
      <c r="W15" s="5">
        <f t="shared" si="13"/>
        <v>516073.05849119253</v>
      </c>
      <c r="X15" s="5">
        <f t="shared" si="14"/>
        <v>550477.92905727145</v>
      </c>
      <c r="Y15" s="5">
        <f t="shared" si="15"/>
        <v>584882.79962335131</v>
      </c>
      <c r="Z15" s="5">
        <f t="shared" si="16"/>
        <v>619287.6701894307</v>
      </c>
      <c r="AA15" s="5">
        <f t="shared" si="17"/>
        <v>653692.54075551068</v>
      </c>
      <c r="AB15" s="5">
        <f t="shared" si="18"/>
        <v>688097.41132158961</v>
      </c>
      <c r="AD15" s="5">
        <f t="shared" si="19"/>
        <v>261335.4255584752</v>
      </c>
      <c r="AE15" s="5">
        <f t="shared" si="4"/>
        <v>294002.35375328443</v>
      </c>
      <c r="AF15" s="5">
        <f t="shared" si="4"/>
        <v>326669.28194809385</v>
      </c>
      <c r="AG15" s="5">
        <f t="shared" si="4"/>
        <v>359336.2101429032</v>
      </c>
      <c r="AH15" s="5">
        <f t="shared" si="4"/>
        <v>392003.13833771244</v>
      </c>
      <c r="AI15" s="5">
        <f t="shared" si="4"/>
        <v>424670.06653252174</v>
      </c>
      <c r="AJ15" s="5">
        <f t="shared" si="4"/>
        <v>457336.99472733127</v>
      </c>
      <c r="AK15" s="5">
        <f t="shared" si="4"/>
        <v>490003.92292214045</v>
      </c>
      <c r="AL15" s="5">
        <f t="shared" si="4"/>
        <v>522670.85111695039</v>
      </c>
      <c r="AM15" s="5">
        <f t="shared" si="4"/>
        <v>555337.7793117594</v>
      </c>
      <c r="AN15" s="5">
        <f t="shared" si="4"/>
        <v>588004.70750656887</v>
      </c>
      <c r="AO15" s="5">
        <f t="shared" si="4"/>
        <v>620671.63570137776</v>
      </c>
      <c r="AP15" s="5">
        <f t="shared" si="4"/>
        <v>653338.5638961877</v>
      </c>
    </row>
    <row r="16" spans="1:42" x14ac:dyDescent="0.2">
      <c r="A16" s="6">
        <f t="shared" si="20"/>
        <v>9</v>
      </c>
      <c r="B16" s="5">
        <f t="shared" ref="B16:N16" si="27">B4*(1.0374)^$A$16</f>
        <v>556642.27227636892</v>
      </c>
      <c r="C16" s="5">
        <f t="shared" si="27"/>
        <v>626222.55631091504</v>
      </c>
      <c r="D16" s="5">
        <f t="shared" si="27"/>
        <v>695802.84034546115</v>
      </c>
      <c r="E16" s="5">
        <f t="shared" si="27"/>
        <v>765383.12438000727</v>
      </c>
      <c r="F16" s="5">
        <f t="shared" si="27"/>
        <v>834963.40841455339</v>
      </c>
      <c r="G16" s="5">
        <f t="shared" si="27"/>
        <v>904543.6924490995</v>
      </c>
      <c r="H16" s="5">
        <f t="shared" si="27"/>
        <v>974123.97648364562</v>
      </c>
      <c r="I16" s="5">
        <f t="shared" si="27"/>
        <v>1043704.2605181917</v>
      </c>
      <c r="J16" s="5">
        <f t="shared" si="27"/>
        <v>1113284.5445527378</v>
      </c>
      <c r="K16" s="5">
        <f t="shared" si="27"/>
        <v>1182864.8285872838</v>
      </c>
      <c r="L16" s="5">
        <f t="shared" si="27"/>
        <v>1252445.1126218301</v>
      </c>
      <c r="M16" s="5">
        <f t="shared" si="27"/>
        <v>1322025.3966563761</v>
      </c>
      <c r="N16" s="5">
        <f t="shared" si="27"/>
        <v>1391605.6806909223</v>
      </c>
      <c r="P16" s="5">
        <f t="shared" si="6"/>
        <v>268426.67850612046</v>
      </c>
      <c r="Q16" s="5">
        <f t="shared" si="7"/>
        <v>301980.0133193857</v>
      </c>
      <c r="R16" s="5">
        <f t="shared" si="8"/>
        <v>335533.34813265072</v>
      </c>
      <c r="S16" s="5">
        <f t="shared" si="9"/>
        <v>369086.68294591585</v>
      </c>
      <c r="T16" s="5">
        <f t="shared" si="10"/>
        <v>402640.01775918109</v>
      </c>
      <c r="U16" s="5">
        <f t="shared" si="11"/>
        <v>436193.35257244622</v>
      </c>
      <c r="V16" s="5">
        <f t="shared" si="12"/>
        <v>469746.68738571118</v>
      </c>
      <c r="W16" s="5">
        <f t="shared" si="13"/>
        <v>503300.02219897648</v>
      </c>
      <c r="X16" s="5">
        <f t="shared" si="14"/>
        <v>536853.35701224091</v>
      </c>
      <c r="Y16" s="5">
        <f t="shared" si="15"/>
        <v>570406.69182550639</v>
      </c>
      <c r="Z16" s="5">
        <f t="shared" si="16"/>
        <v>603960.02663877141</v>
      </c>
      <c r="AA16" s="5">
        <f t="shared" si="17"/>
        <v>637513.361452037</v>
      </c>
      <c r="AB16" s="5">
        <f t="shared" si="18"/>
        <v>671066.69626530143</v>
      </c>
      <c r="AD16" s="5" t="str">
        <f t="shared" si="19"/>
        <v>No</v>
      </c>
      <c r="AE16" s="5">
        <f t="shared" si="4"/>
        <v>324242.54299152934</v>
      </c>
      <c r="AF16" s="5">
        <f t="shared" si="4"/>
        <v>360269.49221281044</v>
      </c>
      <c r="AG16" s="5">
        <f t="shared" si="4"/>
        <v>396296.44143409142</v>
      </c>
      <c r="AH16" s="5">
        <f t="shared" si="4"/>
        <v>432323.39065537229</v>
      </c>
      <c r="AI16" s="5">
        <f t="shared" si="4"/>
        <v>468350.33987665328</v>
      </c>
      <c r="AJ16" s="5">
        <f t="shared" si="4"/>
        <v>504377.28909793444</v>
      </c>
      <c r="AK16" s="5">
        <f t="shared" si="4"/>
        <v>540404.23831921525</v>
      </c>
      <c r="AL16" s="5">
        <f t="shared" si="4"/>
        <v>576431.18754049693</v>
      </c>
      <c r="AM16" s="5">
        <f t="shared" si="4"/>
        <v>612458.13676177745</v>
      </c>
      <c r="AN16" s="5">
        <f t="shared" si="4"/>
        <v>648485.08598305867</v>
      </c>
      <c r="AO16" s="5">
        <f t="shared" si="4"/>
        <v>684512.03520433907</v>
      </c>
      <c r="AP16" s="5">
        <f t="shared" si="4"/>
        <v>720538.98442562087</v>
      </c>
    </row>
    <row r="17" spans="1:42" s="8" customFormat="1" x14ac:dyDescent="0.2">
      <c r="A17" s="88">
        <f t="shared" si="20"/>
        <v>10</v>
      </c>
      <c r="B17" s="89">
        <f t="shared" ref="B17:N17" si="28">B4*(1.0374)^$A$17</f>
        <v>577460.69325950521</v>
      </c>
      <c r="C17" s="89">
        <f t="shared" si="28"/>
        <v>649643.2799169434</v>
      </c>
      <c r="D17" s="89">
        <f t="shared" si="28"/>
        <v>721825.86657438148</v>
      </c>
      <c r="E17" s="89">
        <f t="shared" si="28"/>
        <v>794008.45323181967</v>
      </c>
      <c r="F17" s="89">
        <f t="shared" si="28"/>
        <v>866191.03988925787</v>
      </c>
      <c r="G17" s="89">
        <f t="shared" si="28"/>
        <v>938373.62654669594</v>
      </c>
      <c r="H17" s="89">
        <f t="shared" si="28"/>
        <v>1010556.2132041341</v>
      </c>
      <c r="I17" s="89">
        <f t="shared" si="28"/>
        <v>1082738.7998615722</v>
      </c>
      <c r="J17" s="89">
        <f t="shared" si="28"/>
        <v>1154921.3865190104</v>
      </c>
      <c r="K17" s="89">
        <f t="shared" si="28"/>
        <v>1227103.9731764486</v>
      </c>
      <c r="L17" s="89">
        <f t="shared" si="28"/>
        <v>1299286.5598338868</v>
      </c>
      <c r="M17" s="89">
        <f t="shared" si="28"/>
        <v>1371469.146491325</v>
      </c>
      <c r="N17" s="92">
        <f t="shared" si="28"/>
        <v>1443651.733148763</v>
      </c>
      <c r="P17" s="93">
        <f t="shared" si="6"/>
        <v>261301.4372556044</v>
      </c>
      <c r="Q17" s="90">
        <f t="shared" si="7"/>
        <v>293964.11691255512</v>
      </c>
      <c r="R17" s="90">
        <f t="shared" si="8"/>
        <v>326626.79656950565</v>
      </c>
      <c r="S17" s="90">
        <f t="shared" si="9"/>
        <v>359289.47622645629</v>
      </c>
      <c r="T17" s="90">
        <f t="shared" si="10"/>
        <v>391952.15588340705</v>
      </c>
      <c r="U17" s="90">
        <f t="shared" si="11"/>
        <v>424614.83554035763</v>
      </c>
      <c r="V17" s="90">
        <f t="shared" si="12"/>
        <v>457277.51519730809</v>
      </c>
      <c r="W17" s="90">
        <f t="shared" si="13"/>
        <v>489940.19485425891</v>
      </c>
      <c r="X17" s="90">
        <f t="shared" si="14"/>
        <v>522602.87451120879</v>
      </c>
      <c r="Y17" s="90">
        <f t="shared" si="15"/>
        <v>555265.55416815984</v>
      </c>
      <c r="Z17" s="90">
        <f t="shared" si="16"/>
        <v>587928.23382511025</v>
      </c>
      <c r="AA17" s="90">
        <f t="shared" si="17"/>
        <v>620590.91348206147</v>
      </c>
      <c r="AB17" s="91">
        <f t="shared" si="18"/>
        <v>653253.5931390113</v>
      </c>
      <c r="AD17" s="93" t="str">
        <f t="shared" si="19"/>
        <v>No</v>
      </c>
      <c r="AE17" s="90">
        <f t="shared" si="4"/>
        <v>355679.16300438828</v>
      </c>
      <c r="AF17" s="90">
        <f t="shared" si="4"/>
        <v>395199.07000487583</v>
      </c>
      <c r="AG17" s="90">
        <f t="shared" si="4"/>
        <v>434718.97700536338</v>
      </c>
      <c r="AH17" s="90">
        <f t="shared" si="4"/>
        <v>474238.88400585082</v>
      </c>
      <c r="AI17" s="90">
        <f t="shared" si="4"/>
        <v>513758.79100633832</v>
      </c>
      <c r="AJ17" s="90">
        <f t="shared" si="4"/>
        <v>553278.69800682599</v>
      </c>
      <c r="AK17" s="90">
        <f t="shared" si="4"/>
        <v>592798.60500731331</v>
      </c>
      <c r="AL17" s="90">
        <f t="shared" si="4"/>
        <v>632318.51200780156</v>
      </c>
      <c r="AM17" s="90">
        <f t="shared" si="4"/>
        <v>671838.41900828877</v>
      </c>
      <c r="AN17" s="90">
        <f t="shared" si="4"/>
        <v>711358.32600877655</v>
      </c>
      <c r="AO17" s="90">
        <f t="shared" si="4"/>
        <v>750878.23300926352</v>
      </c>
      <c r="AP17" s="91">
        <f t="shared" si="4"/>
        <v>790398.14000975166</v>
      </c>
    </row>
    <row r="18" spans="1:42" x14ac:dyDescent="0.2">
      <c r="A18" s="6">
        <f t="shared" si="20"/>
        <v>11</v>
      </c>
      <c r="B18" s="5">
        <f t="shared" ref="B18:N18" si="29">B4*(1.0374)^$A$18</f>
        <v>599057.72318741074</v>
      </c>
      <c r="C18" s="5">
        <f t="shared" si="29"/>
        <v>673939.93858583714</v>
      </c>
      <c r="D18" s="5">
        <f t="shared" si="29"/>
        <v>748822.15398426342</v>
      </c>
      <c r="E18" s="5">
        <f t="shared" si="29"/>
        <v>823704.36938268982</v>
      </c>
      <c r="F18" s="5">
        <f t="shared" si="29"/>
        <v>898586.58478111611</v>
      </c>
      <c r="G18" s="5">
        <f t="shared" si="29"/>
        <v>973468.80017954251</v>
      </c>
      <c r="H18" s="5">
        <f t="shared" si="29"/>
        <v>1048351.0155779688</v>
      </c>
      <c r="I18" s="5">
        <f t="shared" si="29"/>
        <v>1123233.2309763951</v>
      </c>
      <c r="J18" s="5">
        <f t="shared" si="29"/>
        <v>1198115.4463748215</v>
      </c>
      <c r="K18" s="5">
        <f t="shared" si="29"/>
        <v>1272997.6617732479</v>
      </c>
      <c r="L18" s="5">
        <f t="shared" si="29"/>
        <v>1347879.8771716743</v>
      </c>
      <c r="M18" s="5">
        <f t="shared" si="29"/>
        <v>1422762.0925701004</v>
      </c>
      <c r="N18" s="5">
        <f t="shared" si="29"/>
        <v>1497644.3079685268</v>
      </c>
      <c r="P18" s="5">
        <f t="shared" si="6"/>
        <v>253848.86366866765</v>
      </c>
      <c r="Q18" s="5">
        <f t="shared" si="7"/>
        <v>285579.97162725125</v>
      </c>
      <c r="R18" s="5">
        <f t="shared" si="8"/>
        <v>317311.0795858347</v>
      </c>
      <c r="S18" s="5">
        <f t="shared" si="9"/>
        <v>349042.18754441827</v>
      </c>
      <c r="T18" s="5">
        <f t="shared" si="10"/>
        <v>380773.29550300195</v>
      </c>
      <c r="U18" s="5">
        <f t="shared" si="11"/>
        <v>412504.4034615854</v>
      </c>
      <c r="V18" s="5">
        <f t="shared" si="12"/>
        <v>444235.5114201688</v>
      </c>
      <c r="W18" s="5">
        <f t="shared" si="13"/>
        <v>475966.61937875254</v>
      </c>
      <c r="X18" s="5">
        <f t="shared" si="14"/>
        <v>507697.72733733529</v>
      </c>
      <c r="Y18" s="5">
        <f t="shared" si="15"/>
        <v>539428.83529591921</v>
      </c>
      <c r="Z18" s="5">
        <f t="shared" si="16"/>
        <v>571159.94325450249</v>
      </c>
      <c r="AA18" s="5">
        <f t="shared" si="17"/>
        <v>602891.0512130867</v>
      </c>
      <c r="AB18" s="5">
        <f t="shared" si="18"/>
        <v>634622.15917166939</v>
      </c>
      <c r="AD18" s="5" t="str">
        <f t="shared" si="19"/>
        <v>No</v>
      </c>
      <c r="AE18" s="5">
        <f t="shared" si="4"/>
        <v>388359.96695858589</v>
      </c>
      <c r="AF18" s="5">
        <f t="shared" si="4"/>
        <v>431511.07439842873</v>
      </c>
      <c r="AG18" s="5">
        <f t="shared" si="4"/>
        <v>474662.18183827156</v>
      </c>
      <c r="AH18" s="5">
        <f t="shared" si="4"/>
        <v>517813.28927811416</v>
      </c>
      <c r="AI18" s="5">
        <f t="shared" si="4"/>
        <v>560964.3967179571</v>
      </c>
      <c r="AJ18" s="5">
        <f t="shared" si="4"/>
        <v>604115.50415779999</v>
      </c>
      <c r="AK18" s="5">
        <f t="shared" si="4"/>
        <v>647266.61159764254</v>
      </c>
      <c r="AL18" s="5">
        <f t="shared" si="4"/>
        <v>690417.71903748624</v>
      </c>
      <c r="AM18" s="5">
        <f t="shared" si="4"/>
        <v>733568.82647732866</v>
      </c>
      <c r="AN18" s="5">
        <f t="shared" si="4"/>
        <v>776719.93391717179</v>
      </c>
      <c r="AO18" s="5">
        <f t="shared" si="4"/>
        <v>819871.04135701375</v>
      </c>
      <c r="AP18" s="5">
        <f t="shared" si="4"/>
        <v>863022.14879685745</v>
      </c>
    </row>
    <row r="19" spans="1:42" x14ac:dyDescent="0.2">
      <c r="A19" s="6">
        <f t="shared" si="20"/>
        <v>12</v>
      </c>
      <c r="B19" s="5">
        <f t="shared" ref="B19:N19" si="30">B4*(1.0374)^$A$19</f>
        <v>621462.48203462001</v>
      </c>
      <c r="C19" s="5">
        <f t="shared" si="30"/>
        <v>699145.2922889475</v>
      </c>
      <c r="D19" s="5">
        <f t="shared" si="30"/>
        <v>776828.1025432751</v>
      </c>
      <c r="E19" s="5">
        <f t="shared" si="30"/>
        <v>854510.91279760259</v>
      </c>
      <c r="F19" s="5">
        <f t="shared" si="30"/>
        <v>932193.72305193008</v>
      </c>
      <c r="G19" s="5">
        <f t="shared" si="30"/>
        <v>1009876.5333062576</v>
      </c>
      <c r="H19" s="5">
        <f t="shared" si="30"/>
        <v>1087559.3435605851</v>
      </c>
      <c r="I19" s="5">
        <f t="shared" si="30"/>
        <v>1165242.1538149125</v>
      </c>
      <c r="J19" s="5">
        <f t="shared" si="30"/>
        <v>1242924.96406924</v>
      </c>
      <c r="K19" s="5">
        <f t="shared" si="30"/>
        <v>1320607.7743235675</v>
      </c>
      <c r="L19" s="5">
        <f t="shared" si="30"/>
        <v>1398290.584577895</v>
      </c>
      <c r="M19" s="5">
        <f t="shared" si="30"/>
        <v>1475973.3948322227</v>
      </c>
      <c r="N19" s="5">
        <f t="shared" si="30"/>
        <v>1553656.2050865502</v>
      </c>
      <c r="P19" s="5">
        <f t="shared" si="6"/>
        <v>246053.92015504491</v>
      </c>
      <c r="Q19" s="5">
        <f t="shared" si="7"/>
        <v>276810.66017442563</v>
      </c>
      <c r="R19" s="5">
        <f t="shared" si="8"/>
        <v>307567.40019380627</v>
      </c>
      <c r="S19" s="5">
        <f t="shared" si="9"/>
        <v>338324.14021318697</v>
      </c>
      <c r="T19" s="5">
        <f t="shared" si="10"/>
        <v>369080.88023256784</v>
      </c>
      <c r="U19" s="5">
        <f t="shared" si="11"/>
        <v>399837.62025194848</v>
      </c>
      <c r="V19" s="5">
        <f t="shared" si="12"/>
        <v>430594.360271329</v>
      </c>
      <c r="W19" s="5">
        <f t="shared" si="13"/>
        <v>461351.10029070993</v>
      </c>
      <c r="X19" s="5">
        <f t="shared" si="14"/>
        <v>492107.84031008981</v>
      </c>
      <c r="Y19" s="5">
        <f t="shared" si="15"/>
        <v>522864.58032947092</v>
      </c>
      <c r="Z19" s="5">
        <f t="shared" si="16"/>
        <v>553621.32034885127</v>
      </c>
      <c r="AA19" s="5">
        <f t="shared" si="17"/>
        <v>584378.06036823278</v>
      </c>
      <c r="AB19" s="5">
        <f t="shared" si="18"/>
        <v>615134.80038761254</v>
      </c>
      <c r="AD19" s="5" t="str">
        <f t="shared" si="19"/>
        <v>No</v>
      </c>
      <c r="AE19" s="5">
        <f t="shared" si="4"/>
        <v>422334.63211452187</v>
      </c>
      <c r="AF19" s="5">
        <f t="shared" si="4"/>
        <v>469260.70234946883</v>
      </c>
      <c r="AG19" s="5">
        <f t="shared" si="4"/>
        <v>516186.77258441562</v>
      </c>
      <c r="AH19" s="5">
        <f t="shared" si="4"/>
        <v>563112.84281936218</v>
      </c>
      <c r="AI19" s="5">
        <f t="shared" si="4"/>
        <v>610038.91305430909</v>
      </c>
      <c r="AJ19" s="5">
        <f t="shared" si="4"/>
        <v>656964.98328925599</v>
      </c>
      <c r="AK19" s="5">
        <f t="shared" si="4"/>
        <v>703891.05352420267</v>
      </c>
      <c r="AL19" s="5">
        <f t="shared" si="4"/>
        <v>750817.12375915027</v>
      </c>
      <c r="AM19" s="5">
        <f t="shared" si="4"/>
        <v>797743.1939940966</v>
      </c>
      <c r="AN19" s="5">
        <f t="shared" si="4"/>
        <v>844669.26422904374</v>
      </c>
      <c r="AO19" s="5">
        <f t="shared" si="4"/>
        <v>891595.33446398994</v>
      </c>
      <c r="AP19" s="5">
        <f t="shared" si="4"/>
        <v>938521.40469893767</v>
      </c>
    </row>
    <row r="20" spans="1:42" x14ac:dyDescent="0.2">
      <c r="A20" s="6">
        <f t="shared" si="20"/>
        <v>13</v>
      </c>
      <c r="B20" s="5">
        <f t="shared" ref="B20:N20" si="31">B4*(1.0374)^$A$20</f>
        <v>644705.17886271491</v>
      </c>
      <c r="C20" s="5">
        <f t="shared" si="31"/>
        <v>725293.3262205543</v>
      </c>
      <c r="D20" s="5">
        <f t="shared" si="31"/>
        <v>805881.47357839369</v>
      </c>
      <c r="E20" s="5">
        <f t="shared" si="31"/>
        <v>886469.62093623308</v>
      </c>
      <c r="F20" s="5">
        <f t="shared" si="31"/>
        <v>967057.76829407236</v>
      </c>
      <c r="G20" s="5">
        <f t="shared" si="31"/>
        <v>1047645.9156519118</v>
      </c>
      <c r="H20" s="5">
        <f t="shared" si="31"/>
        <v>1128234.0630097513</v>
      </c>
      <c r="I20" s="5">
        <f t="shared" si="31"/>
        <v>1208822.2103675904</v>
      </c>
      <c r="J20" s="5">
        <f t="shared" si="31"/>
        <v>1289410.3577254298</v>
      </c>
      <c r="K20" s="5">
        <f t="shared" si="31"/>
        <v>1369998.5050832692</v>
      </c>
      <c r="L20" s="5">
        <f t="shared" si="31"/>
        <v>1450586.6524411086</v>
      </c>
      <c r="M20" s="5">
        <f t="shared" si="31"/>
        <v>1531174.799798948</v>
      </c>
      <c r="N20" s="5">
        <f t="shared" si="31"/>
        <v>1611762.9471567874</v>
      </c>
      <c r="P20" s="5">
        <f t="shared" si="6"/>
        <v>237900.87830020505</v>
      </c>
      <c r="Q20" s="5">
        <f t="shared" si="7"/>
        <v>267638.48808773077</v>
      </c>
      <c r="R20" s="5">
        <f t="shared" si="8"/>
        <v>297376.09787525644</v>
      </c>
      <c r="S20" s="5">
        <f t="shared" si="9"/>
        <v>327113.70766278217</v>
      </c>
      <c r="T20" s="5">
        <f t="shared" si="10"/>
        <v>356851.31745030807</v>
      </c>
      <c r="U20" s="5">
        <f t="shared" si="11"/>
        <v>386588.92723783373</v>
      </c>
      <c r="V20" s="5">
        <f t="shared" si="12"/>
        <v>416326.53702535928</v>
      </c>
      <c r="W20" s="5">
        <f t="shared" si="13"/>
        <v>446064.14681288524</v>
      </c>
      <c r="X20" s="5">
        <f t="shared" si="14"/>
        <v>475801.7566004101</v>
      </c>
      <c r="Y20" s="5">
        <f t="shared" si="15"/>
        <v>505539.36638793629</v>
      </c>
      <c r="Z20" s="5">
        <f t="shared" si="16"/>
        <v>535276.97617546155</v>
      </c>
      <c r="AA20" s="5">
        <f t="shared" si="17"/>
        <v>565014.5859629882</v>
      </c>
      <c r="AB20" s="5">
        <f t="shared" si="18"/>
        <v>594752.19575051288</v>
      </c>
      <c r="AD20" s="5" t="str">
        <f t="shared" si="19"/>
        <v>No</v>
      </c>
      <c r="AE20" s="5">
        <f t="shared" si="4"/>
        <v>457654.83813282353</v>
      </c>
      <c r="AF20" s="5">
        <f t="shared" si="4"/>
        <v>508505.37570313725</v>
      </c>
      <c r="AG20" s="5">
        <f t="shared" si="4"/>
        <v>559355.91327345092</v>
      </c>
      <c r="AH20" s="5">
        <f t="shared" si="4"/>
        <v>610206.45084376424</v>
      </c>
      <c r="AI20" s="5">
        <f t="shared" si="4"/>
        <v>661056.98841407802</v>
      </c>
      <c r="AJ20" s="5">
        <f t="shared" si="4"/>
        <v>711907.52598439204</v>
      </c>
      <c r="AK20" s="5">
        <f t="shared" si="4"/>
        <v>762758.06355470512</v>
      </c>
      <c r="AL20" s="5">
        <f t="shared" si="4"/>
        <v>813608.60112501972</v>
      </c>
      <c r="AM20" s="5">
        <f t="shared" si="4"/>
        <v>864459.13869533292</v>
      </c>
      <c r="AN20" s="5">
        <f t="shared" si="4"/>
        <v>915309.67626564705</v>
      </c>
      <c r="AO20" s="5">
        <f t="shared" si="4"/>
        <v>966160.21383595979</v>
      </c>
      <c r="AP20" s="5">
        <f t="shared" si="4"/>
        <v>1017010.7514062745</v>
      </c>
    </row>
    <row r="21" spans="1:42" x14ac:dyDescent="0.2">
      <c r="A21" s="6">
        <f t="shared" si="20"/>
        <v>14</v>
      </c>
      <c r="B21" s="5">
        <f t="shared" ref="B21:N21" si="32">B4*(1.0374)^$A$21</f>
        <v>668817.15255218057</v>
      </c>
      <c r="C21" s="5">
        <f t="shared" si="32"/>
        <v>752419.29662120307</v>
      </c>
      <c r="D21" s="5">
        <f t="shared" si="32"/>
        <v>836021.44069022569</v>
      </c>
      <c r="E21" s="5">
        <f t="shared" si="32"/>
        <v>919623.58475924819</v>
      </c>
      <c r="F21" s="5">
        <f t="shared" si="32"/>
        <v>1003225.7288282708</v>
      </c>
      <c r="G21" s="5">
        <f t="shared" si="32"/>
        <v>1086827.8728972934</v>
      </c>
      <c r="H21" s="5">
        <f t="shared" si="32"/>
        <v>1170430.0169663159</v>
      </c>
      <c r="I21" s="5">
        <f t="shared" si="32"/>
        <v>1254032.1610353384</v>
      </c>
      <c r="J21" s="5">
        <f t="shared" si="32"/>
        <v>1337634.3051043611</v>
      </c>
      <c r="K21" s="5">
        <f t="shared" si="32"/>
        <v>1421236.4491733836</v>
      </c>
      <c r="L21" s="5">
        <f t="shared" si="32"/>
        <v>1504838.5932424061</v>
      </c>
      <c r="M21" s="5">
        <f t="shared" si="32"/>
        <v>1588440.7373114286</v>
      </c>
      <c r="N21" s="5">
        <f t="shared" si="32"/>
        <v>1672042.8813804514</v>
      </c>
      <c r="P21" s="5">
        <f t="shared" si="6"/>
        <v>229373.28712900524</v>
      </c>
      <c r="Q21" s="5">
        <f t="shared" si="7"/>
        <v>258044.94802013101</v>
      </c>
      <c r="R21" s="5">
        <f t="shared" si="8"/>
        <v>286716.60891125666</v>
      </c>
      <c r="S21" s="5">
        <f t="shared" si="9"/>
        <v>315388.26980238245</v>
      </c>
      <c r="T21" s="5">
        <f t="shared" si="10"/>
        <v>344059.93069350836</v>
      </c>
      <c r="U21" s="5">
        <f t="shared" si="11"/>
        <v>372731.59158463409</v>
      </c>
      <c r="V21" s="5">
        <f t="shared" si="12"/>
        <v>401403.25247575965</v>
      </c>
      <c r="W21" s="5">
        <f t="shared" si="13"/>
        <v>430074.91336688562</v>
      </c>
      <c r="X21" s="5">
        <f t="shared" si="14"/>
        <v>458746.57425801049</v>
      </c>
      <c r="Y21" s="5">
        <f t="shared" si="15"/>
        <v>487418.23514913674</v>
      </c>
      <c r="Z21" s="5">
        <f t="shared" si="16"/>
        <v>516089.89604026201</v>
      </c>
      <c r="AA21" s="5">
        <f t="shared" si="17"/>
        <v>544761.5569313888</v>
      </c>
      <c r="AB21" s="5">
        <f t="shared" si="18"/>
        <v>573433.21782251331</v>
      </c>
      <c r="AD21" s="5" t="str">
        <f t="shared" si="19"/>
        <v>No</v>
      </c>
      <c r="AE21" s="5">
        <f t="shared" si="4"/>
        <v>494374.3486010721</v>
      </c>
      <c r="AF21" s="5">
        <f t="shared" si="4"/>
        <v>549304.83177896903</v>
      </c>
      <c r="AG21" s="5">
        <f t="shared" si="4"/>
        <v>604235.31495686574</v>
      </c>
      <c r="AH21" s="5">
        <f t="shared" si="4"/>
        <v>659165.79813476244</v>
      </c>
      <c r="AI21" s="5">
        <f t="shared" si="4"/>
        <v>714096.28131265938</v>
      </c>
      <c r="AJ21" s="5">
        <f t="shared" si="4"/>
        <v>769026.7644905562</v>
      </c>
      <c r="AK21" s="5">
        <f t="shared" si="4"/>
        <v>823957.24766845279</v>
      </c>
      <c r="AL21" s="5">
        <f t="shared" si="4"/>
        <v>878887.73084635066</v>
      </c>
      <c r="AM21" s="5">
        <f t="shared" si="4"/>
        <v>933818.2140242469</v>
      </c>
      <c r="AN21" s="5">
        <f t="shared" si="4"/>
        <v>988748.69720214419</v>
      </c>
      <c r="AO21" s="5">
        <f t="shared" si="4"/>
        <v>1043679.1803800398</v>
      </c>
      <c r="AP21" s="5">
        <f t="shared" si="4"/>
        <v>1098609.6635579381</v>
      </c>
    </row>
    <row r="22" spans="1:42" s="8" customFormat="1" x14ac:dyDescent="0.2">
      <c r="A22" s="88">
        <f t="shared" si="20"/>
        <v>15</v>
      </c>
      <c r="B22" s="89">
        <f t="shared" ref="B22:N22" si="33">B4*(1.0374)^$A$22</f>
        <v>693830.91405763209</v>
      </c>
      <c r="C22" s="89">
        <f t="shared" si="33"/>
        <v>780559.77831483609</v>
      </c>
      <c r="D22" s="89">
        <f t="shared" si="33"/>
        <v>867288.64257204009</v>
      </c>
      <c r="E22" s="89">
        <f t="shared" si="33"/>
        <v>954017.50682924408</v>
      </c>
      <c r="F22" s="89">
        <f t="shared" si="33"/>
        <v>1040746.3710864481</v>
      </c>
      <c r="G22" s="89">
        <f t="shared" si="33"/>
        <v>1127475.2353436521</v>
      </c>
      <c r="H22" s="89">
        <f t="shared" si="33"/>
        <v>1214204.0996008562</v>
      </c>
      <c r="I22" s="89">
        <f t="shared" si="33"/>
        <v>1300932.9638580601</v>
      </c>
      <c r="J22" s="89">
        <f t="shared" si="33"/>
        <v>1387661.8281152642</v>
      </c>
      <c r="K22" s="89">
        <f t="shared" si="33"/>
        <v>1474390.6923724681</v>
      </c>
      <c r="L22" s="89">
        <f t="shared" si="33"/>
        <v>1561119.5566296722</v>
      </c>
      <c r="M22" s="89">
        <f t="shared" si="33"/>
        <v>1647848.4208868761</v>
      </c>
      <c r="N22" s="92">
        <f t="shared" si="33"/>
        <v>1734577.2851440802</v>
      </c>
      <c r="P22" s="93">
        <f t="shared" si="6"/>
        <v>220453.93991138285</v>
      </c>
      <c r="Q22" s="90">
        <f t="shared" si="7"/>
        <v>248010.68240030584</v>
      </c>
      <c r="R22" s="90">
        <f t="shared" si="8"/>
        <v>275567.42488922866</v>
      </c>
      <c r="S22" s="90">
        <f t="shared" si="9"/>
        <v>303124.16737815167</v>
      </c>
      <c r="T22" s="90">
        <f t="shared" si="10"/>
        <v>330680.90986707475</v>
      </c>
      <c r="U22" s="90">
        <f t="shared" si="11"/>
        <v>358237.65235599771</v>
      </c>
      <c r="V22" s="90">
        <f t="shared" si="12"/>
        <v>385794.39484492049</v>
      </c>
      <c r="W22" s="90">
        <f t="shared" si="13"/>
        <v>413351.13733384368</v>
      </c>
      <c r="X22" s="90">
        <f t="shared" si="14"/>
        <v>440907.87982276571</v>
      </c>
      <c r="Y22" s="90">
        <f t="shared" si="15"/>
        <v>468464.62231168919</v>
      </c>
      <c r="Z22" s="90">
        <f t="shared" si="16"/>
        <v>496021.36480061169</v>
      </c>
      <c r="AA22" s="90">
        <f t="shared" si="17"/>
        <v>523578.10728953569</v>
      </c>
      <c r="AB22" s="91">
        <f t="shared" si="18"/>
        <v>551134.84977845731</v>
      </c>
      <c r="AD22" s="93" t="str">
        <f t="shared" si="19"/>
        <v>No</v>
      </c>
      <c r="AE22" s="90">
        <f t="shared" si="4"/>
        <v>532549.09591453022</v>
      </c>
      <c r="AF22" s="90">
        <f t="shared" si="4"/>
        <v>591721.21768281143</v>
      </c>
      <c r="AG22" s="90">
        <f t="shared" si="4"/>
        <v>650893.33945109241</v>
      </c>
      <c r="AH22" s="90">
        <f t="shared" si="4"/>
        <v>710065.46121937339</v>
      </c>
      <c r="AI22" s="90">
        <f t="shared" si="4"/>
        <v>769237.58298765437</v>
      </c>
      <c r="AJ22" s="90">
        <f t="shared" si="4"/>
        <v>828409.7047559357</v>
      </c>
      <c r="AK22" s="90">
        <f t="shared" si="4"/>
        <v>887581.82652421645</v>
      </c>
      <c r="AL22" s="90">
        <f t="shared" si="4"/>
        <v>946753.94829249848</v>
      </c>
      <c r="AM22" s="90">
        <f t="shared" si="4"/>
        <v>1005926.0700607789</v>
      </c>
      <c r="AN22" s="90">
        <f t="shared" si="4"/>
        <v>1065098.1918290604</v>
      </c>
      <c r="AO22" s="90">
        <f t="shared" si="4"/>
        <v>1124270.3135973404</v>
      </c>
      <c r="AP22" s="91">
        <f t="shared" si="4"/>
        <v>1183442.4353656229</v>
      </c>
    </row>
    <row r="23" spans="1:42" x14ac:dyDescent="0.2">
      <c r="A23" s="6">
        <f t="shared" si="20"/>
        <v>16</v>
      </c>
      <c r="B23" s="5">
        <f t="shared" ref="B23:N23" si="34">B4*(1.0374)^$A$23</f>
        <v>719780.19024338783</v>
      </c>
      <c r="C23" s="5">
        <f t="shared" si="34"/>
        <v>809752.71402381128</v>
      </c>
      <c r="D23" s="5">
        <f t="shared" si="34"/>
        <v>899725.23780423473</v>
      </c>
      <c r="E23" s="5">
        <f t="shared" si="34"/>
        <v>989697.76158465818</v>
      </c>
      <c r="F23" s="5">
        <f t="shared" si="34"/>
        <v>1079670.2853650816</v>
      </c>
      <c r="G23" s="5">
        <f t="shared" si="34"/>
        <v>1169642.8091455051</v>
      </c>
      <c r="H23" s="5">
        <f t="shared" si="34"/>
        <v>1259615.3329259288</v>
      </c>
      <c r="I23" s="5">
        <f t="shared" si="34"/>
        <v>1349587.8567063522</v>
      </c>
      <c r="J23" s="5">
        <f t="shared" si="34"/>
        <v>1439560.3804867757</v>
      </c>
      <c r="K23" s="5">
        <f t="shared" si="34"/>
        <v>1529532.9042671991</v>
      </c>
      <c r="L23" s="5">
        <f t="shared" si="34"/>
        <v>1619505.4280476226</v>
      </c>
      <c r="M23" s="5">
        <f t="shared" si="34"/>
        <v>1709477.951828046</v>
      </c>
      <c r="N23" s="5">
        <f t="shared" si="34"/>
        <v>1799450.4756084695</v>
      </c>
      <c r="P23" s="5">
        <f t="shared" si="6"/>
        <v>211124.83944310661</v>
      </c>
      <c r="Q23" s="5">
        <f t="shared" si="7"/>
        <v>237515.44437349509</v>
      </c>
      <c r="R23" s="5">
        <f t="shared" si="8"/>
        <v>263906.04930388334</v>
      </c>
      <c r="S23" s="5">
        <f t="shared" si="9"/>
        <v>290296.65423427185</v>
      </c>
      <c r="T23" s="5">
        <f t="shared" si="10"/>
        <v>316687.25916466041</v>
      </c>
      <c r="U23" s="5">
        <f t="shared" si="11"/>
        <v>343077.86409504886</v>
      </c>
      <c r="V23" s="5">
        <f t="shared" si="12"/>
        <v>369468.46902543708</v>
      </c>
      <c r="W23" s="5">
        <f t="shared" si="13"/>
        <v>395859.07395582576</v>
      </c>
      <c r="X23" s="5">
        <f t="shared" si="14"/>
        <v>422249.67888621322</v>
      </c>
      <c r="Y23" s="5">
        <f t="shared" si="15"/>
        <v>448640.2838166022</v>
      </c>
      <c r="Z23" s="5">
        <f t="shared" si="16"/>
        <v>475030.88874699018</v>
      </c>
      <c r="AA23" s="5">
        <f t="shared" si="17"/>
        <v>501421.49367737968</v>
      </c>
      <c r="AB23" s="5">
        <f t="shared" si="18"/>
        <v>527812.09860776667</v>
      </c>
      <c r="AD23" s="5" t="str">
        <f t="shared" si="19"/>
        <v>No</v>
      </c>
      <c r="AE23" s="5">
        <f t="shared" si="4"/>
        <v>572237.26965031622</v>
      </c>
      <c r="AF23" s="5">
        <f t="shared" si="4"/>
        <v>635819.18850035139</v>
      </c>
      <c r="AG23" s="5">
        <f t="shared" si="4"/>
        <v>699401.10735038633</v>
      </c>
      <c r="AH23" s="5">
        <f t="shared" si="4"/>
        <v>762983.02620042115</v>
      </c>
      <c r="AI23" s="5">
        <f t="shared" si="4"/>
        <v>826564.94505045621</v>
      </c>
      <c r="AJ23" s="5">
        <f t="shared" si="4"/>
        <v>890146.86390049173</v>
      </c>
      <c r="AK23" s="5">
        <f t="shared" si="4"/>
        <v>953728.78275052644</v>
      </c>
      <c r="AL23" s="5">
        <f t="shared" si="4"/>
        <v>1017310.7016005624</v>
      </c>
      <c r="AM23" s="5">
        <f t="shared" si="4"/>
        <v>1080892.6204505968</v>
      </c>
      <c r="AN23" s="5">
        <f t="shared" si="4"/>
        <v>1144474.5393006324</v>
      </c>
      <c r="AO23" s="5">
        <f t="shared" si="4"/>
        <v>1208056.4581506662</v>
      </c>
      <c r="AP23" s="5">
        <f t="shared" si="4"/>
        <v>1271638.3770007028</v>
      </c>
    </row>
    <row r="24" spans="1:42" x14ac:dyDescent="0.2">
      <c r="A24" s="6">
        <f t="shared" si="20"/>
        <v>17</v>
      </c>
      <c r="B24" s="5">
        <f t="shared" ref="B24:N24" si="35">B4*(1.0374)^$A$24</f>
        <v>746699.96935849055</v>
      </c>
      <c r="C24" s="5">
        <f t="shared" si="35"/>
        <v>840037.46552830189</v>
      </c>
      <c r="D24" s="5">
        <f t="shared" si="35"/>
        <v>933374.96169811313</v>
      </c>
      <c r="E24" s="5">
        <f t="shared" si="35"/>
        <v>1026712.4578679245</v>
      </c>
      <c r="F24" s="5">
        <f t="shared" si="35"/>
        <v>1120049.9540377357</v>
      </c>
      <c r="G24" s="5">
        <f t="shared" si="35"/>
        <v>1213387.4502075471</v>
      </c>
      <c r="H24" s="5">
        <f t="shared" si="35"/>
        <v>1306724.9463773584</v>
      </c>
      <c r="I24" s="5">
        <f t="shared" si="35"/>
        <v>1400062.4425471697</v>
      </c>
      <c r="J24" s="5">
        <f t="shared" si="35"/>
        <v>1493399.9387169811</v>
      </c>
      <c r="K24" s="5">
        <f t="shared" si="35"/>
        <v>1586737.4348867924</v>
      </c>
      <c r="L24" s="5">
        <f t="shared" si="35"/>
        <v>1680074.9310566038</v>
      </c>
      <c r="M24" s="5">
        <f t="shared" si="35"/>
        <v>1773412.4272264151</v>
      </c>
      <c r="N24" s="5">
        <f t="shared" si="35"/>
        <v>1866749.9233962263</v>
      </c>
      <c r="P24" s="5">
        <f t="shared" si="6"/>
        <v>201367.16173153167</v>
      </c>
      <c r="Q24" s="5">
        <f t="shared" si="7"/>
        <v>226538.05694797329</v>
      </c>
      <c r="R24" s="5">
        <f t="shared" si="8"/>
        <v>251708.95216441466</v>
      </c>
      <c r="S24" s="5">
        <f t="shared" si="9"/>
        <v>276879.84738085628</v>
      </c>
      <c r="T24" s="5">
        <f t="shared" si="10"/>
        <v>302050.742597298</v>
      </c>
      <c r="U24" s="5">
        <f t="shared" si="11"/>
        <v>327221.6378137396</v>
      </c>
      <c r="V24" s="5">
        <f t="shared" si="12"/>
        <v>352392.53303018096</v>
      </c>
      <c r="W24" s="5">
        <f t="shared" si="13"/>
        <v>377563.42824662279</v>
      </c>
      <c r="X24" s="5">
        <f t="shared" si="14"/>
        <v>402734.32346306334</v>
      </c>
      <c r="Y24" s="5">
        <f t="shared" si="15"/>
        <v>427905.21867950552</v>
      </c>
      <c r="Z24" s="5">
        <f t="shared" si="16"/>
        <v>453076.11389594659</v>
      </c>
      <c r="AA24" s="5">
        <f t="shared" si="17"/>
        <v>478247.00911238929</v>
      </c>
      <c r="AB24" s="5">
        <f t="shared" si="18"/>
        <v>503417.90432882932</v>
      </c>
      <c r="AD24" s="5" t="str">
        <f t="shared" si="19"/>
        <v>No</v>
      </c>
      <c r="AE24" s="5">
        <f t="shared" si="19"/>
        <v>613499.40858032857</v>
      </c>
      <c r="AF24" s="5">
        <f t="shared" si="19"/>
        <v>681666.00953369844</v>
      </c>
      <c r="AG24" s="5">
        <f t="shared" si="19"/>
        <v>749832.61048706819</v>
      </c>
      <c r="AH24" s="5">
        <f t="shared" si="19"/>
        <v>817999.21144043771</v>
      </c>
      <c r="AI24" s="5">
        <f t="shared" si="19"/>
        <v>886165.81239380746</v>
      </c>
      <c r="AJ24" s="5">
        <f t="shared" si="19"/>
        <v>954332.41334717744</v>
      </c>
      <c r="AK24" s="5">
        <f t="shared" si="19"/>
        <v>1022499.014300547</v>
      </c>
      <c r="AL24" s="5">
        <f t="shared" si="19"/>
        <v>1090665.6152539179</v>
      </c>
      <c r="AM24" s="5">
        <f t="shared" si="19"/>
        <v>1158832.2162072868</v>
      </c>
      <c r="AN24" s="5">
        <f t="shared" si="19"/>
        <v>1226998.8171606571</v>
      </c>
      <c r="AO24" s="5">
        <f t="shared" si="19"/>
        <v>1295165.4181140258</v>
      </c>
      <c r="AP24" s="5">
        <f t="shared" si="19"/>
        <v>1363332.0190673969</v>
      </c>
    </row>
    <row r="25" spans="1:42" x14ac:dyDescent="0.2">
      <c r="A25" s="6">
        <f t="shared" si="20"/>
        <v>18</v>
      </c>
      <c r="B25" s="5">
        <f t="shared" ref="B25:N25" si="36">B4*(1.0374)^$A$25</f>
        <v>774626.54821249819</v>
      </c>
      <c r="C25" s="5">
        <f t="shared" si="36"/>
        <v>871454.8667390605</v>
      </c>
      <c r="D25" s="5">
        <f t="shared" si="36"/>
        <v>968283.18526562268</v>
      </c>
      <c r="E25" s="5">
        <f t="shared" si="36"/>
        <v>1065111.5037921851</v>
      </c>
      <c r="F25" s="5">
        <f t="shared" si="36"/>
        <v>1161939.8223187472</v>
      </c>
      <c r="G25" s="5">
        <f t="shared" si="36"/>
        <v>1258768.1408453095</v>
      </c>
      <c r="H25" s="5">
        <f t="shared" si="36"/>
        <v>1355596.4593718718</v>
      </c>
      <c r="I25" s="5">
        <f t="shared" si="36"/>
        <v>1452424.7778984341</v>
      </c>
      <c r="J25" s="5">
        <f t="shared" si="36"/>
        <v>1549253.0964249964</v>
      </c>
      <c r="K25" s="5">
        <f t="shared" si="36"/>
        <v>1646081.4149515587</v>
      </c>
      <c r="L25" s="5">
        <f t="shared" si="36"/>
        <v>1742909.733478121</v>
      </c>
      <c r="M25" s="5">
        <f t="shared" si="36"/>
        <v>1839738.0520046833</v>
      </c>
      <c r="N25" s="5">
        <f t="shared" si="36"/>
        <v>1936566.3705312454</v>
      </c>
      <c r="P25" s="5">
        <f t="shared" si="6"/>
        <v>191161.21801308452</v>
      </c>
      <c r="Q25" s="5">
        <f t="shared" si="7"/>
        <v>215056.37026472026</v>
      </c>
      <c r="R25" s="5">
        <f t="shared" si="8"/>
        <v>238951.52251635576</v>
      </c>
      <c r="S25" s="5">
        <f t="shared" si="9"/>
        <v>262846.67476799147</v>
      </c>
      <c r="T25" s="5">
        <f t="shared" si="10"/>
        <v>286741.82701962726</v>
      </c>
      <c r="U25" s="5">
        <f t="shared" si="11"/>
        <v>310636.979271263</v>
      </c>
      <c r="V25" s="5">
        <f t="shared" si="12"/>
        <v>334532.13152289845</v>
      </c>
      <c r="W25" s="5">
        <f t="shared" si="13"/>
        <v>358427.28377453441</v>
      </c>
      <c r="X25" s="5">
        <f t="shared" si="14"/>
        <v>382322.43602616905</v>
      </c>
      <c r="Y25" s="5">
        <f t="shared" si="15"/>
        <v>406217.58827780536</v>
      </c>
      <c r="Z25" s="5">
        <f t="shared" si="16"/>
        <v>430112.74052944052</v>
      </c>
      <c r="AA25" s="5">
        <f t="shared" si="17"/>
        <v>454007.89278107742</v>
      </c>
      <c r="AB25" s="5">
        <f t="shared" si="18"/>
        <v>477903.04503271152</v>
      </c>
      <c r="AD25" s="5">
        <f t="shared" si="19"/>
        <v>583465.3301994137</v>
      </c>
      <c r="AE25" s="5">
        <f t="shared" si="19"/>
        <v>656398.49647434021</v>
      </c>
      <c r="AF25" s="5">
        <f t="shared" si="19"/>
        <v>729331.66274926695</v>
      </c>
      <c r="AG25" s="5">
        <f t="shared" si="19"/>
        <v>802264.82902419358</v>
      </c>
      <c r="AH25" s="5">
        <f t="shared" si="19"/>
        <v>875197.99529911997</v>
      </c>
      <c r="AI25" s="5">
        <f t="shared" si="19"/>
        <v>948131.16157404648</v>
      </c>
      <c r="AJ25" s="5">
        <f t="shared" si="19"/>
        <v>1021064.3278489733</v>
      </c>
      <c r="AK25" s="5">
        <f t="shared" si="19"/>
        <v>1093997.4941238996</v>
      </c>
      <c r="AL25" s="5">
        <f t="shared" si="19"/>
        <v>1166930.6603988274</v>
      </c>
      <c r="AM25" s="5">
        <f t="shared" si="19"/>
        <v>1239863.8266737533</v>
      </c>
      <c r="AN25" s="5">
        <f t="shared" si="19"/>
        <v>1312796.9929486804</v>
      </c>
      <c r="AO25" s="5">
        <f t="shared" si="19"/>
        <v>1385730.1592236059</v>
      </c>
      <c r="AP25" s="5">
        <f t="shared" si="19"/>
        <v>1458663.3254985339</v>
      </c>
    </row>
    <row r="26" spans="1:42" x14ac:dyDescent="0.2">
      <c r="A26" s="6">
        <f t="shared" si="20"/>
        <v>19</v>
      </c>
      <c r="B26" s="5">
        <f t="shared" ref="B26:N26" si="37">B4*(1.0374)^$A$26</f>
        <v>803597.58111564559</v>
      </c>
      <c r="C26" s="5">
        <f t="shared" si="37"/>
        <v>904047.27875510138</v>
      </c>
      <c r="D26" s="5">
        <f t="shared" si="37"/>
        <v>1004496.976394557</v>
      </c>
      <c r="E26" s="5">
        <f t="shared" si="37"/>
        <v>1104946.6740340127</v>
      </c>
      <c r="F26" s="5">
        <f t="shared" si="37"/>
        <v>1205396.3716734685</v>
      </c>
      <c r="G26" s="5">
        <f t="shared" si="37"/>
        <v>1305846.0693129241</v>
      </c>
      <c r="H26" s="5">
        <f t="shared" si="37"/>
        <v>1406295.7669523798</v>
      </c>
      <c r="I26" s="5">
        <f t="shared" si="37"/>
        <v>1506745.4645918356</v>
      </c>
      <c r="J26" s="5">
        <f t="shared" si="37"/>
        <v>1607195.1622312912</v>
      </c>
      <c r="K26" s="5">
        <f t="shared" si="37"/>
        <v>1707644.859870747</v>
      </c>
      <c r="L26" s="5">
        <f t="shared" si="37"/>
        <v>1808094.5575102028</v>
      </c>
      <c r="M26" s="5">
        <f t="shared" si="37"/>
        <v>1908544.2551496583</v>
      </c>
      <c r="N26" s="5">
        <f t="shared" si="37"/>
        <v>2008993.9527891141</v>
      </c>
      <c r="P26" s="5">
        <f t="shared" si="6"/>
        <v>180486.41502583781</v>
      </c>
      <c r="Q26" s="5">
        <f t="shared" si="7"/>
        <v>203047.21690406773</v>
      </c>
      <c r="R26" s="5">
        <f t="shared" si="8"/>
        <v>225608.01878229738</v>
      </c>
      <c r="S26" s="5">
        <f t="shared" si="9"/>
        <v>248168.82066052721</v>
      </c>
      <c r="T26" s="5">
        <f t="shared" si="10"/>
        <v>270729.62253875722</v>
      </c>
      <c r="U26" s="5">
        <f t="shared" si="11"/>
        <v>293290.42441698711</v>
      </c>
      <c r="V26" s="5">
        <f t="shared" si="12"/>
        <v>315851.22629521671</v>
      </c>
      <c r="W26" s="5">
        <f t="shared" si="13"/>
        <v>338412.02817344689</v>
      </c>
      <c r="X26" s="5">
        <f t="shared" si="14"/>
        <v>360972.83005167561</v>
      </c>
      <c r="Y26" s="5">
        <f t="shared" si="15"/>
        <v>383533.63192990614</v>
      </c>
      <c r="Z26" s="5">
        <f t="shared" si="16"/>
        <v>406094.43380813545</v>
      </c>
      <c r="AA26" s="5">
        <f t="shared" si="17"/>
        <v>428655.23568636656</v>
      </c>
      <c r="AB26" s="5">
        <f t="shared" si="18"/>
        <v>451216.03756459476</v>
      </c>
      <c r="AD26" s="5">
        <f t="shared" si="19"/>
        <v>623111.16608980775</v>
      </c>
      <c r="AE26" s="5">
        <f t="shared" si="19"/>
        <v>701000.06185103371</v>
      </c>
      <c r="AF26" s="5">
        <f t="shared" si="19"/>
        <v>778888.95761225966</v>
      </c>
      <c r="AG26" s="5">
        <f t="shared" si="19"/>
        <v>856777.8533734855</v>
      </c>
      <c r="AH26" s="5">
        <f t="shared" si="19"/>
        <v>934666.74913471122</v>
      </c>
      <c r="AI26" s="5">
        <f t="shared" si="19"/>
        <v>1012555.6448959369</v>
      </c>
      <c r="AJ26" s="5">
        <f t="shared" si="19"/>
        <v>1090444.5406571631</v>
      </c>
      <c r="AK26" s="5">
        <f t="shared" si="19"/>
        <v>1168333.4364183887</v>
      </c>
      <c r="AL26" s="5">
        <f t="shared" si="19"/>
        <v>1246222.3321796155</v>
      </c>
      <c r="AM26" s="5">
        <f t="shared" si="19"/>
        <v>1324111.2279408409</v>
      </c>
      <c r="AN26" s="5">
        <f t="shared" si="19"/>
        <v>1402000.1237020674</v>
      </c>
      <c r="AO26" s="5">
        <f t="shared" si="19"/>
        <v>1479889.0194632919</v>
      </c>
      <c r="AP26" s="5">
        <f t="shared" si="19"/>
        <v>1557777.9152245193</v>
      </c>
    </row>
    <row r="27" spans="1:42" s="8" customFormat="1" x14ac:dyDescent="0.2">
      <c r="A27" s="88">
        <f t="shared" si="20"/>
        <v>20</v>
      </c>
      <c r="B27" s="89">
        <f t="shared" ref="B27:N27" si="38">B4*(1.0374)^$A$27</f>
        <v>833652.13064937096</v>
      </c>
      <c r="C27" s="89">
        <f t="shared" si="38"/>
        <v>937858.64698054234</v>
      </c>
      <c r="D27" s="89">
        <f t="shared" si="38"/>
        <v>1042065.1633117137</v>
      </c>
      <c r="E27" s="89">
        <f t="shared" si="38"/>
        <v>1146271.679642885</v>
      </c>
      <c r="F27" s="89">
        <f t="shared" si="38"/>
        <v>1250478.1959740564</v>
      </c>
      <c r="G27" s="89">
        <f t="shared" si="38"/>
        <v>1354684.7123052278</v>
      </c>
      <c r="H27" s="89">
        <f t="shared" si="38"/>
        <v>1458891.2286363991</v>
      </c>
      <c r="I27" s="89">
        <f t="shared" si="38"/>
        <v>1563097.7449675705</v>
      </c>
      <c r="J27" s="89">
        <f t="shared" si="38"/>
        <v>1667304.2612987419</v>
      </c>
      <c r="K27" s="89">
        <f t="shared" si="38"/>
        <v>1771510.7776299133</v>
      </c>
      <c r="L27" s="89">
        <f t="shared" si="38"/>
        <v>1875717.2939610847</v>
      </c>
      <c r="M27" s="89">
        <f t="shared" si="38"/>
        <v>1979923.8102922561</v>
      </c>
      <c r="N27" s="92">
        <f t="shared" si="38"/>
        <v>2084130.3266234274</v>
      </c>
      <c r="P27" s="93">
        <f t="shared" si="6"/>
        <v>169321.21345701421</v>
      </c>
      <c r="Q27" s="90">
        <f t="shared" si="7"/>
        <v>190486.36513914121</v>
      </c>
      <c r="R27" s="90">
        <f t="shared" si="8"/>
        <v>211651.5168212679</v>
      </c>
      <c r="S27" s="90">
        <f t="shared" si="9"/>
        <v>232816.66850339479</v>
      </c>
      <c r="T27" s="90">
        <f t="shared" si="10"/>
        <v>253981.82018552185</v>
      </c>
      <c r="U27" s="90">
        <f t="shared" si="11"/>
        <v>275146.97186764883</v>
      </c>
      <c r="V27" s="90">
        <f t="shared" si="12"/>
        <v>296312.12354977545</v>
      </c>
      <c r="W27" s="90">
        <f t="shared" si="13"/>
        <v>317477.27523190272</v>
      </c>
      <c r="X27" s="90">
        <f t="shared" si="14"/>
        <v>338642.42691402842</v>
      </c>
      <c r="Y27" s="90">
        <f t="shared" si="15"/>
        <v>359807.57859615603</v>
      </c>
      <c r="Z27" s="90">
        <f t="shared" si="16"/>
        <v>380972.73027828243</v>
      </c>
      <c r="AA27" s="90">
        <f t="shared" si="17"/>
        <v>402137.88196041062</v>
      </c>
      <c r="AB27" s="91">
        <f t="shared" si="18"/>
        <v>423303.0336425358</v>
      </c>
      <c r="AD27" s="93">
        <f t="shared" si="19"/>
        <v>664330.91719235678</v>
      </c>
      <c r="AE27" s="90">
        <f t="shared" si="19"/>
        <v>747372.28184140113</v>
      </c>
      <c r="AF27" s="90">
        <f t="shared" si="19"/>
        <v>830413.64649044583</v>
      </c>
      <c r="AG27" s="90">
        <f t="shared" si="19"/>
        <v>913455.01113949018</v>
      </c>
      <c r="AH27" s="90">
        <f t="shared" si="19"/>
        <v>996496.37578853453</v>
      </c>
      <c r="AI27" s="90">
        <f t="shared" si="19"/>
        <v>1079537.7404375789</v>
      </c>
      <c r="AJ27" s="90">
        <f t="shared" si="19"/>
        <v>1162579.1050866237</v>
      </c>
      <c r="AK27" s="90">
        <f t="shared" si="19"/>
        <v>1245620.4697356678</v>
      </c>
      <c r="AL27" s="90">
        <f t="shared" si="19"/>
        <v>1328661.8343847136</v>
      </c>
      <c r="AM27" s="90">
        <f t="shared" si="19"/>
        <v>1411703.1990337572</v>
      </c>
      <c r="AN27" s="90">
        <f t="shared" si="19"/>
        <v>1494744.5636828023</v>
      </c>
      <c r="AO27" s="90">
        <f t="shared" si="19"/>
        <v>1577785.9283318454</v>
      </c>
      <c r="AP27" s="91">
        <f t="shared" si="19"/>
        <v>1660827.2929808917</v>
      </c>
    </row>
    <row r="28" spans="1:42" x14ac:dyDescent="0.2">
      <c r="A28" s="6">
        <f t="shared" si="20"/>
        <v>21</v>
      </c>
      <c r="B28" s="5">
        <f t="shared" ref="B28:N28" si="39">B4*(1.0374)^$A$28</f>
        <v>864830.72033565748</v>
      </c>
      <c r="C28" s="5">
        <f t="shared" si="39"/>
        <v>972934.56037761469</v>
      </c>
      <c r="D28" s="5">
        <f t="shared" si="39"/>
        <v>1081038.4004195719</v>
      </c>
      <c r="E28" s="5">
        <f t="shared" si="39"/>
        <v>1189142.240461529</v>
      </c>
      <c r="F28" s="5">
        <f t="shared" si="39"/>
        <v>1297246.0805034863</v>
      </c>
      <c r="G28" s="5">
        <f t="shared" si="39"/>
        <v>1405349.9205454434</v>
      </c>
      <c r="H28" s="5">
        <f t="shared" si="39"/>
        <v>1513453.7605874008</v>
      </c>
      <c r="I28" s="5">
        <f t="shared" si="39"/>
        <v>1621557.6006293579</v>
      </c>
      <c r="J28" s="5">
        <f t="shared" si="39"/>
        <v>1729661.440671315</v>
      </c>
      <c r="K28" s="5">
        <f t="shared" si="39"/>
        <v>1837765.2807132723</v>
      </c>
      <c r="L28" s="5">
        <f t="shared" si="39"/>
        <v>1945869.1207552294</v>
      </c>
      <c r="M28" s="5">
        <f t="shared" si="39"/>
        <v>2053972.9607971865</v>
      </c>
      <c r="N28" s="5">
        <f t="shared" si="39"/>
        <v>2162076.8008391438</v>
      </c>
      <c r="P28" s="5">
        <f t="shared" si="6"/>
        <v>157643.08448157593</v>
      </c>
      <c r="Q28" s="5">
        <f t="shared" si="7"/>
        <v>177348.47004177319</v>
      </c>
      <c r="R28" s="5">
        <f t="shared" si="8"/>
        <v>197053.85560197008</v>
      </c>
      <c r="S28" s="5">
        <f t="shared" si="9"/>
        <v>216759.24116216716</v>
      </c>
      <c r="T28" s="5">
        <f t="shared" si="10"/>
        <v>236464.62672236445</v>
      </c>
      <c r="U28" s="5">
        <f t="shared" si="11"/>
        <v>256170.01228256169</v>
      </c>
      <c r="V28" s="5">
        <f t="shared" si="12"/>
        <v>275875.39784275851</v>
      </c>
      <c r="W28" s="5">
        <f t="shared" si="13"/>
        <v>295580.78340295603</v>
      </c>
      <c r="X28" s="5">
        <f t="shared" si="14"/>
        <v>315286.16896315187</v>
      </c>
      <c r="Y28" s="5">
        <f t="shared" si="15"/>
        <v>334991.5545233498</v>
      </c>
      <c r="Z28" s="5">
        <f t="shared" si="16"/>
        <v>354696.94008354639</v>
      </c>
      <c r="AA28" s="5">
        <f t="shared" si="17"/>
        <v>374402.32564374484</v>
      </c>
      <c r="AB28" s="5">
        <f t="shared" si="18"/>
        <v>394107.71120394015</v>
      </c>
      <c r="AD28" s="5">
        <f t="shared" si="19"/>
        <v>707187.63585408148</v>
      </c>
      <c r="AE28" s="5">
        <f t="shared" si="19"/>
        <v>795586.09033584152</v>
      </c>
      <c r="AF28" s="5">
        <f t="shared" si="19"/>
        <v>883984.5448176018</v>
      </c>
      <c r="AG28" s="5">
        <f t="shared" si="19"/>
        <v>972382.99929936184</v>
      </c>
      <c r="AH28" s="5">
        <f t="shared" si="19"/>
        <v>1060781.4537811219</v>
      </c>
      <c r="AI28" s="5">
        <f t="shared" si="19"/>
        <v>1149179.9082628817</v>
      </c>
      <c r="AJ28" s="5">
        <f t="shared" si="19"/>
        <v>1237578.3627446422</v>
      </c>
      <c r="AK28" s="5">
        <f t="shared" si="19"/>
        <v>1325976.8172264018</v>
      </c>
      <c r="AL28" s="5">
        <f t="shared" si="19"/>
        <v>1414375.271708163</v>
      </c>
      <c r="AM28" s="5">
        <f t="shared" si="19"/>
        <v>1502773.7261899225</v>
      </c>
      <c r="AN28" s="5">
        <f t="shared" si="19"/>
        <v>1591172.180671683</v>
      </c>
      <c r="AO28" s="5">
        <f t="shared" si="19"/>
        <v>1679570.6351534417</v>
      </c>
      <c r="AP28" s="5">
        <f t="shared" si="19"/>
        <v>1767969.0896352036</v>
      </c>
    </row>
    <row r="29" spans="1:42" x14ac:dyDescent="0.2">
      <c r="A29" s="6">
        <f t="shared" si="20"/>
        <v>22</v>
      </c>
      <c r="B29" s="5">
        <f t="shared" ref="B29:N29" si="40">B4*(1.0374)^$A$29</f>
        <v>897175.38927621127</v>
      </c>
      <c r="C29" s="5">
        <f t="shared" si="40"/>
        <v>1009322.3129357377</v>
      </c>
      <c r="D29" s="5">
        <f t="shared" si="40"/>
        <v>1121469.2365952642</v>
      </c>
      <c r="E29" s="5">
        <f t="shared" si="40"/>
        <v>1233616.1602547904</v>
      </c>
      <c r="F29" s="5">
        <f t="shared" si="40"/>
        <v>1345763.083914317</v>
      </c>
      <c r="G29" s="5">
        <f t="shared" si="40"/>
        <v>1457910.0075738432</v>
      </c>
      <c r="H29" s="5">
        <f t="shared" si="40"/>
        <v>1570056.9312333697</v>
      </c>
      <c r="I29" s="5">
        <f t="shared" si="40"/>
        <v>1682203.8548928963</v>
      </c>
      <c r="J29" s="5">
        <f t="shared" si="40"/>
        <v>1794350.7785524225</v>
      </c>
      <c r="K29" s="5">
        <f t="shared" si="40"/>
        <v>1906497.702211949</v>
      </c>
      <c r="L29" s="5">
        <f t="shared" si="40"/>
        <v>2018644.6258714753</v>
      </c>
      <c r="M29" s="5">
        <f t="shared" si="40"/>
        <v>2130791.5495310016</v>
      </c>
      <c r="N29" s="5">
        <f t="shared" si="40"/>
        <v>2242938.4731905283</v>
      </c>
      <c r="P29" s="5">
        <f t="shared" si="6"/>
        <v>145428.46430420459</v>
      </c>
      <c r="Q29" s="5">
        <f t="shared" si="7"/>
        <v>163607.02234223046</v>
      </c>
      <c r="R29" s="5">
        <f t="shared" si="8"/>
        <v>181785.58038025594</v>
      </c>
      <c r="S29" s="5">
        <f t="shared" si="9"/>
        <v>199964.13841828157</v>
      </c>
      <c r="T29" s="5">
        <f t="shared" si="10"/>
        <v>218142.69645630746</v>
      </c>
      <c r="U29" s="5">
        <f t="shared" si="11"/>
        <v>236321.25449433329</v>
      </c>
      <c r="V29" s="5">
        <f t="shared" si="12"/>
        <v>254499.81253235869</v>
      </c>
      <c r="W29" s="5">
        <f t="shared" si="13"/>
        <v>272678.37057038484</v>
      </c>
      <c r="X29" s="5">
        <f t="shared" si="14"/>
        <v>290856.92860840919</v>
      </c>
      <c r="Y29" s="5">
        <f t="shared" si="15"/>
        <v>309035.48664643575</v>
      </c>
      <c r="Z29" s="5">
        <f t="shared" si="16"/>
        <v>327214.04468446091</v>
      </c>
      <c r="AA29" s="5">
        <f t="shared" si="17"/>
        <v>345392.60272248805</v>
      </c>
      <c r="AB29" s="5">
        <f t="shared" si="18"/>
        <v>363571.16076051188</v>
      </c>
      <c r="AD29" s="5">
        <f t="shared" si="19"/>
        <v>751746.9249720067</v>
      </c>
      <c r="AE29" s="5">
        <f t="shared" si="19"/>
        <v>845715.29059350723</v>
      </c>
      <c r="AF29" s="5">
        <f t="shared" si="19"/>
        <v>939683.65621500823</v>
      </c>
      <c r="AG29" s="5">
        <f t="shared" si="19"/>
        <v>1033652.0218365089</v>
      </c>
      <c r="AH29" s="5">
        <f t="shared" si="19"/>
        <v>1127620.3874580094</v>
      </c>
      <c r="AI29" s="5">
        <f t="shared" si="19"/>
        <v>1221588.7530795098</v>
      </c>
      <c r="AJ29" s="5">
        <f t="shared" si="19"/>
        <v>1315557.1187010109</v>
      </c>
      <c r="AK29" s="5">
        <f t="shared" si="19"/>
        <v>1409525.4843225114</v>
      </c>
      <c r="AL29" s="5">
        <f t="shared" si="19"/>
        <v>1503493.8499440134</v>
      </c>
      <c r="AM29" s="5">
        <f t="shared" si="19"/>
        <v>1597462.2155655134</v>
      </c>
      <c r="AN29" s="5">
        <f t="shared" si="19"/>
        <v>1691430.5811870145</v>
      </c>
      <c r="AO29" s="5">
        <f t="shared" si="19"/>
        <v>1785398.9468085135</v>
      </c>
      <c r="AP29" s="5">
        <f t="shared" si="19"/>
        <v>1879367.3124300165</v>
      </c>
    </row>
    <row r="30" spans="1:42" x14ac:dyDescent="0.2">
      <c r="A30" s="6">
        <f t="shared" si="20"/>
        <v>23</v>
      </c>
      <c r="B30" s="5">
        <f t="shared" ref="B30:N30" si="41">B4*(1.0374)^$A$30</f>
        <v>930729.74883514165</v>
      </c>
      <c r="C30" s="5">
        <f t="shared" si="41"/>
        <v>1047070.9674395344</v>
      </c>
      <c r="D30" s="5">
        <f t="shared" si="41"/>
        <v>1163412.186043927</v>
      </c>
      <c r="E30" s="5">
        <f t="shared" si="41"/>
        <v>1279753.4046483198</v>
      </c>
      <c r="F30" s="5">
        <f t="shared" si="41"/>
        <v>1396094.6232527124</v>
      </c>
      <c r="G30" s="5">
        <f t="shared" si="41"/>
        <v>1512435.8418571053</v>
      </c>
      <c r="H30" s="5">
        <f t="shared" si="41"/>
        <v>1628777.0604614979</v>
      </c>
      <c r="I30" s="5">
        <f t="shared" si="41"/>
        <v>1745118.2790658905</v>
      </c>
      <c r="J30" s="5">
        <f t="shared" si="41"/>
        <v>1861459.4976702833</v>
      </c>
      <c r="K30" s="5">
        <f t="shared" si="41"/>
        <v>1977800.7162746759</v>
      </c>
      <c r="L30" s="5">
        <f t="shared" si="41"/>
        <v>2094141.9348790688</v>
      </c>
      <c r="M30" s="5">
        <f t="shared" si="41"/>
        <v>2210483.1534834616</v>
      </c>
      <c r="N30" s="5">
        <f t="shared" si="41"/>
        <v>2326824.372087854</v>
      </c>
      <c r="P30" s="5">
        <f t="shared" si="6"/>
        <v>132652.70661294757</v>
      </c>
      <c r="Q30" s="5">
        <f t="shared" si="7"/>
        <v>149234.29493956632</v>
      </c>
      <c r="R30" s="5">
        <f t="shared" si="8"/>
        <v>165815.88326618468</v>
      </c>
      <c r="S30" s="5">
        <f t="shared" si="9"/>
        <v>182397.47159280314</v>
      </c>
      <c r="T30" s="5">
        <f t="shared" si="10"/>
        <v>198979.05991942194</v>
      </c>
      <c r="U30" s="5">
        <f t="shared" si="11"/>
        <v>215560.64824604066</v>
      </c>
      <c r="V30" s="5">
        <f t="shared" si="12"/>
        <v>232142.23657265893</v>
      </c>
      <c r="W30" s="5">
        <f t="shared" si="13"/>
        <v>248723.82489927794</v>
      </c>
      <c r="X30" s="5">
        <f t="shared" si="14"/>
        <v>265305.41322589514</v>
      </c>
      <c r="Y30" s="5">
        <f t="shared" si="15"/>
        <v>281887.00155251462</v>
      </c>
      <c r="Z30" s="5">
        <f t="shared" si="16"/>
        <v>298468.58987913263</v>
      </c>
      <c r="AA30" s="5">
        <f t="shared" si="17"/>
        <v>315050.17820575275</v>
      </c>
      <c r="AB30" s="5">
        <f t="shared" si="18"/>
        <v>331631.76653236937</v>
      </c>
      <c r="AD30" s="5">
        <f t="shared" si="19"/>
        <v>798077.04222219414</v>
      </c>
      <c r="AE30" s="5">
        <f t="shared" si="19"/>
        <v>897836.67249996809</v>
      </c>
      <c r="AF30" s="5">
        <f t="shared" si="19"/>
        <v>997596.30277774227</v>
      </c>
      <c r="AG30" s="5">
        <f t="shared" si="19"/>
        <v>1097355.9330555168</v>
      </c>
      <c r="AH30" s="5">
        <f t="shared" si="19"/>
        <v>1197115.5633332904</v>
      </c>
      <c r="AI30" s="5">
        <f t="shared" si="19"/>
        <v>1296875.1936110647</v>
      </c>
      <c r="AJ30" s="5">
        <f t="shared" si="19"/>
        <v>1396634.823888839</v>
      </c>
      <c r="AK30" s="5">
        <f t="shared" si="19"/>
        <v>1496394.4541666126</v>
      </c>
      <c r="AL30" s="5">
        <f t="shared" si="19"/>
        <v>1596154.0844443883</v>
      </c>
      <c r="AM30" s="5">
        <f t="shared" si="19"/>
        <v>1695913.7147221612</v>
      </c>
      <c r="AN30" s="5">
        <f t="shared" si="19"/>
        <v>1795673.3449999362</v>
      </c>
      <c r="AO30" s="5">
        <f t="shared" si="19"/>
        <v>1895432.9752777088</v>
      </c>
      <c r="AP30" s="5">
        <f t="shared" si="19"/>
        <v>1995192.6055554845</v>
      </c>
    </row>
    <row r="31" spans="1:42" x14ac:dyDescent="0.2">
      <c r="A31" s="6">
        <f t="shared" si="20"/>
        <v>24</v>
      </c>
      <c r="B31" s="5">
        <f t="shared" ref="B31:N31" si="42">B4*(1.0374)^$A$31</f>
        <v>965539.04144157632</v>
      </c>
      <c r="C31" s="5">
        <f t="shared" si="42"/>
        <v>1086231.4216217734</v>
      </c>
      <c r="D31" s="5">
        <f t="shared" si="42"/>
        <v>1206923.8018019702</v>
      </c>
      <c r="E31" s="5">
        <f t="shared" si="42"/>
        <v>1327616.1819821673</v>
      </c>
      <c r="F31" s="5">
        <f t="shared" si="42"/>
        <v>1448308.5621623644</v>
      </c>
      <c r="G31" s="5">
        <f t="shared" si="42"/>
        <v>1569000.9423425614</v>
      </c>
      <c r="H31" s="5">
        <f t="shared" si="42"/>
        <v>1689693.3225227585</v>
      </c>
      <c r="I31" s="5">
        <f t="shared" si="42"/>
        <v>1810385.7027029556</v>
      </c>
      <c r="J31" s="5">
        <f t="shared" si="42"/>
        <v>1931078.0828831526</v>
      </c>
      <c r="K31" s="5">
        <f t="shared" si="42"/>
        <v>2051770.4630633495</v>
      </c>
      <c r="L31" s="5">
        <f t="shared" si="42"/>
        <v>2172462.8432435468</v>
      </c>
      <c r="M31" s="5">
        <f t="shared" si="42"/>
        <v>2293155.2234237436</v>
      </c>
      <c r="N31" s="5">
        <f t="shared" si="42"/>
        <v>2413847.6036039405</v>
      </c>
      <c r="P31" s="5">
        <f t="shared" si="6"/>
        <v>119290.03284859323</v>
      </c>
      <c r="Q31" s="5">
        <f t="shared" si="7"/>
        <v>134201.28695466771</v>
      </c>
      <c r="R31" s="5">
        <f t="shared" si="8"/>
        <v>149112.54106074176</v>
      </c>
      <c r="S31" s="5">
        <f t="shared" si="9"/>
        <v>164023.79516681592</v>
      </c>
      <c r="T31" s="5">
        <f t="shared" si="10"/>
        <v>178935.04927289044</v>
      </c>
      <c r="U31" s="5">
        <f t="shared" si="11"/>
        <v>193846.30337896489</v>
      </c>
      <c r="V31" s="5">
        <f t="shared" si="12"/>
        <v>208757.55748503885</v>
      </c>
      <c r="W31" s="5">
        <f t="shared" si="13"/>
        <v>223668.8115911136</v>
      </c>
      <c r="X31" s="5">
        <f t="shared" si="14"/>
        <v>238580.06569718645</v>
      </c>
      <c r="Y31" s="5">
        <f t="shared" si="15"/>
        <v>253491.31980326166</v>
      </c>
      <c r="Z31" s="5">
        <f t="shared" si="16"/>
        <v>268402.57390933542</v>
      </c>
      <c r="AA31" s="5">
        <f t="shared" si="17"/>
        <v>283313.82801541127</v>
      </c>
      <c r="AB31" s="5">
        <f t="shared" si="18"/>
        <v>298225.08212148352</v>
      </c>
      <c r="AD31" s="5">
        <f t="shared" si="19"/>
        <v>846249.00859298313</v>
      </c>
      <c r="AE31" s="5">
        <f t="shared" si="19"/>
        <v>952030.13466710574</v>
      </c>
      <c r="AF31" s="5">
        <f t="shared" si="19"/>
        <v>1057811.2607412285</v>
      </c>
      <c r="AG31" s="5">
        <f t="shared" si="19"/>
        <v>1163592.3868153514</v>
      </c>
      <c r="AH31" s="5">
        <f t="shared" si="19"/>
        <v>1269373.5128894739</v>
      </c>
      <c r="AI31" s="5">
        <f t="shared" si="19"/>
        <v>1375154.6389635964</v>
      </c>
      <c r="AJ31" s="5">
        <f t="shared" si="19"/>
        <v>1480935.7650377196</v>
      </c>
      <c r="AK31" s="5">
        <f t="shared" si="19"/>
        <v>1586716.8911118419</v>
      </c>
      <c r="AL31" s="5">
        <f t="shared" si="19"/>
        <v>1692498.0171859663</v>
      </c>
      <c r="AM31" s="5">
        <f t="shared" si="19"/>
        <v>1798279.1432600878</v>
      </c>
      <c r="AN31" s="5">
        <f t="shared" si="19"/>
        <v>1904060.2693342115</v>
      </c>
      <c r="AO31" s="5">
        <f t="shared" si="19"/>
        <v>2009841.3954083323</v>
      </c>
      <c r="AP31" s="5">
        <f t="shared" si="19"/>
        <v>2115622.5214824569</v>
      </c>
    </row>
    <row r="32" spans="1:42" s="8" customFormat="1" x14ac:dyDescent="0.2">
      <c r="A32" s="88">
        <f t="shared" si="20"/>
        <v>25</v>
      </c>
      <c r="B32" s="89">
        <f t="shared" ref="B32:N32" si="43">B4*(1.0374)^$A$32</f>
        <v>1001650.2015914911</v>
      </c>
      <c r="C32" s="89">
        <f t="shared" si="43"/>
        <v>1126856.4767904275</v>
      </c>
      <c r="D32" s="89">
        <f t="shared" si="43"/>
        <v>1252062.7519893639</v>
      </c>
      <c r="E32" s="89">
        <f t="shared" si="43"/>
        <v>1377269.0271883004</v>
      </c>
      <c r="F32" s="89">
        <f t="shared" si="43"/>
        <v>1502475.3023872366</v>
      </c>
      <c r="G32" s="89">
        <f t="shared" si="43"/>
        <v>1627681.5775861731</v>
      </c>
      <c r="H32" s="89">
        <f t="shared" si="43"/>
        <v>1752887.8527851095</v>
      </c>
      <c r="I32" s="89">
        <f t="shared" si="43"/>
        <v>1878094.1279840458</v>
      </c>
      <c r="J32" s="89">
        <f t="shared" si="43"/>
        <v>2003300.4031829822</v>
      </c>
      <c r="K32" s="89">
        <f t="shared" si="43"/>
        <v>2128506.6783819185</v>
      </c>
      <c r="L32" s="89">
        <f t="shared" si="43"/>
        <v>2253712.9535808549</v>
      </c>
      <c r="M32" s="89">
        <f t="shared" si="43"/>
        <v>2378919.2287797914</v>
      </c>
      <c r="N32" s="92">
        <f t="shared" si="43"/>
        <v>2504125.5039787279</v>
      </c>
      <c r="P32" s="93">
        <f t="shared" si="6"/>
        <v>105313.48018942997</v>
      </c>
      <c r="Q32" s="90">
        <f t="shared" si="7"/>
        <v>118477.66521310905</v>
      </c>
      <c r="R32" s="90">
        <f t="shared" si="8"/>
        <v>131641.85023678769</v>
      </c>
      <c r="S32" s="90">
        <f t="shared" si="9"/>
        <v>144806.03526046642</v>
      </c>
      <c r="T32" s="90">
        <f t="shared" si="10"/>
        <v>157970.22028414556</v>
      </c>
      <c r="U32" s="90">
        <f t="shared" si="11"/>
        <v>171134.40530782464</v>
      </c>
      <c r="V32" s="90">
        <f t="shared" si="12"/>
        <v>184298.59033150316</v>
      </c>
      <c r="W32" s="90">
        <f t="shared" si="13"/>
        <v>197462.77535518256</v>
      </c>
      <c r="X32" s="90">
        <f t="shared" si="14"/>
        <v>210626.96037885995</v>
      </c>
      <c r="Y32" s="90">
        <f t="shared" si="15"/>
        <v>223791.14540253981</v>
      </c>
      <c r="Z32" s="90">
        <f t="shared" si="16"/>
        <v>236955.3304262181</v>
      </c>
      <c r="AA32" s="90">
        <f t="shared" si="17"/>
        <v>250119.51544989864</v>
      </c>
      <c r="AB32" s="91">
        <f t="shared" si="18"/>
        <v>263283.70047357539</v>
      </c>
      <c r="AD32" s="93">
        <f t="shared" si="19"/>
        <v>896336.72140206117</v>
      </c>
      <c r="AE32" s="90">
        <f t="shared" si="19"/>
        <v>1008378.8115773185</v>
      </c>
      <c r="AF32" s="90">
        <f t="shared" si="19"/>
        <v>1120420.9017525762</v>
      </c>
      <c r="AG32" s="90">
        <f t="shared" si="19"/>
        <v>1232462.991927834</v>
      </c>
      <c r="AH32" s="90">
        <f t="shared" si="19"/>
        <v>1344505.0821030911</v>
      </c>
      <c r="AI32" s="90">
        <f t="shared" si="19"/>
        <v>1456547.1722783484</v>
      </c>
      <c r="AJ32" s="90">
        <f t="shared" si="19"/>
        <v>1568589.2624536064</v>
      </c>
      <c r="AK32" s="90">
        <f t="shared" si="19"/>
        <v>1680631.3526288632</v>
      </c>
      <c r="AL32" s="90">
        <f t="shared" si="19"/>
        <v>1792673.4428041223</v>
      </c>
      <c r="AM32" s="90">
        <f t="shared" si="19"/>
        <v>1904715.5329793787</v>
      </c>
      <c r="AN32" s="90">
        <f t="shared" si="19"/>
        <v>2016757.6231546369</v>
      </c>
      <c r="AO32" s="90">
        <f t="shared" si="19"/>
        <v>2128799.7133298926</v>
      </c>
      <c r="AP32" s="91">
        <f t="shared" si="19"/>
        <v>2240841.8035051525</v>
      </c>
    </row>
    <row r="34" spans="1:42" x14ac:dyDescent="0.2">
      <c r="A34" s="6" t="s">
        <v>48</v>
      </c>
      <c r="P34" s="5" t="s">
        <v>52</v>
      </c>
      <c r="AD34" s="5" t="s">
        <v>53</v>
      </c>
    </row>
    <row r="35" spans="1:42" x14ac:dyDescent="0.2">
      <c r="A35" s="6">
        <v>1</v>
      </c>
      <c r="B35" s="5">
        <f>12*B5*$A$35</f>
        <v>32179.941433063646</v>
      </c>
      <c r="C35" s="5">
        <f t="shared" ref="C35:N35" si="44">12*C5*$A$35</f>
        <v>28487.759630018641</v>
      </c>
      <c r="D35" s="5">
        <f t="shared" si="44"/>
        <v>32514.475963332141</v>
      </c>
      <c r="E35" s="5">
        <f t="shared" si="44"/>
        <v>36541.192296645633</v>
      </c>
      <c r="F35" s="5">
        <f t="shared" si="44"/>
        <v>40567.908629959129</v>
      </c>
      <c r="G35" s="5">
        <f t="shared" si="44"/>
        <v>44594.624963272625</v>
      </c>
      <c r="H35" s="5">
        <f t="shared" si="44"/>
        <v>48621.341296586121</v>
      </c>
      <c r="I35" s="5">
        <f t="shared" si="44"/>
        <v>52648.057629899617</v>
      </c>
      <c r="J35" s="5">
        <f t="shared" si="44"/>
        <v>56674.773963213112</v>
      </c>
      <c r="K35" s="5">
        <f t="shared" si="44"/>
        <v>60701.490296526608</v>
      </c>
      <c r="L35" s="5">
        <f t="shared" si="44"/>
        <v>64728.206629840104</v>
      </c>
      <c r="M35" s="5">
        <f t="shared" si="44"/>
        <v>68754.9229631536</v>
      </c>
      <c r="N35" s="5">
        <f t="shared" si="44"/>
        <v>72781.639296467096</v>
      </c>
      <c r="P35" s="5">
        <f>B35+$F$2</f>
        <v>199158.78696297324</v>
      </c>
      <c r="Q35" s="5">
        <f t="shared" ref="Q35:AB35" si="45">C35+$F$2</f>
        <v>195466.60515992824</v>
      </c>
      <c r="R35" s="5">
        <f t="shared" si="45"/>
        <v>199493.32149324173</v>
      </c>
      <c r="S35" s="5">
        <f t="shared" si="45"/>
        <v>203520.03782655523</v>
      </c>
      <c r="T35" s="5">
        <f t="shared" si="45"/>
        <v>207546.75415986872</v>
      </c>
      <c r="U35" s="5">
        <f t="shared" si="45"/>
        <v>211573.47049318222</v>
      </c>
      <c r="V35" s="5">
        <f t="shared" si="45"/>
        <v>215600.18682649572</v>
      </c>
      <c r="W35" s="5">
        <f t="shared" si="45"/>
        <v>219626.90315980921</v>
      </c>
      <c r="X35" s="5">
        <f t="shared" si="45"/>
        <v>223653.61949312271</v>
      </c>
      <c r="Y35" s="5">
        <f t="shared" si="45"/>
        <v>227680.3358264362</v>
      </c>
      <c r="Z35" s="5">
        <f t="shared" si="45"/>
        <v>231707.0521597497</v>
      </c>
      <c r="AA35" s="5">
        <f t="shared" si="45"/>
        <v>235733.76849306319</v>
      </c>
      <c r="AB35" s="5">
        <f t="shared" si="45"/>
        <v>239760.48482637669</v>
      </c>
      <c r="AD35" s="5">
        <f>AD8-P35</f>
        <v>-99442.815078647982</v>
      </c>
      <c r="AE35" s="5">
        <f>AE8-Q35</f>
        <v>-83286.136790062388</v>
      </c>
      <c r="AF35" s="5">
        <f t="shared" ref="AF35:AP50" si="46">AF8-R35</f>
        <v>-74848.356637835241</v>
      </c>
      <c r="AG35" s="5">
        <f t="shared" si="46"/>
        <v>-66410.576485608151</v>
      </c>
      <c r="AH35" s="5">
        <f t="shared" si="46"/>
        <v>-57972.796333380888</v>
      </c>
      <c r="AI35" s="5">
        <f t="shared" si="46"/>
        <v>-49535.01618115374</v>
      </c>
      <c r="AJ35" s="5">
        <f t="shared" si="46"/>
        <v>-41097.236028926593</v>
      </c>
      <c r="AK35" s="5">
        <f t="shared" si="46"/>
        <v>-32659.455876699445</v>
      </c>
      <c r="AL35" s="5">
        <f t="shared" si="46"/>
        <v>-24221.675724472181</v>
      </c>
      <c r="AM35" s="5">
        <f t="shared" si="46"/>
        <v>-15783.89557224515</v>
      </c>
      <c r="AN35" s="5">
        <f t="shared" si="46"/>
        <v>-7346.1154200180026</v>
      </c>
      <c r="AO35" s="5">
        <f t="shared" si="46"/>
        <v>1091.6647322091449</v>
      </c>
      <c r="AP35" s="5">
        <f t="shared" si="46"/>
        <v>9529.4448844362923</v>
      </c>
    </row>
    <row r="36" spans="1:42" x14ac:dyDescent="0.2">
      <c r="A36" s="6">
        <f>A35+1</f>
        <v>2</v>
      </c>
      <c r="B36" s="5">
        <f>12*B5*$A$36</f>
        <v>64359.882866127293</v>
      </c>
      <c r="C36" s="5">
        <f t="shared" ref="C36:N36" si="47">12*C5*$A$36</f>
        <v>56975.519260037283</v>
      </c>
      <c r="D36" s="5">
        <f t="shared" si="47"/>
        <v>65028.951926664282</v>
      </c>
      <c r="E36" s="5">
        <f t="shared" si="47"/>
        <v>73082.384593291266</v>
      </c>
      <c r="F36" s="5">
        <f t="shared" si="47"/>
        <v>81135.817259918258</v>
      </c>
      <c r="G36" s="5">
        <f t="shared" si="47"/>
        <v>89189.24992654525</v>
      </c>
      <c r="H36" s="5">
        <f t="shared" si="47"/>
        <v>97242.682593172241</v>
      </c>
      <c r="I36" s="5">
        <f t="shared" si="47"/>
        <v>105296.11525979923</v>
      </c>
      <c r="J36" s="5">
        <f t="shared" si="47"/>
        <v>113349.54792642622</v>
      </c>
      <c r="K36" s="5">
        <f t="shared" si="47"/>
        <v>121402.98059305322</v>
      </c>
      <c r="L36" s="5">
        <f t="shared" si="47"/>
        <v>129456.41325968021</v>
      </c>
      <c r="M36" s="5">
        <f t="shared" si="47"/>
        <v>137509.8459263072</v>
      </c>
      <c r="N36" s="5">
        <f t="shared" si="47"/>
        <v>145563.27859293419</v>
      </c>
      <c r="P36" s="5">
        <f t="shared" ref="P36:P59" si="48">B36+$F$2</f>
        <v>231338.72839603689</v>
      </c>
      <c r="Q36" s="5">
        <f t="shared" ref="Q36:Q59" si="49">C36+$F$2</f>
        <v>223954.36478994688</v>
      </c>
      <c r="R36" s="5">
        <f t="shared" ref="R36:R59" si="50">D36+$F$2</f>
        <v>232007.79745657387</v>
      </c>
      <c r="S36" s="5">
        <f t="shared" ref="S36:S59" si="51">E36+$F$2</f>
        <v>240061.23012320086</v>
      </c>
      <c r="T36" s="5">
        <f t="shared" ref="T36:T59" si="52">F36+$F$2</f>
        <v>248114.66278982785</v>
      </c>
      <c r="U36" s="5">
        <f t="shared" ref="U36:U59" si="53">G36+$F$2</f>
        <v>256168.09545645484</v>
      </c>
      <c r="V36" s="5">
        <f t="shared" ref="V36:V59" si="54">H36+$F$2</f>
        <v>264221.52812308184</v>
      </c>
      <c r="W36" s="5">
        <f t="shared" ref="W36:W59" si="55">I36+$F$2</f>
        <v>272274.96078970883</v>
      </c>
      <c r="X36" s="5">
        <f t="shared" ref="X36:X59" si="56">J36+$F$2</f>
        <v>280328.39345633582</v>
      </c>
      <c r="Y36" s="5">
        <f t="shared" ref="Y36:Y59" si="57">K36+$F$2</f>
        <v>288381.82612296281</v>
      </c>
      <c r="Z36" s="5">
        <f t="shared" ref="Z36:Z59" si="58">L36+$F$2</f>
        <v>296435.2587895898</v>
      </c>
      <c r="AA36" s="5">
        <f t="shared" ref="AA36:AA59" si="59">M36+$F$2</f>
        <v>304488.69145621679</v>
      </c>
      <c r="AB36" s="5">
        <f t="shared" ref="AB36:AB59" si="60">N36+$F$2</f>
        <v>312542.12412284379</v>
      </c>
      <c r="AD36" s="5">
        <f t="shared" ref="AD36:AD58" si="61">AD9-P36</f>
        <v>-111128.79211112257</v>
      </c>
      <c r="AE36" s="5">
        <f t="shared" ref="AE36:AP59" si="62">AE9-Q36</f>
        <v>-88718.186469418346</v>
      </c>
      <c r="AF36" s="5">
        <f t="shared" si="46"/>
        <v>-81745.377100431011</v>
      </c>
      <c r="AG36" s="5">
        <f t="shared" si="46"/>
        <v>-74772.567731443793</v>
      </c>
      <c r="AH36" s="5">
        <f t="shared" si="46"/>
        <v>-67799.758362456458</v>
      </c>
      <c r="AI36" s="5">
        <f t="shared" si="46"/>
        <v>-60826.948993469181</v>
      </c>
      <c r="AJ36" s="5">
        <f t="shared" si="46"/>
        <v>-53854.13962448173</v>
      </c>
      <c r="AK36" s="5">
        <f t="shared" si="46"/>
        <v>-46881.330255494628</v>
      </c>
      <c r="AL36" s="5">
        <f t="shared" si="46"/>
        <v>-39908.520886507176</v>
      </c>
      <c r="AM36" s="5">
        <f t="shared" si="46"/>
        <v>-32935.711517519958</v>
      </c>
      <c r="AN36" s="5">
        <f t="shared" si="46"/>
        <v>-25962.902148532739</v>
      </c>
      <c r="AO36" s="5">
        <f t="shared" si="46"/>
        <v>-18990.092779545404</v>
      </c>
      <c r="AP36" s="5">
        <f t="shared" si="46"/>
        <v>-12017.28341055807</v>
      </c>
    </row>
    <row r="37" spans="1:42" x14ac:dyDescent="0.2">
      <c r="A37" s="6">
        <f t="shared" ref="A37:A59" si="63">A36+1</f>
        <v>3</v>
      </c>
      <c r="B37" s="5">
        <f>12*B5*$A$37</f>
        <v>96539.824299190936</v>
      </c>
      <c r="C37" s="5">
        <f t="shared" ref="C37:N37" si="64">12*C5*$A$37</f>
        <v>85463.278890055924</v>
      </c>
      <c r="D37" s="5">
        <f t="shared" si="64"/>
        <v>97543.427889996427</v>
      </c>
      <c r="E37" s="5">
        <f t="shared" si="64"/>
        <v>109623.5768899369</v>
      </c>
      <c r="F37" s="5">
        <f t="shared" si="64"/>
        <v>121703.72588987739</v>
      </c>
      <c r="G37" s="5">
        <f t="shared" si="64"/>
        <v>133783.87488981787</v>
      </c>
      <c r="H37" s="5">
        <f t="shared" si="64"/>
        <v>145864.02388975836</v>
      </c>
      <c r="I37" s="5">
        <f t="shared" si="64"/>
        <v>157944.17288969885</v>
      </c>
      <c r="J37" s="5">
        <f t="shared" si="64"/>
        <v>170024.32188963934</v>
      </c>
      <c r="K37" s="5">
        <f t="shared" si="64"/>
        <v>182104.47088957982</v>
      </c>
      <c r="L37" s="5">
        <f t="shared" si="64"/>
        <v>194184.61988952031</v>
      </c>
      <c r="M37" s="5">
        <f t="shared" si="64"/>
        <v>206264.7688894608</v>
      </c>
      <c r="N37" s="5">
        <f t="shared" si="64"/>
        <v>218344.91788940129</v>
      </c>
      <c r="P37" s="5">
        <f t="shared" si="48"/>
        <v>263518.66982910055</v>
      </c>
      <c r="Q37" s="5">
        <f t="shared" si="49"/>
        <v>252442.12441996552</v>
      </c>
      <c r="R37" s="5">
        <f t="shared" si="50"/>
        <v>264522.27341990604</v>
      </c>
      <c r="S37" s="5">
        <f t="shared" si="51"/>
        <v>276602.42241984652</v>
      </c>
      <c r="T37" s="5">
        <f t="shared" si="52"/>
        <v>288682.57141978701</v>
      </c>
      <c r="U37" s="5">
        <f t="shared" si="53"/>
        <v>300762.7204197275</v>
      </c>
      <c r="V37" s="5">
        <f t="shared" si="54"/>
        <v>312842.86941966799</v>
      </c>
      <c r="W37" s="5">
        <f t="shared" si="55"/>
        <v>324923.01841960847</v>
      </c>
      <c r="X37" s="5">
        <f t="shared" si="56"/>
        <v>337003.16741954896</v>
      </c>
      <c r="Y37" s="5">
        <f t="shared" si="57"/>
        <v>349083.31641948945</v>
      </c>
      <c r="Z37" s="5">
        <f t="shared" si="58"/>
        <v>361163.46541942994</v>
      </c>
      <c r="AA37" s="5">
        <f t="shared" si="59"/>
        <v>373243.61441937042</v>
      </c>
      <c r="AB37" s="5">
        <f t="shared" si="60"/>
        <v>385323.76341931091</v>
      </c>
      <c r="AD37" s="5">
        <f t="shared" si="61"/>
        <v>-122005.8138535227</v>
      </c>
      <c r="AE37" s="5">
        <f t="shared" si="62"/>
        <v>-93240.161447440594</v>
      </c>
      <c r="AF37" s="5">
        <f t="shared" si="46"/>
        <v>-87631.20345043391</v>
      </c>
      <c r="AG37" s="5">
        <f t="shared" si="46"/>
        <v>-82022.245453427138</v>
      </c>
      <c r="AH37" s="5">
        <f t="shared" si="46"/>
        <v>-76413.287456420541</v>
      </c>
      <c r="AI37" s="5">
        <f t="shared" si="46"/>
        <v>-70804.32945941377</v>
      </c>
      <c r="AJ37" s="5">
        <f t="shared" si="46"/>
        <v>-65195.371462407056</v>
      </c>
      <c r="AK37" s="5">
        <f t="shared" si="46"/>
        <v>-59586.413465400343</v>
      </c>
      <c r="AL37" s="5">
        <f t="shared" si="46"/>
        <v>-53977.45546839328</v>
      </c>
      <c r="AM37" s="5">
        <f t="shared" si="46"/>
        <v>-48368.4974713868</v>
      </c>
      <c r="AN37" s="5">
        <f t="shared" si="46"/>
        <v>-42759.539474380086</v>
      </c>
      <c r="AO37" s="5">
        <f t="shared" si="46"/>
        <v>-37150.581477373373</v>
      </c>
      <c r="AP37" s="5">
        <f t="shared" si="46"/>
        <v>-31541.623480366659</v>
      </c>
    </row>
    <row r="38" spans="1:42" x14ac:dyDescent="0.2">
      <c r="A38" s="6">
        <f t="shared" si="63"/>
        <v>4</v>
      </c>
      <c r="B38" s="5">
        <f>12*B5*$A$38</f>
        <v>128719.76573225459</v>
      </c>
      <c r="C38" s="5">
        <f t="shared" ref="C38:N38" si="65">12*C5*$A$38</f>
        <v>113951.03852007457</v>
      </c>
      <c r="D38" s="5">
        <f t="shared" si="65"/>
        <v>130057.90385332856</v>
      </c>
      <c r="E38" s="5">
        <f t="shared" si="65"/>
        <v>146164.76918658253</v>
      </c>
      <c r="F38" s="5">
        <f t="shared" si="65"/>
        <v>162271.63451983652</v>
      </c>
      <c r="G38" s="5">
        <f t="shared" si="65"/>
        <v>178378.4998530905</v>
      </c>
      <c r="H38" s="5">
        <f t="shared" si="65"/>
        <v>194485.36518634448</v>
      </c>
      <c r="I38" s="5">
        <f t="shared" si="65"/>
        <v>210592.23051959847</v>
      </c>
      <c r="J38" s="5">
        <f t="shared" si="65"/>
        <v>226699.09585285245</v>
      </c>
      <c r="K38" s="5">
        <f t="shared" si="65"/>
        <v>242805.96118610643</v>
      </c>
      <c r="L38" s="5">
        <f t="shared" si="65"/>
        <v>258912.82651936042</v>
      </c>
      <c r="M38" s="5">
        <f t="shared" si="65"/>
        <v>275019.6918526144</v>
      </c>
      <c r="N38" s="5">
        <f t="shared" si="65"/>
        <v>291126.55718586838</v>
      </c>
      <c r="P38" s="5">
        <f t="shared" si="48"/>
        <v>295698.6112621642</v>
      </c>
      <c r="Q38" s="5">
        <f t="shared" si="49"/>
        <v>280929.88404998416</v>
      </c>
      <c r="R38" s="5">
        <f t="shared" si="50"/>
        <v>297036.74938323814</v>
      </c>
      <c r="S38" s="5">
        <f t="shared" si="51"/>
        <v>313143.61471649213</v>
      </c>
      <c r="T38" s="5">
        <f t="shared" si="52"/>
        <v>329250.48004974611</v>
      </c>
      <c r="U38" s="5">
        <f t="shared" si="53"/>
        <v>345357.34538300009</v>
      </c>
      <c r="V38" s="5">
        <f t="shared" si="54"/>
        <v>361464.21071625408</v>
      </c>
      <c r="W38" s="5">
        <f t="shared" si="55"/>
        <v>377571.07604950806</v>
      </c>
      <c r="X38" s="5">
        <f t="shared" si="56"/>
        <v>393677.94138276204</v>
      </c>
      <c r="Y38" s="5">
        <f t="shared" si="57"/>
        <v>409784.80671601603</v>
      </c>
      <c r="Z38" s="5">
        <f t="shared" si="58"/>
        <v>425891.67204927001</v>
      </c>
      <c r="AA38" s="5">
        <f t="shared" si="59"/>
        <v>441998.53738252399</v>
      </c>
      <c r="AB38" s="5">
        <f t="shared" si="60"/>
        <v>458105.40271577798</v>
      </c>
      <c r="AD38" s="5">
        <f t="shared" si="61"/>
        <v>-132041.67380730476</v>
      </c>
      <c r="AE38" s="5">
        <f t="shared" si="62"/>
        <v>-96815.829413267435</v>
      </c>
      <c r="AF38" s="5">
        <f t="shared" si="46"/>
        <v>-92465.577564663894</v>
      </c>
      <c r="AG38" s="5">
        <f t="shared" si="46"/>
        <v>-88115.32571606047</v>
      </c>
      <c r="AH38" s="5">
        <f t="shared" si="46"/>
        <v>-83765.073867457104</v>
      </c>
      <c r="AI38" s="5">
        <f t="shared" si="46"/>
        <v>-79414.822018853796</v>
      </c>
      <c r="AJ38" s="5">
        <f t="shared" si="46"/>
        <v>-75064.570170250256</v>
      </c>
      <c r="AK38" s="5">
        <f t="shared" si="46"/>
        <v>-70714.31832164689</v>
      </c>
      <c r="AL38" s="5">
        <f t="shared" si="46"/>
        <v>-66364.066473043174</v>
      </c>
      <c r="AM38" s="5">
        <f t="shared" si="46"/>
        <v>-62013.814624439925</v>
      </c>
      <c r="AN38" s="5">
        <f t="shared" si="46"/>
        <v>-57663.562775836559</v>
      </c>
      <c r="AO38" s="5">
        <f t="shared" si="46"/>
        <v>-53313.310927233193</v>
      </c>
      <c r="AP38" s="5">
        <f t="shared" si="46"/>
        <v>-48963.059078629478</v>
      </c>
    </row>
    <row r="39" spans="1:42" s="9" customFormat="1" x14ac:dyDescent="0.2">
      <c r="A39" s="87">
        <f t="shared" si="63"/>
        <v>5</v>
      </c>
      <c r="B39" s="85">
        <f>12*B5*$A$39</f>
        <v>160899.70716531822</v>
      </c>
      <c r="C39" s="85">
        <f t="shared" ref="C39:N39" si="66">12*C5*$A$39</f>
        <v>142438.79815009321</v>
      </c>
      <c r="D39" s="85">
        <f t="shared" si="66"/>
        <v>162572.37981666072</v>
      </c>
      <c r="E39" s="85">
        <f t="shared" si="66"/>
        <v>182705.96148322817</v>
      </c>
      <c r="F39" s="85">
        <f t="shared" si="66"/>
        <v>202839.54314979565</v>
      </c>
      <c r="G39" s="85">
        <f t="shared" si="66"/>
        <v>222973.12481636312</v>
      </c>
      <c r="H39" s="85">
        <f t="shared" si="66"/>
        <v>243106.7064829306</v>
      </c>
      <c r="I39" s="85">
        <f t="shared" si="66"/>
        <v>263240.28814949805</v>
      </c>
      <c r="J39" s="85">
        <f t="shared" si="66"/>
        <v>283373.86981606553</v>
      </c>
      <c r="K39" s="85">
        <f t="shared" si="66"/>
        <v>303507.45148263301</v>
      </c>
      <c r="L39" s="85">
        <f t="shared" si="66"/>
        <v>323641.03314920049</v>
      </c>
      <c r="M39" s="85">
        <f t="shared" si="66"/>
        <v>343774.61481576797</v>
      </c>
      <c r="N39" s="86">
        <f t="shared" si="66"/>
        <v>363908.19648233545</v>
      </c>
      <c r="P39" s="84">
        <f t="shared" si="48"/>
        <v>327878.55269522779</v>
      </c>
      <c r="Q39" s="85">
        <f t="shared" si="49"/>
        <v>309417.64368000277</v>
      </c>
      <c r="R39" s="85">
        <f t="shared" si="50"/>
        <v>329551.22534657031</v>
      </c>
      <c r="S39" s="85">
        <f t="shared" si="51"/>
        <v>349684.80701313773</v>
      </c>
      <c r="T39" s="85">
        <f t="shared" si="52"/>
        <v>369818.38867970521</v>
      </c>
      <c r="U39" s="85">
        <f t="shared" si="53"/>
        <v>389951.97034627269</v>
      </c>
      <c r="V39" s="85">
        <f t="shared" si="54"/>
        <v>410085.55201284017</v>
      </c>
      <c r="W39" s="85">
        <f t="shared" si="55"/>
        <v>430219.13367940765</v>
      </c>
      <c r="X39" s="85">
        <f t="shared" si="56"/>
        <v>450352.71534597513</v>
      </c>
      <c r="Y39" s="85">
        <f t="shared" si="57"/>
        <v>470486.29701254261</v>
      </c>
      <c r="Z39" s="85">
        <f t="shared" si="58"/>
        <v>490619.87867911009</v>
      </c>
      <c r="AA39" s="85">
        <f t="shared" si="59"/>
        <v>510753.46034567757</v>
      </c>
      <c r="AB39" s="86">
        <f t="shared" si="60"/>
        <v>530887.04201224505</v>
      </c>
      <c r="AD39" s="84">
        <f t="shared" si="61"/>
        <v>-141202.87129606318</v>
      </c>
      <c r="AE39" s="85">
        <f t="shared" si="62"/>
        <v>-99407.502105942694</v>
      </c>
      <c r="AF39" s="85">
        <f t="shared" si="46"/>
        <v>-96206.623597614584</v>
      </c>
      <c r="AG39" s="85">
        <f t="shared" si="46"/>
        <v>-93005.745089286531</v>
      </c>
      <c r="AH39" s="85">
        <f t="shared" si="46"/>
        <v>-89804.866580958536</v>
      </c>
      <c r="AI39" s="85">
        <f t="shared" si="46"/>
        <v>-86603.988072630484</v>
      </c>
      <c r="AJ39" s="85">
        <f t="shared" si="46"/>
        <v>-83403.109564302315</v>
      </c>
      <c r="AK39" s="85">
        <f t="shared" si="46"/>
        <v>-80202.231055974378</v>
      </c>
      <c r="AL39" s="85">
        <f t="shared" si="46"/>
        <v>-77001.352547645918</v>
      </c>
      <c r="AM39" s="85">
        <f t="shared" si="46"/>
        <v>-73800.47403931804</v>
      </c>
      <c r="AN39" s="85">
        <f t="shared" si="46"/>
        <v>-70599.595530989929</v>
      </c>
      <c r="AO39" s="85">
        <f t="shared" si="46"/>
        <v>-67398.717022662051</v>
      </c>
      <c r="AP39" s="86">
        <f t="shared" si="46"/>
        <v>-64197.838514333591</v>
      </c>
    </row>
    <row r="40" spans="1:42" x14ac:dyDescent="0.2">
      <c r="A40" s="6">
        <f t="shared" si="63"/>
        <v>6</v>
      </c>
      <c r="B40" s="5">
        <f>12*B5*$A$40</f>
        <v>193079.64859838187</v>
      </c>
      <c r="C40" s="5">
        <f t="shared" ref="C40:M40" si="67">12*C5*$A$40</f>
        <v>170926.55778011185</v>
      </c>
      <c r="D40" s="5">
        <f t="shared" si="67"/>
        <v>195086.85577999285</v>
      </c>
      <c r="E40" s="5">
        <f t="shared" si="67"/>
        <v>219247.1537798738</v>
      </c>
      <c r="F40" s="5">
        <f t="shared" si="67"/>
        <v>243407.45177975477</v>
      </c>
      <c r="G40" s="5">
        <f t="shared" si="67"/>
        <v>267567.74977963575</v>
      </c>
      <c r="H40" s="5">
        <f t="shared" si="67"/>
        <v>291728.04777951672</v>
      </c>
      <c r="I40" s="5">
        <f t="shared" si="67"/>
        <v>315888.3457793977</v>
      </c>
      <c r="J40" s="5">
        <f t="shared" si="67"/>
        <v>340048.64377927867</v>
      </c>
      <c r="K40" s="5">
        <f t="shared" si="67"/>
        <v>364208.94177915965</v>
      </c>
      <c r="L40" s="5">
        <f t="shared" si="67"/>
        <v>388369.23977904062</v>
      </c>
      <c r="M40" s="5">
        <f t="shared" si="67"/>
        <v>412529.5377789216</v>
      </c>
      <c r="N40" s="5">
        <f>12*N5*$A$40</f>
        <v>436689.83577880258</v>
      </c>
      <c r="P40" s="5">
        <f t="shared" si="48"/>
        <v>360058.4941282915</v>
      </c>
      <c r="Q40" s="5">
        <f t="shared" si="49"/>
        <v>337905.40331002144</v>
      </c>
      <c r="R40" s="5">
        <f t="shared" si="50"/>
        <v>362065.70130990248</v>
      </c>
      <c r="S40" s="5">
        <f t="shared" si="51"/>
        <v>386225.99930978339</v>
      </c>
      <c r="T40" s="5">
        <f t="shared" si="52"/>
        <v>410386.29730966437</v>
      </c>
      <c r="U40" s="5">
        <f t="shared" si="53"/>
        <v>434546.59530954534</v>
      </c>
      <c r="V40" s="5">
        <f t="shared" si="54"/>
        <v>458706.89330942632</v>
      </c>
      <c r="W40" s="5">
        <f t="shared" si="55"/>
        <v>482867.19130930729</v>
      </c>
      <c r="X40" s="5">
        <f t="shared" si="56"/>
        <v>507027.48930918827</v>
      </c>
      <c r="Y40" s="5">
        <f t="shared" si="57"/>
        <v>531187.78730906919</v>
      </c>
      <c r="Z40" s="5">
        <f t="shared" si="58"/>
        <v>555348.08530895016</v>
      </c>
      <c r="AA40" s="5">
        <f t="shared" si="59"/>
        <v>579508.38330883114</v>
      </c>
      <c r="AB40" s="5">
        <f t="shared" si="60"/>
        <v>603668.68130871211</v>
      </c>
      <c r="AD40" s="5">
        <f t="shared" si="61"/>
        <v>-149454.55894455215</v>
      </c>
      <c r="AE40" s="5">
        <f t="shared" si="62"/>
        <v>-100975.97622831492</v>
      </c>
      <c r="AF40" s="5">
        <f t="shared" si="46"/>
        <v>-98810.782330228481</v>
      </c>
      <c r="AG40" s="5">
        <f t="shared" si="46"/>
        <v>-96645.588432141929</v>
      </c>
      <c r="AH40" s="5">
        <f t="shared" si="46"/>
        <v>-94480.394534055609</v>
      </c>
      <c r="AI40" s="5">
        <f t="shared" si="46"/>
        <v>-92315.20063596929</v>
      </c>
      <c r="AJ40" s="5">
        <f t="shared" si="46"/>
        <v>-90150.006737882737</v>
      </c>
      <c r="AK40" s="5">
        <f t="shared" si="46"/>
        <v>-87984.812839796476</v>
      </c>
      <c r="AL40" s="5">
        <f t="shared" si="46"/>
        <v>-85819.618941709574</v>
      </c>
      <c r="AM40" s="5">
        <f t="shared" si="46"/>
        <v>-83654.425043623429</v>
      </c>
      <c r="AN40" s="5">
        <f t="shared" si="46"/>
        <v>-81489.231145537109</v>
      </c>
      <c r="AO40" s="5">
        <f t="shared" si="46"/>
        <v>-79324.037247450789</v>
      </c>
      <c r="AP40" s="5">
        <f t="shared" si="46"/>
        <v>-77158.843349364121</v>
      </c>
    </row>
    <row r="41" spans="1:42" x14ac:dyDescent="0.2">
      <c r="A41" s="6">
        <f t="shared" si="63"/>
        <v>7</v>
      </c>
      <c r="B41" s="5">
        <f>12*B5*$A$41</f>
        <v>225259.59003144552</v>
      </c>
      <c r="C41" s="5">
        <f t="shared" ref="C41:N41" si="68">12*C5*$A$41</f>
        <v>199414.31741013049</v>
      </c>
      <c r="D41" s="5">
        <f t="shared" si="68"/>
        <v>227601.33174332499</v>
      </c>
      <c r="E41" s="5">
        <f t="shared" si="68"/>
        <v>255788.34607651943</v>
      </c>
      <c r="F41" s="5">
        <f t="shared" si="68"/>
        <v>283975.36040971393</v>
      </c>
      <c r="G41" s="5">
        <f t="shared" si="68"/>
        <v>312162.3747429084</v>
      </c>
      <c r="H41" s="5">
        <f t="shared" si="68"/>
        <v>340349.38907610287</v>
      </c>
      <c r="I41" s="5">
        <f t="shared" si="68"/>
        <v>368536.40340929735</v>
      </c>
      <c r="J41" s="5">
        <f t="shared" si="68"/>
        <v>396723.41774249182</v>
      </c>
      <c r="K41" s="5">
        <f t="shared" si="68"/>
        <v>424910.43207568629</v>
      </c>
      <c r="L41" s="5">
        <f t="shared" si="68"/>
        <v>453097.44640888076</v>
      </c>
      <c r="M41" s="5">
        <f t="shared" si="68"/>
        <v>481284.46074207523</v>
      </c>
      <c r="N41" s="5">
        <f t="shared" si="68"/>
        <v>509471.4750752697</v>
      </c>
      <c r="P41" s="5">
        <f t="shared" si="48"/>
        <v>392238.43556135509</v>
      </c>
      <c r="Q41" s="5">
        <f t="shared" si="49"/>
        <v>366393.16294004011</v>
      </c>
      <c r="R41" s="5">
        <f t="shared" si="50"/>
        <v>394580.17727323459</v>
      </c>
      <c r="S41" s="5">
        <f t="shared" si="51"/>
        <v>422767.19160642906</v>
      </c>
      <c r="T41" s="5">
        <f t="shared" si="52"/>
        <v>450954.20593962353</v>
      </c>
      <c r="U41" s="5">
        <f t="shared" si="53"/>
        <v>479141.220272818</v>
      </c>
      <c r="V41" s="5">
        <f t="shared" si="54"/>
        <v>507328.23460601247</v>
      </c>
      <c r="W41" s="5">
        <f t="shared" si="55"/>
        <v>535515.24893920694</v>
      </c>
      <c r="X41" s="5">
        <f t="shared" si="56"/>
        <v>563702.26327240141</v>
      </c>
      <c r="Y41" s="5">
        <f t="shared" si="57"/>
        <v>591889.27760559588</v>
      </c>
      <c r="Z41" s="5">
        <f t="shared" si="58"/>
        <v>620076.29193879035</v>
      </c>
      <c r="AA41" s="5">
        <f t="shared" si="59"/>
        <v>648263.30627198482</v>
      </c>
      <c r="AB41" s="5">
        <f t="shared" si="60"/>
        <v>676450.32060517929</v>
      </c>
      <c r="AD41" s="5">
        <f t="shared" si="61"/>
        <v>-156760.48800420848</v>
      </c>
      <c r="AE41" s="5">
        <f t="shared" si="62"/>
        <v>-101480.4719382503</v>
      </c>
      <c r="AF41" s="5">
        <f t="shared" si="46"/>
        <v>-100232.74282680149</v>
      </c>
      <c r="AG41" s="5">
        <f t="shared" si="46"/>
        <v>-98985.01371535263</v>
      </c>
      <c r="AH41" s="5">
        <f t="shared" si="46"/>
        <v>-97737.284603903885</v>
      </c>
      <c r="AI41" s="5">
        <f t="shared" si="46"/>
        <v>-96489.555492455198</v>
      </c>
      <c r="AJ41" s="5">
        <f t="shared" si="46"/>
        <v>-95241.82638100622</v>
      </c>
      <c r="AK41" s="5">
        <f t="shared" si="46"/>
        <v>-93994.097269557533</v>
      </c>
      <c r="AL41" s="5">
        <f t="shared" si="46"/>
        <v>-92746.368158108206</v>
      </c>
      <c r="AM41" s="5">
        <f t="shared" si="46"/>
        <v>-91498.639046659693</v>
      </c>
      <c r="AN41" s="5">
        <f t="shared" si="46"/>
        <v>-90250.909935210715</v>
      </c>
      <c r="AO41" s="5">
        <f t="shared" si="46"/>
        <v>-89003.180823762319</v>
      </c>
      <c r="AP41" s="5">
        <f t="shared" si="46"/>
        <v>-87755.451712313108</v>
      </c>
    </row>
    <row r="42" spans="1:42" x14ac:dyDescent="0.2">
      <c r="A42" s="6">
        <f t="shared" si="63"/>
        <v>8</v>
      </c>
      <c r="B42" s="5">
        <f>12*B5*$A$42</f>
        <v>257439.53146450917</v>
      </c>
      <c r="C42" s="5">
        <f t="shared" ref="C42:N42" si="69">12*C5*$A$42</f>
        <v>227902.07704014913</v>
      </c>
      <c r="D42" s="5">
        <f t="shared" si="69"/>
        <v>260115.80770665713</v>
      </c>
      <c r="E42" s="5">
        <f t="shared" si="69"/>
        <v>292329.53837316507</v>
      </c>
      <c r="F42" s="5">
        <f t="shared" si="69"/>
        <v>324543.26903967303</v>
      </c>
      <c r="G42" s="5">
        <f t="shared" si="69"/>
        <v>356756.999706181</v>
      </c>
      <c r="H42" s="5">
        <f t="shared" si="69"/>
        <v>388970.73037268897</v>
      </c>
      <c r="I42" s="5">
        <f t="shared" si="69"/>
        <v>421184.46103919693</v>
      </c>
      <c r="J42" s="5">
        <f t="shared" si="69"/>
        <v>453398.1917057049</v>
      </c>
      <c r="K42" s="5">
        <f t="shared" si="69"/>
        <v>485611.92237221287</v>
      </c>
      <c r="L42" s="5">
        <f t="shared" si="69"/>
        <v>517825.65303872083</v>
      </c>
      <c r="M42" s="5">
        <f t="shared" si="69"/>
        <v>550039.3837052288</v>
      </c>
      <c r="N42" s="5">
        <f t="shared" si="69"/>
        <v>582253.11437173677</v>
      </c>
      <c r="P42" s="5">
        <f t="shared" si="48"/>
        <v>424418.3769944188</v>
      </c>
      <c r="Q42" s="5">
        <f t="shared" si="49"/>
        <v>394880.92257005873</v>
      </c>
      <c r="R42" s="5">
        <f t="shared" si="50"/>
        <v>427094.65323656669</v>
      </c>
      <c r="S42" s="5">
        <f t="shared" si="51"/>
        <v>459308.38390307466</v>
      </c>
      <c r="T42" s="5">
        <f t="shared" si="52"/>
        <v>491522.11456958263</v>
      </c>
      <c r="U42" s="5">
        <f t="shared" si="53"/>
        <v>523735.84523609059</v>
      </c>
      <c r="V42" s="5">
        <f t="shared" si="54"/>
        <v>555949.57590259856</v>
      </c>
      <c r="W42" s="5">
        <f t="shared" si="55"/>
        <v>588163.30656910653</v>
      </c>
      <c r="X42" s="5">
        <f t="shared" si="56"/>
        <v>620377.03723561449</v>
      </c>
      <c r="Y42" s="5">
        <f t="shared" si="57"/>
        <v>652590.76790212246</v>
      </c>
      <c r="Z42" s="5">
        <f t="shared" si="58"/>
        <v>684804.49856863043</v>
      </c>
      <c r="AA42" s="5">
        <f t="shared" si="59"/>
        <v>717018.22923513839</v>
      </c>
      <c r="AB42" s="5">
        <f t="shared" si="60"/>
        <v>749231.95990164636</v>
      </c>
      <c r="AD42" s="5">
        <f t="shared" si="61"/>
        <v>-163082.9514359436</v>
      </c>
      <c r="AE42" s="5">
        <f t="shared" si="62"/>
        <v>-100878.56881677429</v>
      </c>
      <c r="AF42" s="5">
        <f t="shared" si="46"/>
        <v>-100425.37128847284</v>
      </c>
      <c r="AG42" s="5">
        <f t="shared" si="46"/>
        <v>-99972.173760171456</v>
      </c>
      <c r="AH42" s="5">
        <f t="shared" si="46"/>
        <v>-99518.976231870183</v>
      </c>
      <c r="AI42" s="5">
        <f t="shared" si="46"/>
        <v>-99065.778703568853</v>
      </c>
      <c r="AJ42" s="5">
        <f t="shared" si="46"/>
        <v>-98612.581175267289</v>
      </c>
      <c r="AK42" s="5">
        <f t="shared" si="46"/>
        <v>-98159.383646966075</v>
      </c>
      <c r="AL42" s="5">
        <f t="shared" si="46"/>
        <v>-97706.186118664104</v>
      </c>
      <c r="AM42" s="5">
        <f t="shared" si="46"/>
        <v>-97252.988590363064</v>
      </c>
      <c r="AN42" s="5">
        <f t="shared" si="46"/>
        <v>-96799.791062061558</v>
      </c>
      <c r="AO42" s="5">
        <f t="shared" si="46"/>
        <v>-96346.593533760635</v>
      </c>
      <c r="AP42" s="5">
        <f t="shared" si="46"/>
        <v>-95893.396005458664</v>
      </c>
    </row>
    <row r="43" spans="1:42" x14ac:dyDescent="0.2">
      <c r="A43" s="6">
        <f t="shared" si="63"/>
        <v>9</v>
      </c>
      <c r="B43" s="5">
        <f>12*B5*$A$43</f>
        <v>289619.47289757279</v>
      </c>
      <c r="C43" s="5">
        <f t="shared" ref="C43:N43" si="70">12*C5*$A$43</f>
        <v>256389.83667016777</v>
      </c>
      <c r="D43" s="5">
        <f t="shared" si="70"/>
        <v>292630.28366998927</v>
      </c>
      <c r="E43" s="5">
        <f t="shared" si="70"/>
        <v>328870.73066981067</v>
      </c>
      <c r="F43" s="5">
        <f t="shared" si="70"/>
        <v>365111.17766963213</v>
      </c>
      <c r="G43" s="5">
        <f t="shared" si="70"/>
        <v>401351.62466945359</v>
      </c>
      <c r="H43" s="5">
        <f t="shared" si="70"/>
        <v>437592.07166927506</v>
      </c>
      <c r="I43" s="5">
        <f t="shared" si="70"/>
        <v>473832.51866909652</v>
      </c>
      <c r="J43" s="5">
        <f t="shared" si="70"/>
        <v>510072.96566891798</v>
      </c>
      <c r="K43" s="5">
        <f t="shared" si="70"/>
        <v>546313.41266873945</v>
      </c>
      <c r="L43" s="5">
        <f t="shared" si="70"/>
        <v>582553.85966856091</v>
      </c>
      <c r="M43" s="5">
        <f t="shared" si="70"/>
        <v>618794.30666838237</v>
      </c>
      <c r="N43" s="5">
        <f t="shared" si="70"/>
        <v>655034.75366820383</v>
      </c>
      <c r="P43" s="5">
        <f t="shared" si="48"/>
        <v>456598.31842748239</v>
      </c>
      <c r="Q43" s="5">
        <f t="shared" si="49"/>
        <v>423368.68220007734</v>
      </c>
      <c r="R43" s="5">
        <f t="shared" si="50"/>
        <v>459609.12919989886</v>
      </c>
      <c r="S43" s="5">
        <f t="shared" si="51"/>
        <v>495849.57619972026</v>
      </c>
      <c r="T43" s="5">
        <f t="shared" si="52"/>
        <v>532090.02319954173</v>
      </c>
      <c r="U43" s="5">
        <f t="shared" si="53"/>
        <v>568330.47019936319</v>
      </c>
      <c r="V43" s="5">
        <f t="shared" si="54"/>
        <v>604570.91719918465</v>
      </c>
      <c r="W43" s="5">
        <f t="shared" si="55"/>
        <v>640811.36419900612</v>
      </c>
      <c r="X43" s="5">
        <f t="shared" si="56"/>
        <v>677051.81119882758</v>
      </c>
      <c r="Y43" s="5">
        <f t="shared" si="57"/>
        <v>713292.25819864904</v>
      </c>
      <c r="Z43" s="5">
        <f t="shared" si="58"/>
        <v>749532.7051984705</v>
      </c>
      <c r="AA43" s="5">
        <f t="shared" si="59"/>
        <v>785773.15219829197</v>
      </c>
      <c r="AB43" s="5">
        <f t="shared" si="60"/>
        <v>822013.59919811343</v>
      </c>
      <c r="AD43" s="5" t="e">
        <f t="shared" si="61"/>
        <v>#VALUE!</v>
      </c>
      <c r="AE43" s="5">
        <f t="shared" si="62"/>
        <v>-99126.139208548004</v>
      </c>
      <c r="AF43" s="5">
        <f t="shared" si="46"/>
        <v>-99339.636987088423</v>
      </c>
      <c r="AG43" s="5">
        <f t="shared" si="46"/>
        <v>-99553.134765628842</v>
      </c>
      <c r="AH43" s="5">
        <f t="shared" si="46"/>
        <v>-99766.632544169435</v>
      </c>
      <c r="AI43" s="5">
        <f t="shared" si="46"/>
        <v>-99980.130322709912</v>
      </c>
      <c r="AJ43" s="5">
        <f t="shared" si="46"/>
        <v>-100193.62810125021</v>
      </c>
      <c r="AK43" s="5">
        <f t="shared" si="46"/>
        <v>-100407.12587979087</v>
      </c>
      <c r="AL43" s="5">
        <f t="shared" si="46"/>
        <v>-100620.62365833065</v>
      </c>
      <c r="AM43" s="5">
        <f t="shared" si="46"/>
        <v>-100834.12143687159</v>
      </c>
      <c r="AN43" s="5">
        <f t="shared" si="46"/>
        <v>-101047.61921541183</v>
      </c>
      <c r="AO43" s="5">
        <f t="shared" si="46"/>
        <v>-101261.11699395289</v>
      </c>
      <c r="AP43" s="5">
        <f t="shared" si="46"/>
        <v>-101474.61477249255</v>
      </c>
    </row>
    <row r="44" spans="1:42" s="9" customFormat="1" x14ac:dyDescent="0.2">
      <c r="A44" s="87">
        <f t="shared" si="63"/>
        <v>10</v>
      </c>
      <c r="B44" s="85">
        <f>12*B5*$A$44</f>
        <v>321799.41433063644</v>
      </c>
      <c r="C44" s="85">
        <f t="shared" ref="C44:N44" si="71">12*C5*$A$44</f>
        <v>284877.59630018641</v>
      </c>
      <c r="D44" s="85">
        <f t="shared" si="71"/>
        <v>325144.75963332143</v>
      </c>
      <c r="E44" s="85">
        <f t="shared" si="71"/>
        <v>365411.92296645633</v>
      </c>
      <c r="F44" s="85">
        <f t="shared" si="71"/>
        <v>405679.08629959129</v>
      </c>
      <c r="G44" s="85">
        <f t="shared" si="71"/>
        <v>445946.24963272625</v>
      </c>
      <c r="H44" s="85">
        <f t="shared" si="71"/>
        <v>486213.41296586121</v>
      </c>
      <c r="I44" s="85">
        <f t="shared" si="71"/>
        <v>526480.57629899611</v>
      </c>
      <c r="J44" s="85">
        <f t="shared" si="71"/>
        <v>566747.73963213107</v>
      </c>
      <c r="K44" s="85">
        <f t="shared" si="71"/>
        <v>607014.90296526602</v>
      </c>
      <c r="L44" s="85">
        <f t="shared" si="71"/>
        <v>647282.06629840098</v>
      </c>
      <c r="M44" s="85">
        <f t="shared" si="71"/>
        <v>687549.22963153594</v>
      </c>
      <c r="N44" s="86">
        <f t="shared" si="71"/>
        <v>727816.3929646709</v>
      </c>
      <c r="P44" s="84">
        <f t="shared" si="48"/>
        <v>488778.25986054604</v>
      </c>
      <c r="Q44" s="85">
        <f t="shared" si="49"/>
        <v>451856.44183009601</v>
      </c>
      <c r="R44" s="85">
        <f t="shared" si="50"/>
        <v>492123.60516323103</v>
      </c>
      <c r="S44" s="85">
        <f t="shared" si="51"/>
        <v>532390.76849636598</v>
      </c>
      <c r="T44" s="85">
        <f t="shared" si="52"/>
        <v>572657.93182950094</v>
      </c>
      <c r="U44" s="85">
        <f t="shared" si="53"/>
        <v>612925.0951626359</v>
      </c>
      <c r="V44" s="85">
        <f t="shared" si="54"/>
        <v>653192.25849577086</v>
      </c>
      <c r="W44" s="85">
        <f t="shared" si="55"/>
        <v>693459.4218289057</v>
      </c>
      <c r="X44" s="85">
        <f t="shared" si="56"/>
        <v>733726.58516204066</v>
      </c>
      <c r="Y44" s="85">
        <f t="shared" si="57"/>
        <v>773993.74849517562</v>
      </c>
      <c r="Z44" s="85">
        <f t="shared" si="58"/>
        <v>814260.91182831058</v>
      </c>
      <c r="AA44" s="85">
        <f t="shared" si="59"/>
        <v>854528.07516144554</v>
      </c>
      <c r="AB44" s="86">
        <f t="shared" si="60"/>
        <v>894795.2384945805</v>
      </c>
      <c r="AD44" s="84" t="e">
        <f t="shared" si="61"/>
        <v>#VALUE!</v>
      </c>
      <c r="AE44" s="85">
        <f t="shared" si="62"/>
        <v>-96177.278825707734</v>
      </c>
      <c r="AF44" s="85">
        <f t="shared" si="46"/>
        <v>-96924.535158355196</v>
      </c>
      <c r="AG44" s="85">
        <f t="shared" si="46"/>
        <v>-97671.791491002601</v>
      </c>
      <c r="AH44" s="85">
        <f t="shared" si="46"/>
        <v>-98419.047823650122</v>
      </c>
      <c r="AI44" s="85">
        <f t="shared" si="46"/>
        <v>-99166.304156297585</v>
      </c>
      <c r="AJ44" s="85">
        <f t="shared" si="46"/>
        <v>-99913.560488944873</v>
      </c>
      <c r="AK44" s="85">
        <f t="shared" si="46"/>
        <v>-100660.81682159239</v>
      </c>
      <c r="AL44" s="85">
        <f t="shared" si="46"/>
        <v>-101408.0731542391</v>
      </c>
      <c r="AM44" s="85">
        <f t="shared" si="46"/>
        <v>-102155.32948688685</v>
      </c>
      <c r="AN44" s="85">
        <f t="shared" si="46"/>
        <v>-102902.58581953403</v>
      </c>
      <c r="AO44" s="85">
        <f t="shared" si="46"/>
        <v>-103649.84215218201</v>
      </c>
      <c r="AP44" s="86">
        <f t="shared" si="46"/>
        <v>-104397.09848482884</v>
      </c>
    </row>
    <row r="45" spans="1:42" x14ac:dyDescent="0.2">
      <c r="A45" s="6">
        <f t="shared" si="63"/>
        <v>11</v>
      </c>
      <c r="B45" s="5">
        <f>12*B5*$A$45</f>
        <v>353979.35576370009</v>
      </c>
      <c r="C45" s="5">
        <f t="shared" ref="C45:N45" si="72">12*C5*$A$45</f>
        <v>313365.35593020509</v>
      </c>
      <c r="D45" s="5">
        <f t="shared" si="72"/>
        <v>357659.23559665354</v>
      </c>
      <c r="E45" s="5">
        <f t="shared" si="72"/>
        <v>401953.11526310199</v>
      </c>
      <c r="F45" s="5">
        <f t="shared" si="72"/>
        <v>446246.99492955045</v>
      </c>
      <c r="G45" s="5">
        <f t="shared" si="72"/>
        <v>490540.8745959989</v>
      </c>
      <c r="H45" s="5">
        <f t="shared" si="72"/>
        <v>534834.75426244736</v>
      </c>
      <c r="I45" s="5">
        <f t="shared" si="72"/>
        <v>579128.63392889581</v>
      </c>
      <c r="J45" s="5">
        <f t="shared" si="72"/>
        <v>623422.51359534427</v>
      </c>
      <c r="K45" s="5">
        <f t="shared" si="72"/>
        <v>667716.39326179272</v>
      </c>
      <c r="L45" s="5">
        <f t="shared" si="72"/>
        <v>712010.27292824117</v>
      </c>
      <c r="M45" s="5">
        <f t="shared" si="72"/>
        <v>756304.15259468963</v>
      </c>
      <c r="N45" s="5">
        <f t="shared" si="72"/>
        <v>800598.03226113808</v>
      </c>
      <c r="P45" s="5">
        <f t="shared" si="48"/>
        <v>520958.20129360969</v>
      </c>
      <c r="Q45" s="5">
        <f t="shared" si="49"/>
        <v>480344.20146011468</v>
      </c>
      <c r="R45" s="5">
        <f t="shared" si="50"/>
        <v>524638.08112656313</v>
      </c>
      <c r="S45" s="5">
        <f t="shared" si="51"/>
        <v>568931.96079301159</v>
      </c>
      <c r="T45" s="5">
        <f t="shared" si="52"/>
        <v>613225.84045946004</v>
      </c>
      <c r="U45" s="5">
        <f t="shared" si="53"/>
        <v>657519.7201259085</v>
      </c>
      <c r="V45" s="5">
        <f t="shared" si="54"/>
        <v>701813.59979235695</v>
      </c>
      <c r="W45" s="5">
        <f t="shared" si="55"/>
        <v>746107.47945880541</v>
      </c>
      <c r="X45" s="5">
        <f t="shared" si="56"/>
        <v>790401.35912525386</v>
      </c>
      <c r="Y45" s="5">
        <f t="shared" si="57"/>
        <v>834695.23879170232</v>
      </c>
      <c r="Z45" s="5">
        <f t="shared" si="58"/>
        <v>878989.11845815077</v>
      </c>
      <c r="AA45" s="5">
        <f t="shared" si="59"/>
        <v>923282.99812459922</v>
      </c>
      <c r="AB45" s="5">
        <f t="shared" si="60"/>
        <v>967576.87779104768</v>
      </c>
      <c r="AD45" s="5" t="e">
        <f t="shared" si="61"/>
        <v>#VALUE!</v>
      </c>
      <c r="AE45" s="5">
        <f t="shared" si="62"/>
        <v>-91984.234501528786</v>
      </c>
      <c r="AF45" s="5">
        <f t="shared" si="46"/>
        <v>-93127.006728134409</v>
      </c>
      <c r="AG45" s="5">
        <f t="shared" si="46"/>
        <v>-94269.778954740032</v>
      </c>
      <c r="AH45" s="5">
        <f t="shared" si="46"/>
        <v>-95412.551181345887</v>
      </c>
      <c r="AI45" s="5">
        <f t="shared" si="46"/>
        <v>-96555.323407951393</v>
      </c>
      <c r="AJ45" s="5">
        <f t="shared" si="46"/>
        <v>-97698.095634556958</v>
      </c>
      <c r="AK45" s="5">
        <f t="shared" si="46"/>
        <v>-98840.867861162871</v>
      </c>
      <c r="AL45" s="5">
        <f t="shared" si="46"/>
        <v>-99983.640087767621</v>
      </c>
      <c r="AM45" s="5">
        <f t="shared" si="46"/>
        <v>-101126.41231437365</v>
      </c>
      <c r="AN45" s="5">
        <f t="shared" si="46"/>
        <v>-102269.18454097898</v>
      </c>
      <c r="AO45" s="5">
        <f t="shared" si="46"/>
        <v>-103411.95676758548</v>
      </c>
      <c r="AP45" s="5">
        <f t="shared" si="46"/>
        <v>-104554.72899419023</v>
      </c>
    </row>
    <row r="46" spans="1:42" x14ac:dyDescent="0.2">
      <c r="A46" s="6">
        <f t="shared" si="63"/>
        <v>12</v>
      </c>
      <c r="B46" s="5">
        <f>12*B5*$A$46</f>
        <v>386159.29719676374</v>
      </c>
      <c r="C46" s="5">
        <f t="shared" ref="C46:N46" si="73">12*C5*$A$46</f>
        <v>341853.1155602237</v>
      </c>
      <c r="D46" s="5">
        <f t="shared" si="73"/>
        <v>390173.71155998571</v>
      </c>
      <c r="E46" s="5">
        <f t="shared" si="73"/>
        <v>438494.3075597476</v>
      </c>
      <c r="F46" s="5">
        <f t="shared" si="73"/>
        <v>486814.90355950955</v>
      </c>
      <c r="G46" s="5">
        <f t="shared" si="73"/>
        <v>535135.4995592715</v>
      </c>
      <c r="H46" s="5">
        <f t="shared" si="73"/>
        <v>583456.09555903345</v>
      </c>
      <c r="I46" s="5">
        <f t="shared" si="73"/>
        <v>631776.6915587954</v>
      </c>
      <c r="J46" s="5">
        <f t="shared" si="73"/>
        <v>680097.28755855735</v>
      </c>
      <c r="K46" s="5">
        <f t="shared" si="73"/>
        <v>728417.8835583193</v>
      </c>
      <c r="L46" s="5">
        <f t="shared" si="73"/>
        <v>776738.47955808125</v>
      </c>
      <c r="M46" s="5">
        <f t="shared" si="73"/>
        <v>825059.0755578432</v>
      </c>
      <c r="N46" s="5">
        <f t="shared" si="73"/>
        <v>873379.67155760515</v>
      </c>
      <c r="P46" s="5">
        <f t="shared" si="48"/>
        <v>553138.14272667328</v>
      </c>
      <c r="Q46" s="5">
        <f t="shared" si="49"/>
        <v>508831.96109013329</v>
      </c>
      <c r="R46" s="5">
        <f t="shared" si="50"/>
        <v>557152.55708989524</v>
      </c>
      <c r="S46" s="5">
        <f t="shared" si="51"/>
        <v>605473.15308965719</v>
      </c>
      <c r="T46" s="5">
        <f t="shared" si="52"/>
        <v>653793.74908941914</v>
      </c>
      <c r="U46" s="5">
        <f t="shared" si="53"/>
        <v>702114.34508918109</v>
      </c>
      <c r="V46" s="5">
        <f t="shared" si="54"/>
        <v>750434.94108894304</v>
      </c>
      <c r="W46" s="5">
        <f t="shared" si="55"/>
        <v>798755.53708870499</v>
      </c>
      <c r="X46" s="5">
        <f t="shared" si="56"/>
        <v>847076.13308846694</v>
      </c>
      <c r="Y46" s="5">
        <f t="shared" si="57"/>
        <v>895396.72908822889</v>
      </c>
      <c r="Z46" s="5">
        <f t="shared" si="58"/>
        <v>943717.32508799084</v>
      </c>
      <c r="AA46" s="5">
        <f t="shared" si="59"/>
        <v>992037.92108775279</v>
      </c>
      <c r="AB46" s="5">
        <f t="shared" si="60"/>
        <v>1040358.5170875147</v>
      </c>
      <c r="AD46" s="5" t="e">
        <f t="shared" si="61"/>
        <v>#VALUE!</v>
      </c>
      <c r="AE46" s="5">
        <f t="shared" si="62"/>
        <v>-86497.328975611425</v>
      </c>
      <c r="AF46" s="5">
        <f t="shared" si="46"/>
        <v>-87891.85474042641</v>
      </c>
      <c r="AG46" s="5">
        <f t="shared" si="46"/>
        <v>-89286.38050524157</v>
      </c>
      <c r="AH46" s="5">
        <f t="shared" si="46"/>
        <v>-90680.906270056963</v>
      </c>
      <c r="AI46" s="5">
        <f t="shared" si="46"/>
        <v>-92075.432034872007</v>
      </c>
      <c r="AJ46" s="5">
        <f t="shared" si="46"/>
        <v>-93469.95779968705</v>
      </c>
      <c r="AK46" s="5">
        <f t="shared" si="46"/>
        <v>-94864.483564502327</v>
      </c>
      <c r="AL46" s="5">
        <f t="shared" si="46"/>
        <v>-96259.009329316672</v>
      </c>
      <c r="AM46" s="5">
        <f t="shared" si="46"/>
        <v>-97653.535094132298</v>
      </c>
      <c r="AN46" s="5">
        <f t="shared" si="46"/>
        <v>-99048.060858947108</v>
      </c>
      <c r="AO46" s="5">
        <f t="shared" si="46"/>
        <v>-100442.58662376285</v>
      </c>
      <c r="AP46" s="5">
        <f t="shared" si="46"/>
        <v>-101837.11238857708</v>
      </c>
    </row>
    <row r="47" spans="1:42" x14ac:dyDescent="0.2">
      <c r="A47" s="6">
        <f t="shared" si="63"/>
        <v>13</v>
      </c>
      <c r="B47" s="5">
        <f>12*B5*$A$47</f>
        <v>418339.23862982739</v>
      </c>
      <c r="C47" s="5">
        <f t="shared" ref="C47:M47" si="74">12*C5*$A$47</f>
        <v>370340.87519024231</v>
      </c>
      <c r="D47" s="5">
        <f t="shared" si="74"/>
        <v>422688.18752331781</v>
      </c>
      <c r="E47" s="5">
        <f t="shared" si="74"/>
        <v>475035.4998563932</v>
      </c>
      <c r="F47" s="5">
        <f t="shared" si="74"/>
        <v>527382.81218946865</v>
      </c>
      <c r="G47" s="5">
        <f t="shared" si="74"/>
        <v>579730.12452254409</v>
      </c>
      <c r="H47" s="5">
        <f t="shared" si="74"/>
        <v>632077.43685561954</v>
      </c>
      <c r="I47" s="5">
        <f t="shared" si="74"/>
        <v>684424.74918869499</v>
      </c>
      <c r="J47" s="5">
        <f t="shared" si="74"/>
        <v>736772.06152177043</v>
      </c>
      <c r="K47" s="5">
        <f t="shared" si="74"/>
        <v>789119.37385484588</v>
      </c>
      <c r="L47" s="5">
        <f t="shared" si="74"/>
        <v>841466.68618792132</v>
      </c>
      <c r="M47" s="5">
        <f t="shared" si="74"/>
        <v>893813.99852099677</v>
      </c>
      <c r="N47" s="5">
        <f>12*N5*$A$47</f>
        <v>946161.31085407222</v>
      </c>
      <c r="P47" s="5">
        <f t="shared" si="48"/>
        <v>585318.08415973699</v>
      </c>
      <c r="Q47" s="5">
        <f t="shared" si="49"/>
        <v>537319.7207201519</v>
      </c>
      <c r="R47" s="5">
        <f t="shared" si="50"/>
        <v>589667.03305322747</v>
      </c>
      <c r="S47" s="5">
        <f t="shared" si="51"/>
        <v>642014.3453863028</v>
      </c>
      <c r="T47" s="5">
        <f t="shared" si="52"/>
        <v>694361.65771937824</v>
      </c>
      <c r="U47" s="5">
        <f t="shared" si="53"/>
        <v>746708.97005245369</v>
      </c>
      <c r="V47" s="5">
        <f t="shared" si="54"/>
        <v>799056.28238552914</v>
      </c>
      <c r="W47" s="5">
        <f t="shared" si="55"/>
        <v>851403.59471860458</v>
      </c>
      <c r="X47" s="5">
        <f t="shared" si="56"/>
        <v>903750.90705168003</v>
      </c>
      <c r="Y47" s="5">
        <f t="shared" si="57"/>
        <v>956098.21938475547</v>
      </c>
      <c r="Z47" s="5">
        <f t="shared" si="58"/>
        <v>1008445.5317178309</v>
      </c>
      <c r="AA47" s="5">
        <f t="shared" si="59"/>
        <v>1060792.8440509064</v>
      </c>
      <c r="AB47" s="5">
        <f t="shared" si="60"/>
        <v>1113140.1563839819</v>
      </c>
      <c r="AD47" s="5" t="e">
        <f t="shared" si="61"/>
        <v>#VALUE!</v>
      </c>
      <c r="AE47" s="5">
        <f t="shared" si="62"/>
        <v>-79664.882587328379</v>
      </c>
      <c r="AF47" s="5">
        <f t="shared" si="46"/>
        <v>-81161.657350090216</v>
      </c>
      <c r="AG47" s="5">
        <f t="shared" si="46"/>
        <v>-82658.432112851879</v>
      </c>
      <c r="AH47" s="5">
        <f t="shared" si="46"/>
        <v>-84155.206875614007</v>
      </c>
      <c r="AI47" s="5">
        <f t="shared" si="46"/>
        <v>-85651.98163837567</v>
      </c>
      <c r="AJ47" s="5">
        <f t="shared" si="46"/>
        <v>-87148.7564011371</v>
      </c>
      <c r="AK47" s="5">
        <f t="shared" si="46"/>
        <v>-88645.531163899461</v>
      </c>
      <c r="AL47" s="5">
        <f t="shared" si="46"/>
        <v>-90142.305926660309</v>
      </c>
      <c r="AM47" s="5">
        <f t="shared" si="46"/>
        <v>-91639.080689422553</v>
      </c>
      <c r="AN47" s="5">
        <f t="shared" si="46"/>
        <v>-93135.855452183867</v>
      </c>
      <c r="AO47" s="5">
        <f t="shared" si="46"/>
        <v>-94632.630214946577</v>
      </c>
      <c r="AP47" s="5">
        <f t="shared" si="46"/>
        <v>-96129.404977707425</v>
      </c>
    </row>
    <row r="48" spans="1:42" x14ac:dyDescent="0.2">
      <c r="A48" s="6">
        <f t="shared" si="63"/>
        <v>14</v>
      </c>
      <c r="B48" s="5">
        <f>12*B5*$A$48</f>
        <v>450519.18006289104</v>
      </c>
      <c r="C48" s="5">
        <f t="shared" ref="C48:N48" si="75">12*C5*$A$48</f>
        <v>398828.63482026098</v>
      </c>
      <c r="D48" s="5">
        <f t="shared" si="75"/>
        <v>455202.66348664998</v>
      </c>
      <c r="E48" s="5">
        <f t="shared" si="75"/>
        <v>511576.69215303886</v>
      </c>
      <c r="F48" s="5">
        <f t="shared" si="75"/>
        <v>567950.72081942786</v>
      </c>
      <c r="G48" s="5">
        <f t="shared" si="75"/>
        <v>624324.74948581681</v>
      </c>
      <c r="H48" s="5">
        <f t="shared" si="75"/>
        <v>680698.77815220575</v>
      </c>
      <c r="I48" s="5">
        <f t="shared" si="75"/>
        <v>737072.80681859469</v>
      </c>
      <c r="J48" s="5">
        <f t="shared" si="75"/>
        <v>793446.83548498363</v>
      </c>
      <c r="K48" s="5">
        <f t="shared" si="75"/>
        <v>849820.86415137257</v>
      </c>
      <c r="L48" s="5">
        <f t="shared" si="75"/>
        <v>906194.89281776152</v>
      </c>
      <c r="M48" s="5">
        <f t="shared" si="75"/>
        <v>962568.92148415046</v>
      </c>
      <c r="N48" s="5">
        <f t="shared" si="75"/>
        <v>1018942.9501505394</v>
      </c>
      <c r="P48" s="5">
        <f t="shared" si="48"/>
        <v>617498.0255928007</v>
      </c>
      <c r="Q48" s="5">
        <f t="shared" si="49"/>
        <v>565807.48035017052</v>
      </c>
      <c r="R48" s="5">
        <f t="shared" si="50"/>
        <v>622181.50901655958</v>
      </c>
      <c r="S48" s="5">
        <f t="shared" si="51"/>
        <v>678555.5376829484</v>
      </c>
      <c r="T48" s="5">
        <f t="shared" si="52"/>
        <v>734929.56634933746</v>
      </c>
      <c r="U48" s="5">
        <f t="shared" si="53"/>
        <v>791303.5950157264</v>
      </c>
      <c r="V48" s="5">
        <f t="shared" si="54"/>
        <v>847677.62368211534</v>
      </c>
      <c r="W48" s="5">
        <f t="shared" si="55"/>
        <v>904051.65234850429</v>
      </c>
      <c r="X48" s="5">
        <f t="shared" si="56"/>
        <v>960425.68101489323</v>
      </c>
      <c r="Y48" s="5">
        <f t="shared" si="57"/>
        <v>1016799.7096812822</v>
      </c>
      <c r="Z48" s="5">
        <f t="shared" si="58"/>
        <v>1073173.738347671</v>
      </c>
      <c r="AA48" s="5">
        <f t="shared" si="59"/>
        <v>1129547.7670140602</v>
      </c>
      <c r="AB48" s="5">
        <f t="shared" si="60"/>
        <v>1185921.7956804489</v>
      </c>
      <c r="AD48" s="5" t="e">
        <f t="shared" si="61"/>
        <v>#VALUE!</v>
      </c>
      <c r="AE48" s="5">
        <f t="shared" si="62"/>
        <v>-71433.131749098422</v>
      </c>
      <c r="AF48" s="5">
        <f t="shared" si="46"/>
        <v>-72876.677237590542</v>
      </c>
      <c r="AG48" s="5">
        <f t="shared" si="46"/>
        <v>-74320.222726082662</v>
      </c>
      <c r="AH48" s="5">
        <f t="shared" si="46"/>
        <v>-75763.768214575015</v>
      </c>
      <c r="AI48" s="5">
        <f t="shared" si="46"/>
        <v>-77207.313703067019</v>
      </c>
      <c r="AJ48" s="5">
        <f t="shared" si="46"/>
        <v>-78650.859191559139</v>
      </c>
      <c r="AK48" s="5">
        <f t="shared" si="46"/>
        <v>-80094.404680051492</v>
      </c>
      <c r="AL48" s="5">
        <f t="shared" si="46"/>
        <v>-81537.950168542564</v>
      </c>
      <c r="AM48" s="5">
        <f t="shared" si="46"/>
        <v>-82981.495657035266</v>
      </c>
      <c r="AN48" s="5">
        <f t="shared" si="46"/>
        <v>-84425.041145526804</v>
      </c>
      <c r="AO48" s="5">
        <f t="shared" si="46"/>
        <v>-85868.586634020321</v>
      </c>
      <c r="AP48" s="5">
        <f t="shared" si="46"/>
        <v>-87312.132122510811</v>
      </c>
    </row>
    <row r="49" spans="1:42" s="9" customFormat="1" x14ac:dyDescent="0.2">
      <c r="A49" s="87">
        <f t="shared" si="63"/>
        <v>15</v>
      </c>
      <c r="B49" s="85">
        <f>12*B5*$A$49</f>
        <v>482699.12149595469</v>
      </c>
      <c r="C49" s="85">
        <f t="shared" ref="C49:N49" si="76">12*C5*$A$49</f>
        <v>427316.39445027965</v>
      </c>
      <c r="D49" s="85">
        <f t="shared" si="76"/>
        <v>487717.13944998209</v>
      </c>
      <c r="E49" s="85">
        <f t="shared" si="76"/>
        <v>548117.88444968453</v>
      </c>
      <c r="F49" s="85">
        <f t="shared" si="76"/>
        <v>608518.62944938696</v>
      </c>
      <c r="G49" s="85">
        <f t="shared" si="76"/>
        <v>668919.3744490894</v>
      </c>
      <c r="H49" s="85">
        <f t="shared" si="76"/>
        <v>729320.11944879184</v>
      </c>
      <c r="I49" s="85">
        <f t="shared" si="76"/>
        <v>789720.86444849428</v>
      </c>
      <c r="J49" s="85">
        <f t="shared" si="76"/>
        <v>850121.60944819672</v>
      </c>
      <c r="K49" s="85">
        <f t="shared" si="76"/>
        <v>910522.35444789915</v>
      </c>
      <c r="L49" s="85">
        <f t="shared" si="76"/>
        <v>970923.09944760159</v>
      </c>
      <c r="M49" s="85">
        <f t="shared" si="76"/>
        <v>1031323.844447304</v>
      </c>
      <c r="N49" s="86">
        <f t="shared" si="76"/>
        <v>1091724.5894470064</v>
      </c>
      <c r="P49" s="84">
        <f t="shared" si="48"/>
        <v>649677.96702586429</v>
      </c>
      <c r="Q49" s="85">
        <f t="shared" si="49"/>
        <v>594295.23998018925</v>
      </c>
      <c r="R49" s="85">
        <f t="shared" si="50"/>
        <v>654695.98497989168</v>
      </c>
      <c r="S49" s="85">
        <f t="shared" si="51"/>
        <v>715096.72997959412</v>
      </c>
      <c r="T49" s="85">
        <f t="shared" si="52"/>
        <v>775497.47497929656</v>
      </c>
      <c r="U49" s="85">
        <f t="shared" si="53"/>
        <v>835898.219978999</v>
      </c>
      <c r="V49" s="85">
        <f t="shared" si="54"/>
        <v>896298.96497870144</v>
      </c>
      <c r="W49" s="85">
        <f t="shared" si="55"/>
        <v>956699.70997840387</v>
      </c>
      <c r="X49" s="85">
        <f t="shared" si="56"/>
        <v>1017100.4549781063</v>
      </c>
      <c r="Y49" s="85">
        <f t="shared" si="57"/>
        <v>1077501.1999778086</v>
      </c>
      <c r="Z49" s="85">
        <f t="shared" si="58"/>
        <v>1137901.9449775112</v>
      </c>
      <c r="AA49" s="85">
        <f t="shared" si="59"/>
        <v>1198302.6899772137</v>
      </c>
      <c r="AB49" s="86">
        <f t="shared" si="60"/>
        <v>1258703.4349769158</v>
      </c>
      <c r="AD49" s="84" t="e">
        <f t="shared" si="61"/>
        <v>#VALUE!</v>
      </c>
      <c r="AE49" s="85">
        <f t="shared" si="62"/>
        <v>-61746.144065659028</v>
      </c>
      <c r="AF49" s="85">
        <f t="shared" si="46"/>
        <v>-62974.767297080252</v>
      </c>
      <c r="AG49" s="85">
        <f t="shared" si="46"/>
        <v>-64203.39052850171</v>
      </c>
      <c r="AH49" s="85">
        <f t="shared" si="46"/>
        <v>-65432.013759923168</v>
      </c>
      <c r="AI49" s="85">
        <f t="shared" si="46"/>
        <v>-66660.636991344625</v>
      </c>
      <c r="AJ49" s="85">
        <f t="shared" si="46"/>
        <v>-67889.260222765733</v>
      </c>
      <c r="AK49" s="85">
        <f t="shared" si="46"/>
        <v>-69117.883454187424</v>
      </c>
      <c r="AL49" s="85">
        <f t="shared" si="46"/>
        <v>-70346.506685607834</v>
      </c>
      <c r="AM49" s="85">
        <f t="shared" si="46"/>
        <v>-71575.129917029757</v>
      </c>
      <c r="AN49" s="85">
        <f t="shared" si="46"/>
        <v>-72803.753148450749</v>
      </c>
      <c r="AO49" s="85">
        <f t="shared" si="46"/>
        <v>-74032.376379873371</v>
      </c>
      <c r="AP49" s="86">
        <f t="shared" si="46"/>
        <v>-75260.999611292966</v>
      </c>
    </row>
    <row r="50" spans="1:42" x14ac:dyDescent="0.2">
      <c r="A50" s="6">
        <f t="shared" si="63"/>
        <v>16</v>
      </c>
      <c r="B50" s="5">
        <f>12*B5*$A$50</f>
        <v>514879.06292901834</v>
      </c>
      <c r="C50" s="5">
        <f t="shared" ref="C50:N50" si="77">12*C5*$A$50</f>
        <v>455804.15408029826</v>
      </c>
      <c r="D50" s="5">
        <f t="shared" si="77"/>
        <v>520231.61541331426</v>
      </c>
      <c r="E50" s="5">
        <f t="shared" si="77"/>
        <v>584659.07674633013</v>
      </c>
      <c r="F50" s="5">
        <f t="shared" si="77"/>
        <v>649086.53807934606</v>
      </c>
      <c r="G50" s="5">
        <f t="shared" si="77"/>
        <v>713513.999412362</v>
      </c>
      <c r="H50" s="5">
        <f t="shared" si="77"/>
        <v>777941.46074537793</v>
      </c>
      <c r="I50" s="5">
        <f t="shared" si="77"/>
        <v>842368.92207839387</v>
      </c>
      <c r="J50" s="5">
        <f t="shared" si="77"/>
        <v>906796.3834114098</v>
      </c>
      <c r="K50" s="5">
        <f t="shared" si="77"/>
        <v>971223.84474442573</v>
      </c>
      <c r="L50" s="5">
        <f t="shared" si="77"/>
        <v>1035651.3060774417</v>
      </c>
      <c r="M50" s="5">
        <f t="shared" si="77"/>
        <v>1100078.7674104576</v>
      </c>
      <c r="N50" s="5">
        <f t="shared" si="77"/>
        <v>1164506.2287434735</v>
      </c>
      <c r="P50" s="5">
        <f t="shared" si="48"/>
        <v>681857.90845892788</v>
      </c>
      <c r="Q50" s="5">
        <f t="shared" si="49"/>
        <v>622782.99961020786</v>
      </c>
      <c r="R50" s="5">
        <f t="shared" si="50"/>
        <v>687210.46094322391</v>
      </c>
      <c r="S50" s="5">
        <f t="shared" si="51"/>
        <v>751637.92227623973</v>
      </c>
      <c r="T50" s="5">
        <f t="shared" si="52"/>
        <v>816065.38360925566</v>
      </c>
      <c r="U50" s="5">
        <f t="shared" si="53"/>
        <v>880492.84494227159</v>
      </c>
      <c r="V50" s="5">
        <f t="shared" si="54"/>
        <v>944920.30627528753</v>
      </c>
      <c r="W50" s="5">
        <f t="shared" si="55"/>
        <v>1009347.7676083035</v>
      </c>
      <c r="X50" s="5">
        <f t="shared" si="56"/>
        <v>1073775.2289413195</v>
      </c>
      <c r="Y50" s="5">
        <f t="shared" si="57"/>
        <v>1138202.6902743354</v>
      </c>
      <c r="Z50" s="5">
        <f t="shared" si="58"/>
        <v>1202630.1516073514</v>
      </c>
      <c r="AA50" s="5">
        <f t="shared" si="59"/>
        <v>1267057.6129403673</v>
      </c>
      <c r="AB50" s="5">
        <f t="shared" si="60"/>
        <v>1331485.0742733832</v>
      </c>
      <c r="AD50" s="5" t="e">
        <f t="shared" si="61"/>
        <v>#VALUE!</v>
      </c>
      <c r="AE50" s="5">
        <f t="shared" si="62"/>
        <v>-50545.729959891643</v>
      </c>
      <c r="AF50" s="5">
        <f t="shared" si="46"/>
        <v>-51391.27244287252</v>
      </c>
      <c r="AG50" s="5">
        <f t="shared" si="46"/>
        <v>-52236.814925853396</v>
      </c>
      <c r="AH50" s="5">
        <f t="shared" si="46"/>
        <v>-53082.357408834505</v>
      </c>
      <c r="AI50" s="5">
        <f t="shared" si="46"/>
        <v>-53927.899891815381</v>
      </c>
      <c r="AJ50" s="5">
        <f t="shared" si="46"/>
        <v>-54773.442374795792</v>
      </c>
      <c r="AK50" s="5">
        <f t="shared" si="46"/>
        <v>-55618.984857777017</v>
      </c>
      <c r="AL50" s="5">
        <f t="shared" si="46"/>
        <v>-56464.527340757078</v>
      </c>
      <c r="AM50" s="5">
        <f t="shared" si="46"/>
        <v>-57310.069823738653</v>
      </c>
      <c r="AN50" s="5">
        <f t="shared" si="46"/>
        <v>-58155.612306718947</v>
      </c>
      <c r="AO50" s="5">
        <f t="shared" si="46"/>
        <v>-59001.154789701104</v>
      </c>
      <c r="AP50" s="5">
        <f t="shared" si="46"/>
        <v>-59846.697272680467</v>
      </c>
    </row>
    <row r="51" spans="1:42" x14ac:dyDescent="0.2">
      <c r="A51" s="6">
        <f t="shared" si="63"/>
        <v>17</v>
      </c>
      <c r="B51" s="5">
        <f>12*B5*$A$51</f>
        <v>547059.00436208199</v>
      </c>
      <c r="C51" s="5">
        <f t="shared" ref="C51:N51" si="78">12*C5*$A$51</f>
        <v>484291.91371031688</v>
      </c>
      <c r="D51" s="5">
        <f t="shared" si="78"/>
        <v>552746.09137664642</v>
      </c>
      <c r="E51" s="5">
        <f t="shared" si="78"/>
        <v>621200.26904297573</v>
      </c>
      <c r="F51" s="5">
        <f t="shared" si="78"/>
        <v>689654.44670930516</v>
      </c>
      <c r="G51" s="5">
        <f t="shared" si="78"/>
        <v>758108.62437563459</v>
      </c>
      <c r="H51" s="5">
        <f t="shared" si="78"/>
        <v>826562.80204196402</v>
      </c>
      <c r="I51" s="5">
        <f t="shared" si="78"/>
        <v>895016.97970829345</v>
      </c>
      <c r="J51" s="5">
        <f t="shared" si="78"/>
        <v>963471.15737462288</v>
      </c>
      <c r="K51" s="5">
        <f t="shared" si="78"/>
        <v>1031925.3350409523</v>
      </c>
      <c r="L51" s="5">
        <f t="shared" si="78"/>
        <v>1100379.5127072819</v>
      </c>
      <c r="M51" s="5">
        <f t="shared" si="78"/>
        <v>1168833.6903736112</v>
      </c>
      <c r="N51" s="5">
        <f t="shared" si="78"/>
        <v>1237287.8680399407</v>
      </c>
      <c r="P51" s="5">
        <f t="shared" si="48"/>
        <v>714037.84989199159</v>
      </c>
      <c r="Q51" s="5">
        <f t="shared" si="49"/>
        <v>651270.75924022647</v>
      </c>
      <c r="R51" s="5">
        <f t="shared" si="50"/>
        <v>719724.93690655602</v>
      </c>
      <c r="S51" s="5">
        <f t="shared" si="51"/>
        <v>788179.11457288533</v>
      </c>
      <c r="T51" s="5">
        <f t="shared" si="52"/>
        <v>856633.29223921476</v>
      </c>
      <c r="U51" s="5">
        <f t="shared" si="53"/>
        <v>925087.46990554419</v>
      </c>
      <c r="V51" s="5">
        <f t="shared" si="54"/>
        <v>993541.64757187362</v>
      </c>
      <c r="W51" s="5">
        <f t="shared" si="55"/>
        <v>1061995.8252382032</v>
      </c>
      <c r="X51" s="5">
        <f t="shared" si="56"/>
        <v>1130450.0029045325</v>
      </c>
      <c r="Y51" s="5">
        <f t="shared" si="57"/>
        <v>1198904.1805708618</v>
      </c>
      <c r="Z51" s="5">
        <f t="shared" si="58"/>
        <v>1267358.3582371916</v>
      </c>
      <c r="AA51" s="5">
        <f t="shared" si="59"/>
        <v>1335812.5359035209</v>
      </c>
      <c r="AB51" s="5">
        <f t="shared" si="60"/>
        <v>1404266.7135698502</v>
      </c>
      <c r="AD51" s="5" t="e">
        <f t="shared" si="61"/>
        <v>#VALUE!</v>
      </c>
      <c r="AE51" s="5">
        <f t="shared" si="62"/>
        <v>-37771.3506598979</v>
      </c>
      <c r="AF51" s="5">
        <f t="shared" si="62"/>
        <v>-38058.927372857579</v>
      </c>
      <c r="AG51" s="5">
        <f t="shared" si="62"/>
        <v>-38346.504085817141</v>
      </c>
      <c r="AH51" s="5">
        <f t="shared" si="62"/>
        <v>-38634.080798777053</v>
      </c>
      <c r="AI51" s="5">
        <f t="shared" si="62"/>
        <v>-38921.657511736732</v>
      </c>
      <c r="AJ51" s="5">
        <f t="shared" si="62"/>
        <v>-39209.234224696178</v>
      </c>
      <c r="AK51" s="5">
        <f t="shared" si="62"/>
        <v>-39496.810937656206</v>
      </c>
      <c r="AL51" s="5">
        <f t="shared" si="62"/>
        <v>-39784.387650614604</v>
      </c>
      <c r="AM51" s="5">
        <f t="shared" si="62"/>
        <v>-40071.964363574982</v>
      </c>
      <c r="AN51" s="5">
        <f t="shared" si="62"/>
        <v>-40359.541076534428</v>
      </c>
      <c r="AO51" s="5">
        <f t="shared" si="62"/>
        <v>-40647.117789495038</v>
      </c>
      <c r="AP51" s="5">
        <f t="shared" si="62"/>
        <v>-40934.69450245332</v>
      </c>
    </row>
    <row r="52" spans="1:42" x14ac:dyDescent="0.2">
      <c r="A52" s="6">
        <f t="shared" si="63"/>
        <v>18</v>
      </c>
      <c r="B52" s="5">
        <f>12*B5*$A$52</f>
        <v>579238.94579514558</v>
      </c>
      <c r="C52" s="5">
        <f t="shared" ref="C52:N52" si="79">12*C5*$A$52</f>
        <v>512779.67334033555</v>
      </c>
      <c r="D52" s="5">
        <f t="shared" si="79"/>
        <v>585260.56733997853</v>
      </c>
      <c r="E52" s="5">
        <f t="shared" si="79"/>
        <v>657741.46133962134</v>
      </c>
      <c r="F52" s="5">
        <f t="shared" si="79"/>
        <v>730222.35533926426</v>
      </c>
      <c r="G52" s="5">
        <f t="shared" si="79"/>
        <v>802703.24933890719</v>
      </c>
      <c r="H52" s="5">
        <f t="shared" si="79"/>
        <v>875184.14333855012</v>
      </c>
      <c r="I52" s="5">
        <f t="shared" si="79"/>
        <v>947665.03733819304</v>
      </c>
      <c r="J52" s="5">
        <f t="shared" si="79"/>
        <v>1020145.931337836</v>
      </c>
      <c r="K52" s="5">
        <f t="shared" si="79"/>
        <v>1092626.8253374789</v>
      </c>
      <c r="L52" s="5">
        <f t="shared" si="79"/>
        <v>1165107.7193371218</v>
      </c>
      <c r="M52" s="5">
        <f t="shared" si="79"/>
        <v>1237588.6133367647</v>
      </c>
      <c r="N52" s="5">
        <f t="shared" si="79"/>
        <v>1310069.5073364077</v>
      </c>
      <c r="P52" s="5">
        <f t="shared" si="48"/>
        <v>746217.79132505518</v>
      </c>
      <c r="Q52" s="5">
        <f t="shared" si="49"/>
        <v>679758.5188702452</v>
      </c>
      <c r="R52" s="5">
        <f t="shared" si="50"/>
        <v>752239.41286988812</v>
      </c>
      <c r="S52" s="5">
        <f t="shared" si="51"/>
        <v>824720.30686953093</v>
      </c>
      <c r="T52" s="5">
        <f t="shared" si="52"/>
        <v>897201.20086917386</v>
      </c>
      <c r="U52" s="5">
        <f t="shared" si="53"/>
        <v>969682.09486881678</v>
      </c>
      <c r="V52" s="5">
        <f t="shared" si="54"/>
        <v>1042162.9888684597</v>
      </c>
      <c r="W52" s="5">
        <f t="shared" si="55"/>
        <v>1114643.8828681028</v>
      </c>
      <c r="X52" s="5">
        <f t="shared" si="56"/>
        <v>1187124.7768677454</v>
      </c>
      <c r="Y52" s="5">
        <f t="shared" si="57"/>
        <v>1259605.6708673886</v>
      </c>
      <c r="Z52" s="5">
        <f t="shared" si="58"/>
        <v>1332086.5648670313</v>
      </c>
      <c r="AA52" s="5">
        <f t="shared" si="59"/>
        <v>1404567.4588666745</v>
      </c>
      <c r="AB52" s="5">
        <f t="shared" si="60"/>
        <v>1477048.3528663171</v>
      </c>
      <c r="AD52" s="5">
        <f t="shared" si="61"/>
        <v>-162752.46112564148</v>
      </c>
      <c r="AE52" s="5">
        <f t="shared" si="62"/>
        <v>-23360.022395904991</v>
      </c>
      <c r="AF52" s="5">
        <f t="shared" si="62"/>
        <v>-22907.750120621175</v>
      </c>
      <c r="AG52" s="5">
        <f t="shared" si="62"/>
        <v>-22455.477845337358</v>
      </c>
      <c r="AH52" s="5">
        <f t="shared" si="62"/>
        <v>-22003.205570053891</v>
      </c>
      <c r="AI52" s="5">
        <f t="shared" si="62"/>
        <v>-21550.933294770308</v>
      </c>
      <c r="AJ52" s="5">
        <f t="shared" si="62"/>
        <v>-21098.661019486375</v>
      </c>
      <c r="AK52" s="5">
        <f t="shared" si="62"/>
        <v>-20646.388744203141</v>
      </c>
      <c r="AL52" s="5">
        <f t="shared" si="62"/>
        <v>-20194.116468918044</v>
      </c>
      <c r="AM52" s="5">
        <f t="shared" si="62"/>
        <v>-19741.844193635276</v>
      </c>
      <c r="AN52" s="5">
        <f t="shared" si="62"/>
        <v>-19289.571918350877</v>
      </c>
      <c r="AO52" s="5">
        <f t="shared" si="62"/>
        <v>-18837.299643068574</v>
      </c>
      <c r="AP52" s="5">
        <f t="shared" si="62"/>
        <v>-18385.027367783245</v>
      </c>
    </row>
    <row r="53" spans="1:42" x14ac:dyDescent="0.2">
      <c r="A53" s="6">
        <f t="shared" si="63"/>
        <v>19</v>
      </c>
      <c r="B53" s="5">
        <f>12*B5*$A$53</f>
        <v>611418.88722820929</v>
      </c>
      <c r="C53" s="5">
        <f t="shared" ref="C53:N53" si="80">12*C5*$A$53</f>
        <v>541267.43297035422</v>
      </c>
      <c r="D53" s="5">
        <f t="shared" si="80"/>
        <v>617775.04330331064</v>
      </c>
      <c r="E53" s="5">
        <f t="shared" si="80"/>
        <v>694282.65363626706</v>
      </c>
      <c r="F53" s="5">
        <f t="shared" si="80"/>
        <v>770790.26396922348</v>
      </c>
      <c r="G53" s="5">
        <f t="shared" si="80"/>
        <v>847297.8743021799</v>
      </c>
      <c r="H53" s="5">
        <f t="shared" si="80"/>
        <v>923805.48463513632</v>
      </c>
      <c r="I53" s="5">
        <f t="shared" si="80"/>
        <v>1000313.0949680927</v>
      </c>
      <c r="J53" s="5">
        <f t="shared" si="80"/>
        <v>1076820.7053010492</v>
      </c>
      <c r="K53" s="5">
        <f t="shared" si="80"/>
        <v>1153328.3156340055</v>
      </c>
      <c r="L53" s="5">
        <f t="shared" si="80"/>
        <v>1229835.925966962</v>
      </c>
      <c r="M53" s="5">
        <f t="shared" si="80"/>
        <v>1306343.5362999183</v>
      </c>
      <c r="N53" s="5">
        <f t="shared" si="80"/>
        <v>1382851.1466328749</v>
      </c>
      <c r="P53" s="5">
        <f t="shared" si="48"/>
        <v>778397.73275811889</v>
      </c>
      <c r="Q53" s="5">
        <f t="shared" si="49"/>
        <v>708246.27850026381</v>
      </c>
      <c r="R53" s="5">
        <f t="shared" si="50"/>
        <v>784753.88883322023</v>
      </c>
      <c r="S53" s="5">
        <f t="shared" si="51"/>
        <v>861261.49916617665</v>
      </c>
      <c r="T53" s="5">
        <f t="shared" si="52"/>
        <v>937769.10949913308</v>
      </c>
      <c r="U53" s="5">
        <f t="shared" si="53"/>
        <v>1014276.7198320895</v>
      </c>
      <c r="V53" s="5">
        <f t="shared" si="54"/>
        <v>1090784.3301650458</v>
      </c>
      <c r="W53" s="5">
        <f t="shared" si="55"/>
        <v>1167291.9404980023</v>
      </c>
      <c r="X53" s="5">
        <f t="shared" si="56"/>
        <v>1243799.5508309589</v>
      </c>
      <c r="Y53" s="5">
        <f t="shared" si="57"/>
        <v>1320307.1611639149</v>
      </c>
      <c r="Z53" s="5">
        <f t="shared" si="58"/>
        <v>1396814.7714968715</v>
      </c>
      <c r="AA53" s="5">
        <f t="shared" si="59"/>
        <v>1473322.381829828</v>
      </c>
      <c r="AB53" s="5">
        <f t="shared" si="60"/>
        <v>1549829.9921627846</v>
      </c>
      <c r="AD53" s="5">
        <f t="shared" si="61"/>
        <v>-155286.56666831113</v>
      </c>
      <c r="AE53" s="5">
        <f t="shared" si="62"/>
        <v>-7246.2166492301039</v>
      </c>
      <c r="AF53" s="5">
        <f t="shared" si="62"/>
        <v>-5864.9312209605705</v>
      </c>
      <c r="AG53" s="5">
        <f t="shared" si="62"/>
        <v>-4483.6457926911535</v>
      </c>
      <c r="AH53" s="5">
        <f t="shared" si="62"/>
        <v>-3102.3603644218529</v>
      </c>
      <c r="AI53" s="5">
        <f t="shared" si="62"/>
        <v>-1721.0749361525523</v>
      </c>
      <c r="AJ53" s="5">
        <f t="shared" si="62"/>
        <v>-339.78950788266957</v>
      </c>
      <c r="AK53" s="5">
        <f t="shared" si="62"/>
        <v>1041.4959203863982</v>
      </c>
      <c r="AL53" s="5">
        <f t="shared" si="62"/>
        <v>2422.7813486566301</v>
      </c>
      <c r="AM53" s="5">
        <f t="shared" si="62"/>
        <v>3804.0667769259308</v>
      </c>
      <c r="AN53" s="5">
        <f t="shared" si="62"/>
        <v>5185.3522051959299</v>
      </c>
      <c r="AO53" s="5">
        <f t="shared" si="62"/>
        <v>6566.6376334638335</v>
      </c>
      <c r="AP53" s="5">
        <f t="shared" si="62"/>
        <v>7947.9230617347639</v>
      </c>
    </row>
    <row r="54" spans="1:42" s="9" customFormat="1" x14ac:dyDescent="0.2">
      <c r="A54" s="87">
        <f t="shared" si="63"/>
        <v>20</v>
      </c>
      <c r="B54" s="85">
        <f>12*B5*$A$54</f>
        <v>643598.82866127288</v>
      </c>
      <c r="C54" s="85">
        <f t="shared" ref="C54:N54" si="81">12*C5*$A$54</f>
        <v>569755.19260037283</v>
      </c>
      <c r="D54" s="85">
        <f t="shared" si="81"/>
        <v>650289.51926664286</v>
      </c>
      <c r="E54" s="85">
        <f t="shared" si="81"/>
        <v>730823.84593291266</v>
      </c>
      <c r="F54" s="85">
        <f t="shared" si="81"/>
        <v>811358.17259918258</v>
      </c>
      <c r="G54" s="85">
        <f t="shared" si="81"/>
        <v>891892.4992654525</v>
      </c>
      <c r="H54" s="85">
        <f t="shared" si="81"/>
        <v>972426.82593172241</v>
      </c>
      <c r="I54" s="85">
        <f t="shared" si="81"/>
        <v>1052961.1525979922</v>
      </c>
      <c r="J54" s="85">
        <f t="shared" si="81"/>
        <v>1133495.4792642621</v>
      </c>
      <c r="K54" s="85">
        <f t="shared" si="81"/>
        <v>1214029.805930532</v>
      </c>
      <c r="L54" s="85">
        <f t="shared" si="81"/>
        <v>1294564.132596802</v>
      </c>
      <c r="M54" s="85">
        <f t="shared" si="81"/>
        <v>1375098.4592630719</v>
      </c>
      <c r="N54" s="86">
        <f t="shared" si="81"/>
        <v>1455632.7859293418</v>
      </c>
      <c r="P54" s="84">
        <f t="shared" si="48"/>
        <v>810577.67419118248</v>
      </c>
      <c r="Q54" s="85">
        <f t="shared" si="49"/>
        <v>736734.03813028242</v>
      </c>
      <c r="R54" s="85">
        <f t="shared" si="50"/>
        <v>817268.36479655246</v>
      </c>
      <c r="S54" s="85">
        <f t="shared" si="51"/>
        <v>897802.69146282226</v>
      </c>
      <c r="T54" s="85">
        <f t="shared" si="52"/>
        <v>978337.01812909218</v>
      </c>
      <c r="U54" s="85">
        <f t="shared" si="53"/>
        <v>1058871.3447953621</v>
      </c>
      <c r="V54" s="85">
        <f t="shared" si="54"/>
        <v>1139405.671461632</v>
      </c>
      <c r="W54" s="85">
        <f t="shared" si="55"/>
        <v>1219939.9981279019</v>
      </c>
      <c r="X54" s="85">
        <f t="shared" si="56"/>
        <v>1300474.3247941718</v>
      </c>
      <c r="Y54" s="85">
        <f t="shared" si="57"/>
        <v>1381008.6514604418</v>
      </c>
      <c r="Z54" s="85">
        <f t="shared" si="58"/>
        <v>1461542.9781267117</v>
      </c>
      <c r="AA54" s="85">
        <f t="shared" si="59"/>
        <v>1542077.3047929816</v>
      </c>
      <c r="AB54" s="86">
        <f t="shared" si="60"/>
        <v>1622611.6314592515</v>
      </c>
      <c r="AD54" s="84">
        <f t="shared" si="61"/>
        <v>-146246.7569988257</v>
      </c>
      <c r="AE54" s="85">
        <f t="shared" si="62"/>
        <v>10638.243711118703</v>
      </c>
      <c r="AF54" s="85">
        <f t="shared" si="62"/>
        <v>13145.281693893368</v>
      </c>
      <c r="AG54" s="85">
        <f t="shared" si="62"/>
        <v>15652.319676667918</v>
      </c>
      <c r="AH54" s="85">
        <f t="shared" si="62"/>
        <v>18159.35765944235</v>
      </c>
      <c r="AI54" s="85">
        <f t="shared" si="62"/>
        <v>20666.395642216783</v>
      </c>
      <c r="AJ54" s="85">
        <f t="shared" si="62"/>
        <v>23173.433624991681</v>
      </c>
      <c r="AK54" s="85">
        <f t="shared" si="62"/>
        <v>25680.471607765881</v>
      </c>
      <c r="AL54" s="85">
        <f t="shared" si="62"/>
        <v>28187.509590541711</v>
      </c>
      <c r="AM54" s="85">
        <f t="shared" si="62"/>
        <v>30694.547573315445</v>
      </c>
      <c r="AN54" s="85">
        <f t="shared" si="62"/>
        <v>33201.585556090577</v>
      </c>
      <c r="AO54" s="85">
        <f t="shared" si="62"/>
        <v>35708.623538863845</v>
      </c>
      <c r="AP54" s="86">
        <f t="shared" si="62"/>
        <v>38215.661521640141</v>
      </c>
    </row>
    <row r="55" spans="1:42" x14ac:dyDescent="0.2">
      <c r="A55" s="6">
        <f t="shared" si="63"/>
        <v>21</v>
      </c>
      <c r="B55" s="5">
        <f>12*B5*$A$55</f>
        <v>675778.77009433659</v>
      </c>
      <c r="C55" s="5">
        <f t="shared" ref="C55:N55" si="82">12*C5*$A$55</f>
        <v>598242.95223039144</v>
      </c>
      <c r="D55" s="5">
        <f t="shared" si="82"/>
        <v>682803.99522997497</v>
      </c>
      <c r="E55" s="5">
        <f t="shared" si="82"/>
        <v>767365.03822955827</v>
      </c>
      <c r="F55" s="5">
        <f t="shared" si="82"/>
        <v>851926.08122914168</v>
      </c>
      <c r="G55" s="5">
        <f t="shared" si="82"/>
        <v>936487.12422872509</v>
      </c>
      <c r="H55" s="5">
        <f t="shared" si="82"/>
        <v>1021048.1672283085</v>
      </c>
      <c r="I55" s="5">
        <f t="shared" si="82"/>
        <v>1105609.210227892</v>
      </c>
      <c r="J55" s="5">
        <f t="shared" si="82"/>
        <v>1190170.2532274753</v>
      </c>
      <c r="K55" s="5">
        <f t="shared" si="82"/>
        <v>1274731.2962270589</v>
      </c>
      <c r="L55" s="5">
        <f t="shared" si="82"/>
        <v>1359292.3392266422</v>
      </c>
      <c r="M55" s="5">
        <f t="shared" si="82"/>
        <v>1443853.3822262257</v>
      </c>
      <c r="N55" s="5">
        <f t="shared" si="82"/>
        <v>1528414.425225809</v>
      </c>
      <c r="P55" s="5">
        <f t="shared" si="48"/>
        <v>842757.61562424619</v>
      </c>
      <c r="Q55" s="5">
        <f t="shared" si="49"/>
        <v>765221.79776030104</v>
      </c>
      <c r="R55" s="5">
        <f t="shared" si="50"/>
        <v>849782.84075988457</v>
      </c>
      <c r="S55" s="5">
        <f t="shared" si="51"/>
        <v>934343.88375946786</v>
      </c>
      <c r="T55" s="5">
        <f t="shared" si="52"/>
        <v>1018904.9267590513</v>
      </c>
      <c r="U55" s="5">
        <f t="shared" si="53"/>
        <v>1103465.9697586347</v>
      </c>
      <c r="V55" s="5">
        <f t="shared" si="54"/>
        <v>1188027.0127582182</v>
      </c>
      <c r="W55" s="5">
        <f t="shared" si="55"/>
        <v>1272588.0557578015</v>
      </c>
      <c r="X55" s="5">
        <f t="shared" si="56"/>
        <v>1357149.0987573848</v>
      </c>
      <c r="Y55" s="5">
        <f t="shared" si="57"/>
        <v>1441710.1417569686</v>
      </c>
      <c r="Z55" s="5">
        <f t="shared" si="58"/>
        <v>1526271.1847565519</v>
      </c>
      <c r="AA55" s="5">
        <f t="shared" si="59"/>
        <v>1610832.2277561352</v>
      </c>
      <c r="AB55" s="5">
        <f t="shared" si="60"/>
        <v>1695393.2707557185</v>
      </c>
      <c r="AD55" s="5">
        <f t="shared" si="61"/>
        <v>-135569.9797701647</v>
      </c>
      <c r="AE55" s="5">
        <f t="shared" si="62"/>
        <v>30364.292575540487</v>
      </c>
      <c r="AF55" s="5">
        <f t="shared" si="62"/>
        <v>34201.70405771723</v>
      </c>
      <c r="AG55" s="5">
        <f t="shared" si="62"/>
        <v>38039.115539893974</v>
      </c>
      <c r="AH55" s="5">
        <f t="shared" si="62"/>
        <v>41876.527022070601</v>
      </c>
      <c r="AI55" s="5">
        <f t="shared" si="62"/>
        <v>45713.938504246995</v>
      </c>
      <c r="AJ55" s="5">
        <f t="shared" si="62"/>
        <v>49551.349986423971</v>
      </c>
      <c r="AK55" s="5">
        <f t="shared" si="62"/>
        <v>53388.761468600249</v>
      </c>
      <c r="AL55" s="5">
        <f t="shared" si="62"/>
        <v>57226.172950778157</v>
      </c>
      <c r="AM55" s="5">
        <f t="shared" si="62"/>
        <v>61063.584432953969</v>
      </c>
      <c r="AN55" s="5">
        <f t="shared" si="62"/>
        <v>64900.995915131178</v>
      </c>
      <c r="AO55" s="5">
        <f t="shared" si="62"/>
        <v>68738.407397306524</v>
      </c>
      <c r="AP55" s="5">
        <f t="shared" si="62"/>
        <v>72575.81887948513</v>
      </c>
    </row>
    <row r="56" spans="1:42" x14ac:dyDescent="0.2">
      <c r="A56" s="6">
        <f t="shared" si="63"/>
        <v>22</v>
      </c>
      <c r="B56" s="5">
        <f>12*B5*$A$56</f>
        <v>707958.71152740018</v>
      </c>
      <c r="C56" s="5">
        <f t="shared" ref="C56:N56" si="83">12*C5*$A$56</f>
        <v>626730.71186041017</v>
      </c>
      <c r="D56" s="5">
        <f t="shared" si="83"/>
        <v>715318.47119330708</v>
      </c>
      <c r="E56" s="5">
        <f t="shared" si="83"/>
        <v>803906.23052620399</v>
      </c>
      <c r="F56" s="5">
        <f t="shared" si="83"/>
        <v>892493.9898591009</v>
      </c>
      <c r="G56" s="5">
        <f t="shared" si="83"/>
        <v>981081.74919199781</v>
      </c>
      <c r="H56" s="5">
        <f t="shared" si="83"/>
        <v>1069669.5085248947</v>
      </c>
      <c r="I56" s="5">
        <f t="shared" si="83"/>
        <v>1158257.2678577916</v>
      </c>
      <c r="J56" s="5">
        <f t="shared" si="83"/>
        <v>1246845.0271906885</v>
      </c>
      <c r="K56" s="5">
        <f t="shared" si="83"/>
        <v>1335432.7865235854</v>
      </c>
      <c r="L56" s="5">
        <f t="shared" si="83"/>
        <v>1424020.5458564823</v>
      </c>
      <c r="M56" s="5">
        <f t="shared" si="83"/>
        <v>1512608.3051893793</v>
      </c>
      <c r="N56" s="5">
        <f t="shared" si="83"/>
        <v>1601196.0645222762</v>
      </c>
      <c r="P56" s="5">
        <f t="shared" si="48"/>
        <v>874937.55705730978</v>
      </c>
      <c r="Q56" s="5">
        <f t="shared" si="49"/>
        <v>793709.55739031977</v>
      </c>
      <c r="R56" s="5">
        <f t="shared" si="50"/>
        <v>882297.31672321667</v>
      </c>
      <c r="S56" s="5">
        <f t="shared" si="51"/>
        <v>970885.07605611358</v>
      </c>
      <c r="T56" s="5">
        <f t="shared" si="52"/>
        <v>1059472.8353890106</v>
      </c>
      <c r="U56" s="5">
        <f t="shared" si="53"/>
        <v>1148060.5947219073</v>
      </c>
      <c r="V56" s="5">
        <f t="shared" si="54"/>
        <v>1236648.3540548044</v>
      </c>
      <c r="W56" s="5">
        <f t="shared" si="55"/>
        <v>1325236.1133877011</v>
      </c>
      <c r="X56" s="5">
        <f t="shared" si="56"/>
        <v>1413823.8727205982</v>
      </c>
      <c r="Y56" s="5">
        <f t="shared" si="57"/>
        <v>1502411.6320534949</v>
      </c>
      <c r="Z56" s="5">
        <f t="shared" si="58"/>
        <v>1590999.3913863921</v>
      </c>
      <c r="AA56" s="5">
        <f t="shared" si="59"/>
        <v>1679587.1507192887</v>
      </c>
      <c r="AB56" s="5">
        <f t="shared" si="60"/>
        <v>1768174.9100521859</v>
      </c>
      <c r="AD56" s="5">
        <f t="shared" si="61"/>
        <v>-123190.63208530308</v>
      </c>
      <c r="AE56" s="5">
        <f t="shared" si="62"/>
        <v>52005.733203187468</v>
      </c>
      <c r="AF56" s="5">
        <f t="shared" si="62"/>
        <v>57386.339491791558</v>
      </c>
      <c r="AG56" s="5">
        <f t="shared" si="62"/>
        <v>62766.945780395297</v>
      </c>
      <c r="AH56" s="5">
        <f t="shared" si="62"/>
        <v>68147.552068998804</v>
      </c>
      <c r="AI56" s="5">
        <f t="shared" si="62"/>
        <v>73528.158357602544</v>
      </c>
      <c r="AJ56" s="5">
        <f t="shared" si="62"/>
        <v>78908.764646206517</v>
      </c>
      <c r="AK56" s="5">
        <f t="shared" si="62"/>
        <v>84289.370934810257</v>
      </c>
      <c r="AL56" s="5">
        <f t="shared" si="62"/>
        <v>89669.977223415161</v>
      </c>
      <c r="AM56" s="5">
        <f t="shared" si="62"/>
        <v>95050.583512018435</v>
      </c>
      <c r="AN56" s="5">
        <f t="shared" si="62"/>
        <v>100431.18980062241</v>
      </c>
      <c r="AO56" s="5">
        <f t="shared" si="62"/>
        <v>105811.79608922475</v>
      </c>
      <c r="AP56" s="5">
        <f t="shared" si="62"/>
        <v>111192.40237783059</v>
      </c>
    </row>
    <row r="57" spans="1:42" x14ac:dyDescent="0.2">
      <c r="A57" s="6">
        <f t="shared" si="63"/>
        <v>23</v>
      </c>
      <c r="B57" s="5">
        <f>12*B5*$A$57</f>
        <v>740138.65296046389</v>
      </c>
      <c r="C57" s="5">
        <f t="shared" ref="C57:N57" si="84">12*C5*$A$57</f>
        <v>655218.47149042878</v>
      </c>
      <c r="D57" s="5">
        <f t="shared" si="84"/>
        <v>747832.94715663919</v>
      </c>
      <c r="E57" s="5">
        <f t="shared" si="84"/>
        <v>840447.42282284959</v>
      </c>
      <c r="F57" s="5">
        <f t="shared" si="84"/>
        <v>933061.89848906</v>
      </c>
      <c r="G57" s="5">
        <f t="shared" si="84"/>
        <v>1025676.3741552704</v>
      </c>
      <c r="H57" s="5">
        <f t="shared" si="84"/>
        <v>1118290.8498214807</v>
      </c>
      <c r="I57" s="5">
        <f t="shared" si="84"/>
        <v>1210905.3254876912</v>
      </c>
      <c r="J57" s="5">
        <f t="shared" si="84"/>
        <v>1303519.8011539015</v>
      </c>
      <c r="K57" s="5">
        <f t="shared" si="84"/>
        <v>1396134.276820112</v>
      </c>
      <c r="L57" s="5">
        <f t="shared" si="84"/>
        <v>1488748.7524863223</v>
      </c>
      <c r="M57" s="5">
        <f t="shared" si="84"/>
        <v>1581363.2281525328</v>
      </c>
      <c r="N57" s="5">
        <f t="shared" si="84"/>
        <v>1673977.7038187431</v>
      </c>
      <c r="P57" s="5">
        <f t="shared" si="48"/>
        <v>907117.49849037349</v>
      </c>
      <c r="Q57" s="5">
        <f t="shared" si="49"/>
        <v>822197.31702033838</v>
      </c>
      <c r="R57" s="5">
        <f t="shared" si="50"/>
        <v>914811.79268654878</v>
      </c>
      <c r="S57" s="5">
        <f t="shared" si="51"/>
        <v>1007426.2683527592</v>
      </c>
      <c r="T57" s="5">
        <f t="shared" si="52"/>
        <v>1100040.7440189696</v>
      </c>
      <c r="U57" s="5">
        <f t="shared" si="53"/>
        <v>1192655.2196851801</v>
      </c>
      <c r="V57" s="5">
        <f t="shared" si="54"/>
        <v>1285269.6953513902</v>
      </c>
      <c r="W57" s="5">
        <f t="shared" si="55"/>
        <v>1377884.1710176007</v>
      </c>
      <c r="X57" s="5">
        <f t="shared" si="56"/>
        <v>1470498.6466838112</v>
      </c>
      <c r="Y57" s="5">
        <f t="shared" si="57"/>
        <v>1563113.1223500217</v>
      </c>
      <c r="Z57" s="5">
        <f t="shared" si="58"/>
        <v>1655727.5980162318</v>
      </c>
      <c r="AA57" s="5">
        <f t="shared" si="59"/>
        <v>1748342.0736824423</v>
      </c>
      <c r="AB57" s="5">
        <f t="shared" si="60"/>
        <v>1840956.5493486528</v>
      </c>
      <c r="AD57" s="5">
        <f t="shared" si="61"/>
        <v>-109040.45626817935</v>
      </c>
      <c r="AE57" s="5">
        <f t="shared" si="62"/>
        <v>75639.35547962971</v>
      </c>
      <c r="AF57" s="5">
        <f t="shared" si="62"/>
        <v>82784.510091193486</v>
      </c>
      <c r="AG57" s="5">
        <f t="shared" si="62"/>
        <v>89929.664702757611</v>
      </c>
      <c r="AH57" s="5">
        <f t="shared" si="62"/>
        <v>97074.819314320805</v>
      </c>
      <c r="AI57" s="5">
        <f t="shared" si="62"/>
        <v>104219.97392588458</v>
      </c>
      <c r="AJ57" s="5">
        <f t="shared" si="62"/>
        <v>111365.12853744882</v>
      </c>
      <c r="AK57" s="5">
        <f t="shared" si="62"/>
        <v>118510.2831490119</v>
      </c>
      <c r="AL57" s="5">
        <f t="shared" si="62"/>
        <v>125655.43776057707</v>
      </c>
      <c r="AM57" s="5">
        <f t="shared" si="62"/>
        <v>132800.59237213945</v>
      </c>
      <c r="AN57" s="5">
        <f t="shared" si="62"/>
        <v>139945.74698370439</v>
      </c>
      <c r="AO57" s="5">
        <f t="shared" si="62"/>
        <v>147090.90159526654</v>
      </c>
      <c r="AP57" s="5">
        <f t="shared" si="62"/>
        <v>154236.05620683171</v>
      </c>
    </row>
    <row r="58" spans="1:42" x14ac:dyDescent="0.2">
      <c r="A58" s="6">
        <f t="shared" si="63"/>
        <v>24</v>
      </c>
      <c r="B58" s="5">
        <f>12*B5*$A$58</f>
        <v>772318.59439352748</v>
      </c>
      <c r="C58" s="5">
        <f t="shared" ref="C58:N58" si="85">12*C5*$A$58</f>
        <v>683706.2311204474</v>
      </c>
      <c r="D58" s="5">
        <f t="shared" si="85"/>
        <v>780347.42311997141</v>
      </c>
      <c r="E58" s="5">
        <f t="shared" si="85"/>
        <v>876988.6151194952</v>
      </c>
      <c r="F58" s="5">
        <f t="shared" si="85"/>
        <v>973629.8071190191</v>
      </c>
      <c r="G58" s="5">
        <f t="shared" si="85"/>
        <v>1070270.999118543</v>
      </c>
      <c r="H58" s="5">
        <f t="shared" si="85"/>
        <v>1166912.1911180669</v>
      </c>
      <c r="I58" s="5">
        <f t="shared" si="85"/>
        <v>1263553.3831175908</v>
      </c>
      <c r="J58" s="5">
        <f t="shared" si="85"/>
        <v>1360194.5751171147</v>
      </c>
      <c r="K58" s="5">
        <f t="shared" si="85"/>
        <v>1456835.7671166386</v>
      </c>
      <c r="L58" s="5">
        <f t="shared" si="85"/>
        <v>1553476.9591161625</v>
      </c>
      <c r="M58" s="5">
        <f t="shared" si="85"/>
        <v>1650118.1511156864</v>
      </c>
      <c r="N58" s="5">
        <f t="shared" si="85"/>
        <v>1746759.3431152103</v>
      </c>
      <c r="P58" s="5">
        <f t="shared" si="48"/>
        <v>939297.43992343708</v>
      </c>
      <c r="Q58" s="5">
        <f t="shared" si="49"/>
        <v>850685.07665035699</v>
      </c>
      <c r="R58" s="5">
        <f t="shared" si="50"/>
        <v>947326.26864988101</v>
      </c>
      <c r="S58" s="5">
        <f t="shared" si="51"/>
        <v>1043967.4606494048</v>
      </c>
      <c r="T58" s="5">
        <f t="shared" si="52"/>
        <v>1140608.6526489286</v>
      </c>
      <c r="U58" s="5">
        <f t="shared" si="53"/>
        <v>1237249.8446484525</v>
      </c>
      <c r="V58" s="5">
        <f t="shared" si="54"/>
        <v>1333891.0366479764</v>
      </c>
      <c r="W58" s="5">
        <f t="shared" si="55"/>
        <v>1430532.2286475003</v>
      </c>
      <c r="X58" s="5">
        <f t="shared" si="56"/>
        <v>1527173.4206470242</v>
      </c>
      <c r="Y58" s="5">
        <f t="shared" si="57"/>
        <v>1623814.6126465481</v>
      </c>
      <c r="Z58" s="5">
        <f t="shared" si="58"/>
        <v>1720455.804646072</v>
      </c>
      <c r="AA58" s="5">
        <f t="shared" si="59"/>
        <v>1817096.9966455959</v>
      </c>
      <c r="AB58" s="5">
        <f t="shared" si="60"/>
        <v>1913738.1886451198</v>
      </c>
      <c r="AD58" s="5">
        <f t="shared" si="61"/>
        <v>-93048.431330453954</v>
      </c>
      <c r="AE58" s="5">
        <f t="shared" si="62"/>
        <v>101345.05801674875</v>
      </c>
      <c r="AF58" s="5">
        <f t="shared" si="62"/>
        <v>110484.99209134746</v>
      </c>
      <c r="AG58" s="5">
        <f t="shared" si="62"/>
        <v>119624.92616594664</v>
      </c>
      <c r="AH58" s="5">
        <f t="shared" si="62"/>
        <v>128764.86024054536</v>
      </c>
      <c r="AI58" s="5">
        <f t="shared" si="62"/>
        <v>137904.79431514395</v>
      </c>
      <c r="AJ58" s="5">
        <f t="shared" si="62"/>
        <v>147044.72838974325</v>
      </c>
      <c r="AK58" s="5">
        <f t="shared" si="62"/>
        <v>156184.66246434161</v>
      </c>
      <c r="AL58" s="5">
        <f t="shared" si="62"/>
        <v>165324.59653894207</v>
      </c>
      <c r="AM58" s="5">
        <f t="shared" si="62"/>
        <v>174464.53061353974</v>
      </c>
      <c r="AN58" s="5">
        <f t="shared" si="62"/>
        <v>183604.4646881395</v>
      </c>
      <c r="AO58" s="5">
        <f t="shared" si="62"/>
        <v>192744.39876273647</v>
      </c>
      <c r="AP58" s="5">
        <f t="shared" si="62"/>
        <v>201884.33283733716</v>
      </c>
    </row>
    <row r="59" spans="1:42" s="9" customFormat="1" x14ac:dyDescent="0.2">
      <c r="A59" s="87">
        <f t="shared" si="63"/>
        <v>25</v>
      </c>
      <c r="B59" s="85">
        <f>12*B5*$A$59</f>
        <v>804498.53582659119</v>
      </c>
      <c r="C59" s="85">
        <f t="shared" ref="C59:N59" si="86">12*C5*$A$59</f>
        <v>712193.99075046601</v>
      </c>
      <c r="D59" s="85">
        <f t="shared" si="86"/>
        <v>812861.89908330352</v>
      </c>
      <c r="E59" s="85">
        <f t="shared" si="86"/>
        <v>913529.8074161408</v>
      </c>
      <c r="F59" s="85">
        <f t="shared" si="86"/>
        <v>1014197.7157489782</v>
      </c>
      <c r="G59" s="85">
        <f t="shared" si="86"/>
        <v>1114865.6240818156</v>
      </c>
      <c r="H59" s="85">
        <f t="shared" si="86"/>
        <v>1215533.5324146531</v>
      </c>
      <c r="I59" s="85">
        <f t="shared" si="86"/>
        <v>1316201.4407474904</v>
      </c>
      <c r="J59" s="85">
        <f t="shared" si="86"/>
        <v>1416869.3490803279</v>
      </c>
      <c r="K59" s="85">
        <f t="shared" si="86"/>
        <v>1517537.2574131652</v>
      </c>
      <c r="L59" s="85">
        <f t="shared" si="86"/>
        <v>1618205.1657460027</v>
      </c>
      <c r="M59" s="85">
        <f t="shared" si="86"/>
        <v>1718873.07407884</v>
      </c>
      <c r="N59" s="86">
        <f t="shared" si="86"/>
        <v>1819540.9824116775</v>
      </c>
      <c r="P59" s="84">
        <f t="shared" si="48"/>
        <v>971477.38135650079</v>
      </c>
      <c r="Q59" s="85">
        <f t="shared" si="49"/>
        <v>879172.8362803756</v>
      </c>
      <c r="R59" s="85">
        <f t="shared" si="50"/>
        <v>979840.74461321312</v>
      </c>
      <c r="S59" s="85">
        <f t="shared" si="51"/>
        <v>1080508.6529460503</v>
      </c>
      <c r="T59" s="85">
        <f t="shared" si="52"/>
        <v>1181176.5612788878</v>
      </c>
      <c r="U59" s="85">
        <f t="shared" si="53"/>
        <v>1281844.4696117253</v>
      </c>
      <c r="V59" s="85">
        <f t="shared" si="54"/>
        <v>1382512.3779445626</v>
      </c>
      <c r="W59" s="85">
        <f t="shared" si="55"/>
        <v>1483180.2862773999</v>
      </c>
      <c r="X59" s="85">
        <f t="shared" si="56"/>
        <v>1583848.1946102376</v>
      </c>
      <c r="Y59" s="85">
        <f t="shared" si="57"/>
        <v>1684516.1029430749</v>
      </c>
      <c r="Z59" s="85">
        <f t="shared" si="58"/>
        <v>1785184.0112759122</v>
      </c>
      <c r="AA59" s="85">
        <f t="shared" si="59"/>
        <v>1885851.9196087494</v>
      </c>
      <c r="AB59" s="86">
        <f t="shared" si="60"/>
        <v>1986519.8279415872</v>
      </c>
      <c r="AD59" s="84">
        <f>AD32-P59</f>
        <v>-75140.659954439616</v>
      </c>
      <c r="AE59" s="85">
        <f t="shared" si="62"/>
        <v>129205.97529694287</v>
      </c>
      <c r="AF59" s="85">
        <f t="shared" si="62"/>
        <v>140580.15713936312</v>
      </c>
      <c r="AG59" s="85">
        <f t="shared" si="62"/>
        <v>151954.33898178372</v>
      </c>
      <c r="AH59" s="85">
        <f t="shared" si="62"/>
        <v>163328.52082420327</v>
      </c>
      <c r="AI59" s="85">
        <f t="shared" si="62"/>
        <v>174702.70266662305</v>
      </c>
      <c r="AJ59" s="85">
        <f t="shared" si="62"/>
        <v>186076.88450904377</v>
      </c>
      <c r="AK59" s="85">
        <f t="shared" si="62"/>
        <v>197451.06635146332</v>
      </c>
      <c r="AL59" s="85">
        <f t="shared" si="62"/>
        <v>208825.24819388473</v>
      </c>
      <c r="AM59" s="85">
        <f t="shared" si="62"/>
        <v>220199.43003630382</v>
      </c>
      <c r="AN59" s="85">
        <f t="shared" si="62"/>
        <v>231573.61187872477</v>
      </c>
      <c r="AO59" s="85">
        <f t="shared" si="62"/>
        <v>242947.79372114316</v>
      </c>
      <c r="AP59" s="86">
        <f t="shared" si="62"/>
        <v>254321.97556356527</v>
      </c>
    </row>
  </sheetData>
  <conditionalFormatting sqref="B5:N5">
    <cfRule type="cellIs" dxfId="3" priority="1" operator="lessThanOrEqual">
      <formula>$H$1</formula>
    </cfRule>
    <cfRule type="cellIs" dxfId="2" priority="3" operator="greaterThan">
      <formula>($F$1)/36</formula>
    </cfRule>
  </conditionalFormatting>
  <conditionalFormatting sqref="AD8:AP32">
    <cfRule type="cellIs" dxfId="1" priority="6" operator="greaterThanOrEqual">
      <formula>0</formula>
    </cfRule>
  </conditionalFormatting>
  <conditionalFormatting sqref="AD35:AP59"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249205-1F68-604D-8E20-E46F462E8E48}">
          <x14:formula1>
            <xm:f>Finances!$B$1:$L$1</xm:f>
          </x14:formula1>
          <xm:sqref>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CD38-5B1B-A547-AD70-6C776C25E269}">
  <dimension ref="A1:O81"/>
  <sheetViews>
    <sheetView zoomScale="83" zoomScaleNormal="86" workbookViewId="0">
      <selection activeCell="B5" sqref="B5"/>
    </sheetView>
  </sheetViews>
  <sheetFormatPr baseColWidth="10" defaultRowHeight="16" x14ac:dyDescent="0.2"/>
  <cols>
    <col min="1" max="1" width="38" style="6" bestFit="1" customWidth="1"/>
    <col min="2" max="3" width="15.83203125" bestFit="1" customWidth="1"/>
    <col min="4" max="4" width="25.33203125" bestFit="1" customWidth="1"/>
    <col min="5" max="5" width="30.6640625" bestFit="1" customWidth="1"/>
    <col min="6" max="8" width="15.83203125" bestFit="1" customWidth="1"/>
    <col min="9" max="9" width="20.83203125" bestFit="1" customWidth="1"/>
    <col min="10" max="14" width="15.83203125" bestFit="1" customWidth="1"/>
  </cols>
  <sheetData>
    <row r="1" spans="1:14" x14ac:dyDescent="0.2">
      <c r="A1" s="6" t="s">
        <v>23</v>
      </c>
      <c r="B1" s="4">
        <f>Home!B1</f>
        <v>4.5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idden="1" x14ac:dyDescent="0.2">
      <c r="A2" s="6" t="s">
        <v>45</v>
      </c>
      <c r="B2" s="5">
        <v>400000</v>
      </c>
      <c r="C2" s="5">
        <v>450000</v>
      </c>
      <c r="D2" s="5">
        <v>500000</v>
      </c>
      <c r="E2" s="5">
        <v>550000</v>
      </c>
      <c r="F2" s="5">
        <v>600000</v>
      </c>
      <c r="G2" s="5">
        <v>650000</v>
      </c>
      <c r="H2" s="5">
        <v>700000</v>
      </c>
      <c r="I2" s="5">
        <v>750000</v>
      </c>
      <c r="J2" s="5">
        <v>800000</v>
      </c>
      <c r="K2" s="5">
        <v>850000</v>
      </c>
      <c r="L2" s="5">
        <v>900000</v>
      </c>
      <c r="M2" s="5">
        <v>950000</v>
      </c>
      <c r="N2" s="5">
        <v>1000000</v>
      </c>
    </row>
    <row r="3" spans="1:14" hidden="1" x14ac:dyDescent="0.2">
      <c r="A3" s="6" t="s">
        <v>47</v>
      </c>
      <c r="B3" s="5">
        <f>(B2*0.8*(1+$B$1/1200)^(12*30))/(360)</f>
        <v>3420.1760444119068</v>
      </c>
      <c r="C3" s="5">
        <f t="shared" ref="C3:N3" si="0">(C2*0.8*(1+$B$1/1200)^(12*30))/(360)</f>
        <v>3847.6980499633955</v>
      </c>
      <c r="D3" s="5">
        <f t="shared" si="0"/>
        <v>4275.2200555148838</v>
      </c>
      <c r="E3" s="5">
        <f t="shared" si="0"/>
        <v>4702.7420610663721</v>
      </c>
      <c r="F3" s="5">
        <f t="shared" si="0"/>
        <v>5130.2640666178613</v>
      </c>
      <c r="G3" s="5">
        <f t="shared" si="0"/>
        <v>5557.7860721693487</v>
      </c>
      <c r="H3" s="5">
        <f t="shared" si="0"/>
        <v>5985.308077720837</v>
      </c>
      <c r="I3" s="5">
        <f t="shared" si="0"/>
        <v>6412.8300832723253</v>
      </c>
      <c r="J3" s="5">
        <f t="shared" si="0"/>
        <v>6840.3520888238136</v>
      </c>
      <c r="K3" s="5">
        <f t="shared" si="0"/>
        <v>7267.8740943753028</v>
      </c>
      <c r="L3" s="5">
        <f t="shared" si="0"/>
        <v>7695.3960999267911</v>
      </c>
      <c r="M3" s="5">
        <f t="shared" si="0"/>
        <v>8122.9181054782794</v>
      </c>
      <c r="N3" s="5">
        <f t="shared" si="0"/>
        <v>8550.4401110297676</v>
      </c>
    </row>
    <row r="4" spans="1:14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6" t="s">
        <v>45</v>
      </c>
      <c r="B5" s="5">
        <v>500000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6" t="s">
        <v>47</v>
      </c>
      <c r="B6" s="5">
        <f>PMT($B$1/1200,360,-(1.04*B5-Home!F2))+(0.0173*B5)/12+200</f>
        <v>2709.5396636110117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8" spans="1:14" x14ac:dyDescent="0.2">
      <c r="A8" s="55" t="s">
        <v>30</v>
      </c>
      <c r="B8" s="54">
        <v>85000</v>
      </c>
      <c r="C8" s="54">
        <v>90000</v>
      </c>
      <c r="D8" s="54">
        <v>95000</v>
      </c>
      <c r="E8" s="54">
        <v>100000</v>
      </c>
      <c r="F8" s="54">
        <v>105000</v>
      </c>
      <c r="G8" s="54">
        <v>110000</v>
      </c>
      <c r="H8" s="54">
        <v>115000</v>
      </c>
      <c r="I8" s="54">
        <v>120000</v>
      </c>
      <c r="J8" s="54">
        <v>125000</v>
      </c>
      <c r="K8" s="54">
        <v>130000</v>
      </c>
      <c r="L8" s="54">
        <v>135000</v>
      </c>
      <c r="M8" s="54">
        <v>140000</v>
      </c>
      <c r="N8" s="54">
        <v>145000</v>
      </c>
    </row>
    <row r="9" spans="1:14" hidden="1" x14ac:dyDescent="0.2">
      <c r="A9" s="104" t="s">
        <v>55</v>
      </c>
      <c r="B9" s="99">
        <f>$B78</f>
        <v>69111.333073396658</v>
      </c>
      <c r="C9" s="99">
        <f t="shared" ref="C9:N9" si="1">$B78</f>
        <v>69111.333073396658</v>
      </c>
      <c r="D9" s="99">
        <f t="shared" si="1"/>
        <v>69111.333073396658</v>
      </c>
      <c r="E9" s="99">
        <f t="shared" si="1"/>
        <v>69111.333073396658</v>
      </c>
      <c r="F9" s="99">
        <f t="shared" si="1"/>
        <v>69111.333073396658</v>
      </c>
      <c r="G9" s="99">
        <f t="shared" si="1"/>
        <v>69111.333073396658</v>
      </c>
      <c r="H9" s="99">
        <f t="shared" si="1"/>
        <v>69111.333073396658</v>
      </c>
      <c r="I9" s="99">
        <f t="shared" si="1"/>
        <v>69111.333073396658</v>
      </c>
      <c r="J9" s="99">
        <f t="shared" si="1"/>
        <v>69111.333073396658</v>
      </c>
      <c r="K9" s="99">
        <f t="shared" si="1"/>
        <v>69111.333073396658</v>
      </c>
      <c r="L9" s="99">
        <f t="shared" si="1"/>
        <v>69111.333073396658</v>
      </c>
      <c r="M9" s="99">
        <f t="shared" si="1"/>
        <v>69111.333073396658</v>
      </c>
      <c r="N9" s="99">
        <f t="shared" si="1"/>
        <v>69111.333073396658</v>
      </c>
    </row>
    <row r="10" spans="1:14" x14ac:dyDescent="0.2">
      <c r="A10" s="55" t="s">
        <v>140</v>
      </c>
      <c r="B10" s="5">
        <f>$B79</f>
        <v>81437.924769738383</v>
      </c>
      <c r="C10" s="5">
        <f t="shared" ref="C10:N10" si="2">$B79</f>
        <v>81437.924769738383</v>
      </c>
      <c r="D10" s="5">
        <f t="shared" si="2"/>
        <v>81437.924769738383</v>
      </c>
      <c r="E10" s="5">
        <f t="shared" si="2"/>
        <v>81437.924769738383</v>
      </c>
      <c r="F10" s="5">
        <f t="shared" si="2"/>
        <v>81437.924769738383</v>
      </c>
      <c r="G10" s="5">
        <f t="shared" si="2"/>
        <v>81437.924769738383</v>
      </c>
      <c r="H10" s="5">
        <f t="shared" si="2"/>
        <v>81437.924769738383</v>
      </c>
      <c r="I10" s="5">
        <f t="shared" si="2"/>
        <v>81437.924769738383</v>
      </c>
      <c r="J10" s="5">
        <f t="shared" si="2"/>
        <v>81437.924769738383</v>
      </c>
      <c r="K10" s="5">
        <f t="shared" si="2"/>
        <v>81437.924769738383</v>
      </c>
      <c r="L10" s="5">
        <f t="shared" si="2"/>
        <v>81437.924769738383</v>
      </c>
      <c r="M10" s="5">
        <f t="shared" si="2"/>
        <v>81437.924769738383</v>
      </c>
      <c r="N10" s="5">
        <f t="shared" si="2"/>
        <v>81437.924769738383</v>
      </c>
    </row>
    <row r="11" spans="1:14" hidden="1" x14ac:dyDescent="0.2">
      <c r="A11" s="55" t="s">
        <v>37</v>
      </c>
      <c r="B11" s="4">
        <f>IF(B9&gt;89450, 0.1*22000 + 0.12*(89450-22000)+(B9-89450)*0.22, 0.1*22000 + 0.12*(B9-22000))</f>
        <v>7853.3599688075983</v>
      </c>
      <c r="C11" s="4">
        <f t="shared" ref="C11:N11" si="3">IF(C9&gt;89450, 0.1*22000 + 0.12*(89450-22000)+(C9-89450)*0.22, 0.1*22000 + 0.12*(C9-22000))</f>
        <v>7853.3599688075983</v>
      </c>
      <c r="D11" s="4">
        <f t="shared" si="3"/>
        <v>7853.3599688075983</v>
      </c>
      <c r="E11" s="4">
        <f t="shared" si="3"/>
        <v>7853.3599688075983</v>
      </c>
      <c r="F11" s="4">
        <f t="shared" si="3"/>
        <v>7853.3599688075983</v>
      </c>
      <c r="G11" s="4">
        <f t="shared" si="3"/>
        <v>7853.3599688075983</v>
      </c>
      <c r="H11" s="4">
        <f t="shared" si="3"/>
        <v>7853.3599688075983</v>
      </c>
      <c r="I11" s="4">
        <f t="shared" si="3"/>
        <v>7853.3599688075983</v>
      </c>
      <c r="J11" s="4">
        <f t="shared" si="3"/>
        <v>7853.3599688075983</v>
      </c>
      <c r="K11" s="4">
        <f t="shared" si="3"/>
        <v>7853.3599688075983</v>
      </c>
      <c r="L11" s="4">
        <f t="shared" si="3"/>
        <v>7853.3599688075983</v>
      </c>
      <c r="M11" s="4">
        <f t="shared" si="3"/>
        <v>7853.3599688075983</v>
      </c>
      <c r="N11" s="4">
        <f t="shared" si="3"/>
        <v>7853.3599688075983</v>
      </c>
    </row>
    <row r="12" spans="1:14" x14ac:dyDescent="0.2">
      <c r="A12" s="55" t="s">
        <v>143</v>
      </c>
      <c r="B12" s="4">
        <f>IF(B10&gt;89450, 0.1*22000 + 0.12*(89450-22000)+(B10-89450)*0.22, 0.1*22000 + 0.12*(B10-22000))</f>
        <v>9332.5509723686046</v>
      </c>
      <c r="C12" s="4">
        <f t="shared" ref="C12:N12" si="4">IF(C10&gt;89450, 0.1*22000 + 0.12*(89450-22000)+(C10-89450)*0.22, 0.1*22000 + 0.12*(C10-22000))</f>
        <v>9332.5509723686046</v>
      </c>
      <c r="D12" s="4">
        <f t="shared" si="4"/>
        <v>9332.5509723686046</v>
      </c>
      <c r="E12" s="4">
        <f t="shared" si="4"/>
        <v>9332.5509723686046</v>
      </c>
      <c r="F12" s="4">
        <f t="shared" si="4"/>
        <v>9332.5509723686046</v>
      </c>
      <c r="G12" s="4">
        <f t="shared" si="4"/>
        <v>9332.5509723686046</v>
      </c>
      <c r="H12" s="4">
        <f t="shared" si="4"/>
        <v>9332.5509723686046</v>
      </c>
      <c r="I12" s="4">
        <f t="shared" si="4"/>
        <v>9332.5509723686046</v>
      </c>
      <c r="J12" s="4">
        <f t="shared" si="4"/>
        <v>9332.5509723686046</v>
      </c>
      <c r="K12" s="4">
        <f t="shared" si="4"/>
        <v>9332.5509723686046</v>
      </c>
      <c r="L12" s="4">
        <f t="shared" si="4"/>
        <v>9332.5509723686046</v>
      </c>
      <c r="M12" s="4">
        <f t="shared" si="4"/>
        <v>9332.5509723686046</v>
      </c>
      <c r="N12" s="4">
        <f t="shared" si="4"/>
        <v>9332.5509723686046</v>
      </c>
    </row>
    <row r="13" spans="1:14" hidden="1" x14ac:dyDescent="0.2">
      <c r="A13" s="55" t="s">
        <v>31</v>
      </c>
      <c r="B13" s="4">
        <f xml:space="preserve"> 1202 + (B9-27900)*0.055</f>
        <v>3468.6233190368162</v>
      </c>
      <c r="C13" s="4">
        <f t="shared" ref="C13:N13" si="5" xml:space="preserve"> 1202 + (C9-27900)*0.055</f>
        <v>3468.6233190368162</v>
      </c>
      <c r="D13" s="4">
        <f t="shared" si="5"/>
        <v>3468.6233190368162</v>
      </c>
      <c r="E13" s="4">
        <f t="shared" si="5"/>
        <v>3468.6233190368162</v>
      </c>
      <c r="F13" s="4">
        <f t="shared" si="5"/>
        <v>3468.6233190368162</v>
      </c>
      <c r="G13" s="4">
        <f t="shared" si="5"/>
        <v>3468.6233190368162</v>
      </c>
      <c r="H13" s="4">
        <f t="shared" si="5"/>
        <v>3468.6233190368162</v>
      </c>
      <c r="I13" s="4">
        <f t="shared" si="5"/>
        <v>3468.6233190368162</v>
      </c>
      <c r="J13" s="4">
        <f t="shared" si="5"/>
        <v>3468.6233190368162</v>
      </c>
      <c r="K13" s="4">
        <f t="shared" si="5"/>
        <v>3468.6233190368162</v>
      </c>
      <c r="L13" s="4">
        <f t="shared" si="5"/>
        <v>3468.6233190368162</v>
      </c>
      <c r="M13" s="4">
        <f t="shared" si="5"/>
        <v>3468.6233190368162</v>
      </c>
      <c r="N13" s="4">
        <f t="shared" si="5"/>
        <v>3468.6233190368162</v>
      </c>
    </row>
    <row r="14" spans="1:14" x14ac:dyDescent="0.2">
      <c r="A14" s="55" t="s">
        <v>144</v>
      </c>
      <c r="B14" s="4">
        <f xml:space="preserve"> 1202 + (B10-27900)*0.055</f>
        <v>4146.5858623356107</v>
      </c>
      <c r="C14" s="4">
        <f xml:space="preserve"> 1202 + (C10-27900)*0.055</f>
        <v>4146.5858623356107</v>
      </c>
      <c r="D14" s="4">
        <f t="shared" ref="D14:N14" si="6" xml:space="preserve"> 1202 + (D10-27900)*0.055</f>
        <v>4146.5858623356107</v>
      </c>
      <c r="E14" s="4">
        <f t="shared" si="6"/>
        <v>4146.5858623356107</v>
      </c>
      <c r="F14" s="4">
        <f t="shared" si="6"/>
        <v>4146.5858623356107</v>
      </c>
      <c r="G14" s="4">
        <f t="shared" si="6"/>
        <v>4146.5858623356107</v>
      </c>
      <c r="H14" s="4">
        <f t="shared" si="6"/>
        <v>4146.5858623356107</v>
      </c>
      <c r="I14" s="4">
        <f t="shared" si="6"/>
        <v>4146.5858623356107</v>
      </c>
      <c r="J14" s="4">
        <f t="shared" si="6"/>
        <v>4146.5858623356107</v>
      </c>
      <c r="K14" s="4">
        <f t="shared" si="6"/>
        <v>4146.5858623356107</v>
      </c>
      <c r="L14" s="4">
        <f t="shared" si="6"/>
        <v>4146.5858623356107</v>
      </c>
      <c r="M14" s="4">
        <f t="shared" si="6"/>
        <v>4146.5858623356107</v>
      </c>
      <c r="N14" s="4">
        <f t="shared" si="6"/>
        <v>4146.5858623356107</v>
      </c>
    </row>
    <row r="15" spans="1:14" hidden="1" x14ac:dyDescent="0.2">
      <c r="A15" s="55" t="s">
        <v>38</v>
      </c>
      <c r="B15" s="4">
        <f>B9*0.062</f>
        <v>4284.9026505505926</v>
      </c>
      <c r="C15" s="4">
        <f t="shared" ref="C15:N15" si="7">C9*0.062</f>
        <v>4284.9026505505926</v>
      </c>
      <c r="D15" s="4">
        <f t="shared" si="7"/>
        <v>4284.9026505505926</v>
      </c>
      <c r="E15" s="4">
        <f t="shared" si="7"/>
        <v>4284.9026505505926</v>
      </c>
      <c r="F15" s="4">
        <f t="shared" si="7"/>
        <v>4284.9026505505926</v>
      </c>
      <c r="G15" s="4">
        <f t="shared" si="7"/>
        <v>4284.9026505505926</v>
      </c>
      <c r="H15" s="4">
        <f t="shared" si="7"/>
        <v>4284.9026505505926</v>
      </c>
      <c r="I15" s="4">
        <f t="shared" si="7"/>
        <v>4284.9026505505926</v>
      </c>
      <c r="J15" s="4">
        <f t="shared" si="7"/>
        <v>4284.9026505505926</v>
      </c>
      <c r="K15" s="4">
        <f t="shared" si="7"/>
        <v>4284.9026505505926</v>
      </c>
      <c r="L15" s="4">
        <f t="shared" si="7"/>
        <v>4284.9026505505926</v>
      </c>
      <c r="M15" s="4">
        <f t="shared" si="7"/>
        <v>4284.9026505505926</v>
      </c>
      <c r="N15" s="4">
        <f t="shared" si="7"/>
        <v>4284.9026505505926</v>
      </c>
    </row>
    <row r="16" spans="1:14" x14ac:dyDescent="0.2">
      <c r="A16" s="55" t="s">
        <v>145</v>
      </c>
      <c r="B16" s="4">
        <f>B10*0.062</f>
        <v>5049.15133572378</v>
      </c>
      <c r="C16" s="4">
        <f t="shared" ref="C16:N16" si="8">C10*0.062</f>
        <v>5049.15133572378</v>
      </c>
      <c r="D16" s="4">
        <f t="shared" si="8"/>
        <v>5049.15133572378</v>
      </c>
      <c r="E16" s="4">
        <f t="shared" si="8"/>
        <v>5049.15133572378</v>
      </c>
      <c r="F16" s="4">
        <f t="shared" si="8"/>
        <v>5049.15133572378</v>
      </c>
      <c r="G16" s="4">
        <f t="shared" si="8"/>
        <v>5049.15133572378</v>
      </c>
      <c r="H16" s="4">
        <f t="shared" si="8"/>
        <v>5049.15133572378</v>
      </c>
      <c r="I16" s="4">
        <f t="shared" si="8"/>
        <v>5049.15133572378</v>
      </c>
      <c r="J16" s="4">
        <f t="shared" si="8"/>
        <v>5049.15133572378</v>
      </c>
      <c r="K16" s="4">
        <f t="shared" si="8"/>
        <v>5049.15133572378</v>
      </c>
      <c r="L16" s="4">
        <f t="shared" si="8"/>
        <v>5049.15133572378</v>
      </c>
      <c r="M16" s="4">
        <f t="shared" si="8"/>
        <v>5049.15133572378</v>
      </c>
      <c r="N16" s="4">
        <f t="shared" si="8"/>
        <v>5049.15133572378</v>
      </c>
    </row>
    <row r="17" spans="1:14" hidden="1" x14ac:dyDescent="0.2">
      <c r="A17" s="55" t="s">
        <v>39</v>
      </c>
      <c r="B17" s="4">
        <f>0.0145*B9</f>
        <v>1002.1143295642515</v>
      </c>
      <c r="C17" s="4">
        <f t="shared" ref="C17:N17" si="9">0.0145*C9</f>
        <v>1002.1143295642515</v>
      </c>
      <c r="D17" s="4">
        <f t="shared" si="9"/>
        <v>1002.1143295642515</v>
      </c>
      <c r="E17" s="4">
        <f t="shared" si="9"/>
        <v>1002.1143295642515</v>
      </c>
      <c r="F17" s="4">
        <f t="shared" si="9"/>
        <v>1002.1143295642515</v>
      </c>
      <c r="G17" s="4">
        <f t="shared" si="9"/>
        <v>1002.1143295642515</v>
      </c>
      <c r="H17" s="4">
        <f t="shared" si="9"/>
        <v>1002.1143295642515</v>
      </c>
      <c r="I17" s="4">
        <f t="shared" si="9"/>
        <v>1002.1143295642515</v>
      </c>
      <c r="J17" s="4">
        <f t="shared" si="9"/>
        <v>1002.1143295642515</v>
      </c>
      <c r="K17" s="4">
        <f t="shared" si="9"/>
        <v>1002.1143295642515</v>
      </c>
      <c r="L17" s="4">
        <f t="shared" si="9"/>
        <v>1002.1143295642515</v>
      </c>
      <c r="M17" s="4">
        <f t="shared" si="9"/>
        <v>1002.1143295642515</v>
      </c>
      <c r="N17" s="4">
        <f t="shared" si="9"/>
        <v>1002.1143295642515</v>
      </c>
    </row>
    <row r="18" spans="1:14" x14ac:dyDescent="0.2">
      <c r="A18" s="55" t="s">
        <v>146</v>
      </c>
      <c r="B18" s="4">
        <f>0.0145*B10</f>
        <v>1180.8499091612066</v>
      </c>
      <c r="C18" s="4">
        <f t="shared" ref="C18:N18" si="10">0.0145*C10</f>
        <v>1180.8499091612066</v>
      </c>
      <c r="D18" s="4">
        <f t="shared" si="10"/>
        <v>1180.8499091612066</v>
      </c>
      <c r="E18" s="4">
        <f t="shared" si="10"/>
        <v>1180.8499091612066</v>
      </c>
      <c r="F18" s="4">
        <f t="shared" si="10"/>
        <v>1180.8499091612066</v>
      </c>
      <c r="G18" s="4">
        <f t="shared" si="10"/>
        <v>1180.8499091612066</v>
      </c>
      <c r="H18" s="4">
        <f t="shared" si="10"/>
        <v>1180.8499091612066</v>
      </c>
      <c r="I18" s="4">
        <f t="shared" si="10"/>
        <v>1180.8499091612066</v>
      </c>
      <c r="J18" s="4">
        <f t="shared" si="10"/>
        <v>1180.8499091612066</v>
      </c>
      <c r="K18" s="4">
        <f t="shared" si="10"/>
        <v>1180.8499091612066</v>
      </c>
      <c r="L18" s="4">
        <f t="shared" si="10"/>
        <v>1180.8499091612066</v>
      </c>
      <c r="M18" s="4">
        <f t="shared" si="10"/>
        <v>1180.8499091612066</v>
      </c>
      <c r="N18" s="4">
        <f t="shared" si="10"/>
        <v>1180.8499091612066</v>
      </c>
    </row>
    <row r="19" spans="1:14" hidden="1" x14ac:dyDescent="0.2">
      <c r="A19" s="55" t="s">
        <v>40</v>
      </c>
      <c r="B19" s="4">
        <f>B9-(B11+B13+B15+B17)</f>
        <v>52502.3328054374</v>
      </c>
      <c r="C19" s="4">
        <f t="shared" ref="C19:N19" si="11">C9-(C11+C13+C15+C17)</f>
        <v>52502.3328054374</v>
      </c>
      <c r="D19" s="4">
        <f t="shared" si="11"/>
        <v>52502.3328054374</v>
      </c>
      <c r="E19" s="4">
        <f t="shared" si="11"/>
        <v>52502.3328054374</v>
      </c>
      <c r="F19" s="4">
        <f t="shared" si="11"/>
        <v>52502.3328054374</v>
      </c>
      <c r="G19" s="4">
        <f t="shared" si="11"/>
        <v>52502.3328054374</v>
      </c>
      <c r="H19" s="4">
        <f t="shared" si="11"/>
        <v>52502.3328054374</v>
      </c>
      <c r="I19" s="4">
        <f t="shared" si="11"/>
        <v>52502.3328054374</v>
      </c>
      <c r="J19" s="4">
        <f t="shared" si="11"/>
        <v>52502.3328054374</v>
      </c>
      <c r="K19" s="4">
        <f t="shared" si="11"/>
        <v>52502.3328054374</v>
      </c>
      <c r="L19" s="4">
        <f t="shared" si="11"/>
        <v>52502.3328054374</v>
      </c>
      <c r="M19" s="4">
        <f t="shared" si="11"/>
        <v>52502.3328054374</v>
      </c>
      <c r="N19" s="4">
        <f t="shared" si="11"/>
        <v>52502.3328054374</v>
      </c>
    </row>
    <row r="20" spans="1:14" x14ac:dyDescent="0.2">
      <c r="A20" s="55" t="s">
        <v>141</v>
      </c>
      <c r="B20" s="4">
        <f>B10-(B12+B14+B16+B18)</f>
        <v>61728.78669014918</v>
      </c>
      <c r="C20" s="4">
        <f t="shared" ref="C20:N20" si="12">C10-(C12+C14+C16+C18)</f>
        <v>61728.78669014918</v>
      </c>
      <c r="D20" s="4">
        <f t="shared" si="12"/>
        <v>61728.78669014918</v>
      </c>
      <c r="E20" s="4">
        <f t="shared" si="12"/>
        <v>61728.78669014918</v>
      </c>
      <c r="F20" s="4">
        <f t="shared" si="12"/>
        <v>61728.78669014918</v>
      </c>
      <c r="G20" s="4">
        <f t="shared" si="12"/>
        <v>61728.78669014918</v>
      </c>
      <c r="H20" s="4">
        <f t="shared" si="12"/>
        <v>61728.78669014918</v>
      </c>
      <c r="I20" s="4">
        <f t="shared" si="12"/>
        <v>61728.78669014918</v>
      </c>
      <c r="J20" s="4">
        <f t="shared" si="12"/>
        <v>61728.78669014918</v>
      </c>
      <c r="K20" s="4">
        <f t="shared" si="12"/>
        <v>61728.78669014918</v>
      </c>
      <c r="L20" s="4">
        <f t="shared" si="12"/>
        <v>61728.78669014918</v>
      </c>
      <c r="M20" s="4">
        <f t="shared" si="12"/>
        <v>61728.78669014918</v>
      </c>
      <c r="N20" s="4">
        <f t="shared" si="12"/>
        <v>61728.78669014918</v>
      </c>
    </row>
    <row r="21" spans="1:14" hidden="1" x14ac:dyDescent="0.2">
      <c r="A21" s="55" t="s">
        <v>25</v>
      </c>
      <c r="B21" s="4">
        <f>B19/12</f>
        <v>4375.1944004531169</v>
      </c>
      <c r="C21" s="4">
        <f t="shared" ref="C21:N21" si="13">C19/12</f>
        <v>4375.1944004531169</v>
      </c>
      <c r="D21" s="4">
        <f t="shared" si="13"/>
        <v>4375.1944004531169</v>
      </c>
      <c r="E21" s="4">
        <f t="shared" si="13"/>
        <v>4375.1944004531169</v>
      </c>
      <c r="F21" s="4">
        <f t="shared" si="13"/>
        <v>4375.1944004531169</v>
      </c>
      <c r="G21" s="4">
        <f t="shared" si="13"/>
        <v>4375.1944004531169</v>
      </c>
      <c r="H21" s="4">
        <f t="shared" si="13"/>
        <v>4375.1944004531169</v>
      </c>
      <c r="I21" s="4">
        <f t="shared" si="13"/>
        <v>4375.1944004531169</v>
      </c>
      <c r="J21" s="4">
        <f t="shared" si="13"/>
        <v>4375.1944004531169</v>
      </c>
      <c r="K21" s="4">
        <f t="shared" si="13"/>
        <v>4375.1944004531169</v>
      </c>
      <c r="L21" s="4">
        <f t="shared" si="13"/>
        <v>4375.1944004531169</v>
      </c>
      <c r="M21" s="4">
        <f t="shared" si="13"/>
        <v>4375.1944004531169</v>
      </c>
      <c r="N21" s="4">
        <f t="shared" si="13"/>
        <v>4375.1944004531169</v>
      </c>
    </row>
    <row r="22" spans="1:14" x14ac:dyDescent="0.2">
      <c r="A22" s="55" t="s">
        <v>142</v>
      </c>
      <c r="B22" s="4">
        <f>B20/12</f>
        <v>5144.065557512432</v>
      </c>
      <c r="C22" s="4">
        <f t="shared" ref="C22:N22" si="14">C20/12</f>
        <v>5144.065557512432</v>
      </c>
      <c r="D22" s="4">
        <f t="shared" si="14"/>
        <v>5144.065557512432</v>
      </c>
      <c r="E22" s="4">
        <f t="shared" si="14"/>
        <v>5144.065557512432</v>
      </c>
      <c r="F22" s="4">
        <f t="shared" si="14"/>
        <v>5144.065557512432</v>
      </c>
      <c r="G22" s="4">
        <f t="shared" si="14"/>
        <v>5144.065557512432</v>
      </c>
      <c r="H22" s="4">
        <f t="shared" si="14"/>
        <v>5144.065557512432</v>
      </c>
      <c r="I22" s="4">
        <f t="shared" si="14"/>
        <v>5144.065557512432</v>
      </c>
      <c r="J22" s="4">
        <f t="shared" si="14"/>
        <v>5144.065557512432</v>
      </c>
      <c r="K22" s="4">
        <f t="shared" si="14"/>
        <v>5144.065557512432</v>
      </c>
      <c r="L22" s="4">
        <f t="shared" si="14"/>
        <v>5144.065557512432</v>
      </c>
      <c r="M22" s="4">
        <f t="shared" si="14"/>
        <v>5144.065557512432</v>
      </c>
      <c r="N22" s="4">
        <f t="shared" si="14"/>
        <v>5144.065557512432</v>
      </c>
    </row>
    <row r="23" spans="1:14" x14ac:dyDescent="0.2">
      <c r="A23" s="55" t="s">
        <v>32</v>
      </c>
      <c r="B23" s="5">
        <f>$B$68</f>
        <v>2709.5396636110117</v>
      </c>
      <c r="C23" s="5">
        <f t="shared" ref="C23:D23" si="15">B23</f>
        <v>2709.5396636110117</v>
      </c>
      <c r="D23" s="5">
        <f t="shared" si="15"/>
        <v>2709.5396636110117</v>
      </c>
      <c r="E23" s="5">
        <f t="shared" ref="E23:N23" si="16">D23</f>
        <v>2709.5396636110117</v>
      </c>
      <c r="F23" s="5">
        <f t="shared" si="16"/>
        <v>2709.5396636110117</v>
      </c>
      <c r="G23" s="5">
        <f t="shared" si="16"/>
        <v>2709.5396636110117</v>
      </c>
      <c r="H23" s="5">
        <f t="shared" si="16"/>
        <v>2709.5396636110117</v>
      </c>
      <c r="I23" s="5">
        <f t="shared" si="16"/>
        <v>2709.5396636110117</v>
      </c>
      <c r="J23" s="5">
        <f t="shared" si="16"/>
        <v>2709.5396636110117</v>
      </c>
      <c r="K23" s="5">
        <f t="shared" si="16"/>
        <v>2709.5396636110117</v>
      </c>
      <c r="L23" s="5">
        <f t="shared" si="16"/>
        <v>2709.5396636110117</v>
      </c>
      <c r="M23" s="5">
        <f t="shared" si="16"/>
        <v>2709.5396636110117</v>
      </c>
      <c r="N23" s="5">
        <f t="shared" si="16"/>
        <v>2709.5396636110117</v>
      </c>
    </row>
    <row r="24" spans="1:14" hidden="1" x14ac:dyDescent="0.2">
      <c r="A24" s="55" t="s">
        <v>106</v>
      </c>
      <c r="B24" s="5">
        <f t="shared" ref="B24:B30" si="17">$B69</f>
        <v>167.76</v>
      </c>
      <c r="C24" s="5">
        <f t="shared" ref="C24:N24" si="18">$B69</f>
        <v>167.76</v>
      </c>
      <c r="D24" s="5">
        <f t="shared" si="18"/>
        <v>167.76</v>
      </c>
      <c r="E24" s="5">
        <f t="shared" si="18"/>
        <v>167.76</v>
      </c>
      <c r="F24" s="5">
        <f t="shared" si="18"/>
        <v>167.76</v>
      </c>
      <c r="G24" s="5">
        <f t="shared" si="18"/>
        <v>167.76</v>
      </c>
      <c r="H24" s="5">
        <f t="shared" si="18"/>
        <v>167.76</v>
      </c>
      <c r="I24" s="5">
        <f t="shared" si="18"/>
        <v>167.76</v>
      </c>
      <c r="J24" s="5">
        <f t="shared" si="18"/>
        <v>167.76</v>
      </c>
      <c r="K24" s="5">
        <f t="shared" si="18"/>
        <v>167.76</v>
      </c>
      <c r="L24" s="5">
        <f t="shared" si="18"/>
        <v>167.76</v>
      </c>
      <c r="M24" s="5">
        <f t="shared" si="18"/>
        <v>167.76</v>
      </c>
      <c r="N24" s="5">
        <f t="shared" si="18"/>
        <v>167.76</v>
      </c>
    </row>
    <row r="25" spans="1:14" hidden="1" x14ac:dyDescent="0.2">
      <c r="A25" s="55" t="s">
        <v>43</v>
      </c>
      <c r="B25" s="4">
        <f t="shared" si="17"/>
        <v>97.89473684210526</v>
      </c>
      <c r="C25" s="4">
        <f t="shared" ref="C25:N25" si="19">$B70</f>
        <v>97.89473684210526</v>
      </c>
      <c r="D25" s="4">
        <f t="shared" si="19"/>
        <v>97.89473684210526</v>
      </c>
      <c r="E25" s="4">
        <f t="shared" si="19"/>
        <v>97.89473684210526</v>
      </c>
      <c r="F25" s="4">
        <f t="shared" si="19"/>
        <v>97.89473684210526</v>
      </c>
      <c r="G25" s="4">
        <f t="shared" si="19"/>
        <v>97.89473684210526</v>
      </c>
      <c r="H25" s="4">
        <f t="shared" si="19"/>
        <v>97.89473684210526</v>
      </c>
      <c r="I25" s="4">
        <f t="shared" si="19"/>
        <v>97.89473684210526</v>
      </c>
      <c r="J25" s="4">
        <f t="shared" si="19"/>
        <v>97.89473684210526</v>
      </c>
      <c r="K25" s="4">
        <f t="shared" si="19"/>
        <v>97.89473684210526</v>
      </c>
      <c r="L25" s="4">
        <f t="shared" si="19"/>
        <v>97.89473684210526</v>
      </c>
      <c r="M25" s="4">
        <f t="shared" si="19"/>
        <v>97.89473684210526</v>
      </c>
      <c r="N25" s="4">
        <f t="shared" si="19"/>
        <v>97.89473684210526</v>
      </c>
    </row>
    <row r="26" spans="1:14" x14ac:dyDescent="0.2">
      <c r="A26" s="55" t="s">
        <v>137</v>
      </c>
      <c r="B26" s="4">
        <f t="shared" si="17"/>
        <v>920.39055555555547</v>
      </c>
      <c r="C26" s="4">
        <f t="shared" ref="C26:N26" si="20">$B71</f>
        <v>920.39055555555547</v>
      </c>
      <c r="D26" s="4">
        <f t="shared" si="20"/>
        <v>920.39055555555547</v>
      </c>
      <c r="E26" s="4">
        <f t="shared" si="20"/>
        <v>920.39055555555547</v>
      </c>
      <c r="F26" s="4">
        <f t="shared" si="20"/>
        <v>920.39055555555547</v>
      </c>
      <c r="G26" s="4">
        <f t="shared" si="20"/>
        <v>920.39055555555547</v>
      </c>
      <c r="H26" s="4">
        <f t="shared" si="20"/>
        <v>920.39055555555547</v>
      </c>
      <c r="I26" s="4">
        <f t="shared" si="20"/>
        <v>920.39055555555547</v>
      </c>
      <c r="J26" s="4">
        <f t="shared" si="20"/>
        <v>920.39055555555547</v>
      </c>
      <c r="K26" s="4">
        <f t="shared" si="20"/>
        <v>920.39055555555547</v>
      </c>
      <c r="L26" s="4">
        <f t="shared" si="20"/>
        <v>920.39055555555547</v>
      </c>
      <c r="M26" s="4">
        <f t="shared" si="20"/>
        <v>920.39055555555547</v>
      </c>
      <c r="N26" s="4">
        <f t="shared" si="20"/>
        <v>920.39055555555547</v>
      </c>
    </row>
    <row r="27" spans="1:14" x14ac:dyDescent="0.2">
      <c r="A27" s="55" t="s">
        <v>138</v>
      </c>
      <c r="B27" s="4">
        <f t="shared" si="17"/>
        <v>114.13533834586465</v>
      </c>
      <c r="C27" s="4">
        <f t="shared" ref="C27:N27" si="21">$B72</f>
        <v>114.13533834586465</v>
      </c>
      <c r="D27" s="4">
        <f t="shared" si="21"/>
        <v>114.13533834586465</v>
      </c>
      <c r="E27" s="4">
        <f t="shared" si="21"/>
        <v>114.13533834586465</v>
      </c>
      <c r="F27" s="4">
        <f t="shared" si="21"/>
        <v>114.13533834586465</v>
      </c>
      <c r="G27" s="4">
        <f t="shared" si="21"/>
        <v>114.13533834586465</v>
      </c>
      <c r="H27" s="4">
        <f t="shared" si="21"/>
        <v>114.13533834586465</v>
      </c>
      <c r="I27" s="4">
        <f t="shared" si="21"/>
        <v>114.13533834586465</v>
      </c>
      <c r="J27" s="4">
        <f t="shared" si="21"/>
        <v>114.13533834586465</v>
      </c>
      <c r="K27" s="4">
        <f t="shared" si="21"/>
        <v>114.13533834586465</v>
      </c>
      <c r="L27" s="4">
        <f t="shared" si="21"/>
        <v>114.13533834586465</v>
      </c>
      <c r="M27" s="4">
        <f t="shared" si="21"/>
        <v>114.13533834586465</v>
      </c>
      <c r="N27" s="4">
        <f t="shared" si="21"/>
        <v>114.13533834586465</v>
      </c>
    </row>
    <row r="28" spans="1:14" x14ac:dyDescent="0.2">
      <c r="A28" s="55" t="s">
        <v>33</v>
      </c>
      <c r="B28" s="6">
        <f t="shared" si="17"/>
        <v>500</v>
      </c>
      <c r="C28" s="6">
        <f t="shared" ref="C28:N28" si="22">$B73</f>
        <v>500</v>
      </c>
      <c r="D28" s="6">
        <f t="shared" si="22"/>
        <v>500</v>
      </c>
      <c r="E28" s="6">
        <f t="shared" si="22"/>
        <v>500</v>
      </c>
      <c r="F28" s="6">
        <f t="shared" si="22"/>
        <v>500</v>
      </c>
      <c r="G28" s="6">
        <f t="shared" si="22"/>
        <v>500</v>
      </c>
      <c r="H28" s="6">
        <f t="shared" si="22"/>
        <v>500</v>
      </c>
      <c r="I28" s="6">
        <f t="shared" si="22"/>
        <v>500</v>
      </c>
      <c r="J28" s="6">
        <f t="shared" si="22"/>
        <v>500</v>
      </c>
      <c r="K28" s="6">
        <f t="shared" si="22"/>
        <v>500</v>
      </c>
      <c r="L28" s="6">
        <f t="shared" si="22"/>
        <v>500</v>
      </c>
      <c r="M28" s="6">
        <f t="shared" si="22"/>
        <v>500</v>
      </c>
      <c r="N28" s="6">
        <f t="shared" si="22"/>
        <v>500</v>
      </c>
    </row>
    <row r="29" spans="1:14" x14ac:dyDescent="0.2">
      <c r="A29" s="55" t="s">
        <v>41</v>
      </c>
      <c r="B29" s="6">
        <f t="shared" si="17"/>
        <v>600</v>
      </c>
      <c r="C29" s="6">
        <f t="shared" ref="C29:N29" si="23">$B74</f>
        <v>600</v>
      </c>
      <c r="D29" s="6">
        <f t="shared" si="23"/>
        <v>600</v>
      </c>
      <c r="E29" s="6">
        <f t="shared" si="23"/>
        <v>600</v>
      </c>
      <c r="F29" s="6">
        <f t="shared" si="23"/>
        <v>600</v>
      </c>
      <c r="G29" s="6">
        <f t="shared" si="23"/>
        <v>600</v>
      </c>
      <c r="H29" s="6">
        <f t="shared" si="23"/>
        <v>600</v>
      </c>
      <c r="I29" s="6">
        <f t="shared" si="23"/>
        <v>600</v>
      </c>
      <c r="J29" s="6">
        <f t="shared" si="23"/>
        <v>600</v>
      </c>
      <c r="K29" s="6">
        <f t="shared" si="23"/>
        <v>600</v>
      </c>
      <c r="L29" s="6">
        <f t="shared" si="23"/>
        <v>600</v>
      </c>
      <c r="M29" s="6">
        <f t="shared" si="23"/>
        <v>600</v>
      </c>
      <c r="N29" s="6">
        <f t="shared" si="23"/>
        <v>600</v>
      </c>
    </row>
    <row r="30" spans="1:14" x14ac:dyDescent="0.2">
      <c r="A30" s="55" t="s">
        <v>34</v>
      </c>
      <c r="B30" s="6">
        <f t="shared" si="17"/>
        <v>300</v>
      </c>
      <c r="C30" s="6">
        <f t="shared" ref="C30:N30" si="24">$B75</f>
        <v>300</v>
      </c>
      <c r="D30" s="6">
        <f t="shared" si="24"/>
        <v>300</v>
      </c>
      <c r="E30" s="6">
        <f t="shared" si="24"/>
        <v>300</v>
      </c>
      <c r="F30" s="6">
        <f t="shared" si="24"/>
        <v>300</v>
      </c>
      <c r="G30" s="6">
        <f t="shared" si="24"/>
        <v>300</v>
      </c>
      <c r="H30" s="6">
        <f t="shared" si="24"/>
        <v>300</v>
      </c>
      <c r="I30" s="6">
        <f t="shared" si="24"/>
        <v>300</v>
      </c>
      <c r="J30" s="6">
        <f t="shared" si="24"/>
        <v>300</v>
      </c>
      <c r="K30" s="6">
        <f t="shared" si="24"/>
        <v>300</v>
      </c>
      <c r="L30" s="6">
        <f t="shared" si="24"/>
        <v>300</v>
      </c>
      <c r="M30" s="6">
        <f t="shared" si="24"/>
        <v>300</v>
      </c>
      <c r="N30" s="6">
        <f t="shared" si="24"/>
        <v>300</v>
      </c>
    </row>
    <row r="31" spans="1:14" hidden="1" x14ac:dyDescent="0.2">
      <c r="A31" s="55" t="s">
        <v>35</v>
      </c>
      <c r="B31" s="4">
        <f>B21-(SUM(B23:B30)-SUM(B26:B27))+(B8-B9)/12</f>
        <v>1324.0555772169453</v>
      </c>
      <c r="C31" s="4">
        <f t="shared" ref="C31:N31" si="25">C21-(SUM(C23:C30)-SUM(C26:C27))+(C8-C9)/12</f>
        <v>1740.7222438836118</v>
      </c>
      <c r="D31" s="4">
        <f t="shared" si="25"/>
        <v>2157.3889105502785</v>
      </c>
      <c r="E31" s="4">
        <f t="shared" si="25"/>
        <v>2574.055577216945</v>
      </c>
      <c r="F31" s="4">
        <f t="shared" si="25"/>
        <v>2990.722243883612</v>
      </c>
      <c r="G31" s="4">
        <f t="shared" si="25"/>
        <v>3407.3889105502785</v>
      </c>
      <c r="H31" s="4">
        <f t="shared" si="25"/>
        <v>3824.055577216945</v>
      </c>
      <c r="I31" s="4">
        <f t="shared" si="25"/>
        <v>4240.7222438836116</v>
      </c>
      <c r="J31" s="4">
        <f t="shared" si="25"/>
        <v>4657.3889105502785</v>
      </c>
      <c r="K31" s="4">
        <f t="shared" si="25"/>
        <v>5074.0555772169455</v>
      </c>
      <c r="L31" s="4">
        <f t="shared" si="25"/>
        <v>5490.7222438836116</v>
      </c>
      <c r="M31" s="4">
        <f t="shared" si="25"/>
        <v>5907.3889105502785</v>
      </c>
      <c r="N31" s="4">
        <f t="shared" si="25"/>
        <v>6324.0555772169455</v>
      </c>
    </row>
    <row r="32" spans="1:14" x14ac:dyDescent="0.2">
      <c r="A32" s="105" t="s">
        <v>147</v>
      </c>
      <c r="B32" s="73">
        <f>B22-(SUM(B23:B30)-SUM(B24:B25))+(B8-B10)/12</f>
        <v>296.8396025218014</v>
      </c>
      <c r="C32" s="73">
        <f t="shared" ref="C32:N32" si="26">C22-(SUM(C23:C30)-SUM(C24:C25))+(C8-C10)/12</f>
        <v>713.50626918846808</v>
      </c>
      <c r="D32" s="73">
        <f>D22-(SUM(D23:D30)-SUM(D24:D25))+(D8-D10)/12</f>
        <v>1130.1729358551347</v>
      </c>
      <c r="E32" s="73">
        <f t="shared" si="26"/>
        <v>1546.8396025218015</v>
      </c>
      <c r="F32" s="73">
        <f t="shared" si="26"/>
        <v>1963.506269188468</v>
      </c>
      <c r="G32" s="73">
        <f t="shared" si="26"/>
        <v>2380.1729358551347</v>
      </c>
      <c r="H32" s="73">
        <f t="shared" si="26"/>
        <v>2796.8396025218012</v>
      </c>
      <c r="I32" s="73">
        <f t="shared" si="26"/>
        <v>3213.5062691884682</v>
      </c>
      <c r="J32" s="73">
        <f t="shared" si="26"/>
        <v>3630.1729358551347</v>
      </c>
      <c r="K32" s="73">
        <f t="shared" si="26"/>
        <v>4046.8396025218012</v>
      </c>
      <c r="L32" s="73">
        <f t="shared" si="26"/>
        <v>4463.5062691884677</v>
      </c>
      <c r="M32" s="73">
        <f t="shared" si="26"/>
        <v>4880.1729358551347</v>
      </c>
      <c r="N32" s="73">
        <f t="shared" si="26"/>
        <v>5296.8396025218017</v>
      </c>
    </row>
    <row r="33" spans="1:15" hidden="1" x14ac:dyDescent="0.2">
      <c r="A33" s="105" t="s">
        <v>36</v>
      </c>
      <c r="B33" s="73">
        <f>MIN(MAX(B31,0),22500/12)</f>
        <v>1324.0555772169453</v>
      </c>
      <c r="C33" s="73">
        <f t="shared" ref="C33:N33" si="27">MIN(MAX(C31,0),22500/12)</f>
        <v>1740.7222438836118</v>
      </c>
      <c r="D33" s="73">
        <f t="shared" si="27"/>
        <v>1875</v>
      </c>
      <c r="E33" s="73">
        <f t="shared" si="27"/>
        <v>1875</v>
      </c>
      <c r="F33" s="73">
        <f>MIN(MAX(F31,0),22500/12)</f>
        <v>1875</v>
      </c>
      <c r="G33" s="73">
        <f t="shared" si="27"/>
        <v>1875</v>
      </c>
      <c r="H33" s="73">
        <f t="shared" si="27"/>
        <v>1875</v>
      </c>
      <c r="I33" s="73">
        <f t="shared" si="27"/>
        <v>1875</v>
      </c>
      <c r="J33" s="73">
        <f t="shared" si="27"/>
        <v>1875</v>
      </c>
      <c r="K33" s="73">
        <f t="shared" si="27"/>
        <v>1875</v>
      </c>
      <c r="L33" s="73">
        <f t="shared" si="27"/>
        <v>1875</v>
      </c>
      <c r="M33" s="73">
        <f t="shared" si="27"/>
        <v>1875</v>
      </c>
      <c r="N33" s="73">
        <f t="shared" si="27"/>
        <v>1875</v>
      </c>
    </row>
    <row r="34" spans="1:15" x14ac:dyDescent="0.2">
      <c r="A34" s="105" t="s">
        <v>148</v>
      </c>
      <c r="B34" s="73">
        <f>MIN(MAX(B32,0),22500/12)</f>
        <v>296.8396025218014</v>
      </c>
      <c r="C34" s="73">
        <f t="shared" ref="C34:N34" si="28">MIN(MAX(C32,0),22500/12)</f>
        <v>713.50626918846808</v>
      </c>
      <c r="D34" s="73">
        <f t="shared" si="28"/>
        <v>1130.1729358551347</v>
      </c>
      <c r="E34" s="73">
        <f t="shared" si="28"/>
        <v>1546.8396025218015</v>
      </c>
      <c r="F34" s="73">
        <f t="shared" si="28"/>
        <v>1875</v>
      </c>
      <c r="G34" s="73">
        <f t="shared" si="28"/>
        <v>1875</v>
      </c>
      <c r="H34" s="73">
        <f t="shared" si="28"/>
        <v>1875</v>
      </c>
      <c r="I34" s="73">
        <f t="shared" si="28"/>
        <v>1875</v>
      </c>
      <c r="J34" s="73">
        <f t="shared" si="28"/>
        <v>1875</v>
      </c>
      <c r="K34" s="73">
        <f t="shared" si="28"/>
        <v>1875</v>
      </c>
      <c r="L34" s="73">
        <f t="shared" si="28"/>
        <v>1875</v>
      </c>
      <c r="M34" s="73">
        <f t="shared" si="28"/>
        <v>1875</v>
      </c>
      <c r="N34" s="73">
        <f t="shared" si="28"/>
        <v>1875</v>
      </c>
    </row>
    <row r="35" spans="1:15" x14ac:dyDescent="0.2">
      <c r="A35" s="56" t="s">
        <v>42</v>
      </c>
      <c r="B35" s="42">
        <f>MAX(B31+B33,0)</f>
        <v>2648.1111544338905</v>
      </c>
      <c r="C35" s="42">
        <f t="shared" ref="C35:N35" si="29">MAX(C31+C33,0)</f>
        <v>3481.4444877672236</v>
      </c>
      <c r="D35" s="42">
        <f t="shared" si="29"/>
        <v>4032.3889105502785</v>
      </c>
      <c r="E35" s="42">
        <f t="shared" si="29"/>
        <v>4449.0555772169446</v>
      </c>
      <c r="F35" s="42">
        <f t="shared" si="29"/>
        <v>4865.7222438836125</v>
      </c>
      <c r="G35" s="42">
        <f t="shared" si="29"/>
        <v>5282.3889105502785</v>
      </c>
      <c r="H35" s="42">
        <f t="shared" si="29"/>
        <v>5699.0555772169446</v>
      </c>
      <c r="I35" s="42">
        <f t="shared" si="29"/>
        <v>6115.7222438836116</v>
      </c>
      <c r="J35" s="42">
        <f t="shared" si="29"/>
        <v>6532.3889105502785</v>
      </c>
      <c r="K35" s="42">
        <f t="shared" si="29"/>
        <v>6949.0555772169455</v>
      </c>
      <c r="L35" s="42">
        <f t="shared" si="29"/>
        <v>7365.7222438836116</v>
      </c>
      <c r="M35" s="42">
        <f t="shared" si="29"/>
        <v>7782.3889105502785</v>
      </c>
      <c r="N35" s="42">
        <f t="shared" si="29"/>
        <v>8199.0555772169464</v>
      </c>
    </row>
    <row r="36" spans="1:15" x14ac:dyDescent="0.2">
      <c r="A36" s="106" t="s">
        <v>139</v>
      </c>
      <c r="B36" s="107">
        <f>MAX(B32+B34,0)</f>
        <v>593.67920504360279</v>
      </c>
      <c r="C36" s="107">
        <f t="shared" ref="C36:N36" si="30">MAX(C32+C34,0)</f>
        <v>1427.0125383769362</v>
      </c>
      <c r="D36" s="107">
        <f t="shared" si="30"/>
        <v>2260.3458717102694</v>
      </c>
      <c r="E36" s="107">
        <f>MAX(E32+E34,0)</f>
        <v>3093.6792050436029</v>
      </c>
      <c r="F36" s="107">
        <f t="shared" si="30"/>
        <v>3838.5062691884677</v>
      </c>
      <c r="G36" s="107">
        <f t="shared" si="30"/>
        <v>4255.1729358551347</v>
      </c>
      <c r="H36" s="107">
        <f t="shared" si="30"/>
        <v>4671.8396025218008</v>
      </c>
      <c r="I36" s="107">
        <f t="shared" si="30"/>
        <v>5088.5062691884687</v>
      </c>
      <c r="J36" s="107">
        <f t="shared" si="30"/>
        <v>5505.1729358551347</v>
      </c>
      <c r="K36" s="107">
        <f t="shared" si="30"/>
        <v>5921.8396025218008</v>
      </c>
      <c r="L36" s="107">
        <f t="shared" si="30"/>
        <v>6338.5062691884677</v>
      </c>
      <c r="M36" s="107">
        <f t="shared" si="30"/>
        <v>6755.1729358551347</v>
      </c>
      <c r="N36" s="107">
        <f t="shared" si="30"/>
        <v>7171.8396025218017</v>
      </c>
    </row>
    <row r="37" spans="1:15" x14ac:dyDescent="0.2">
      <c r="B37" s="4"/>
      <c r="C37" s="4"/>
      <c r="D37" s="4"/>
      <c r="E37" s="4"/>
      <c r="F37" s="4"/>
      <c r="G37" s="4"/>
      <c r="H37" s="4"/>
      <c r="I37" s="4"/>
      <c r="J37" s="4"/>
    </row>
    <row r="38" spans="1:15" x14ac:dyDescent="0.2">
      <c r="A38" s="6" t="s">
        <v>150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5" x14ac:dyDescent="0.2">
      <c r="A39" s="113">
        <v>1</v>
      </c>
      <c r="B39" s="114">
        <f>(12*MAX(B$36,0)+B$8*(1.03^(25-$A39)-1))*((0.975*1.06)^$A39)</f>
        <v>98091.189768230921</v>
      </c>
      <c r="C39" s="114">
        <f t="shared" ref="C39:N45" si="31">(12*MAX(C$36,0)+C$8*(1.03^(25-$A39)-1))*((0.975*1.06)^$A39)</f>
        <v>113763.15331336504</v>
      </c>
      <c r="D39" s="114">
        <f t="shared" si="31"/>
        <v>129435.11685849918</v>
      </c>
      <c r="E39" s="114">
        <f t="shared" si="31"/>
        <v>145107.08040363333</v>
      </c>
      <c r="F39" s="114">
        <f t="shared" si="31"/>
        <v>159681.38919829205</v>
      </c>
      <c r="G39" s="114">
        <f t="shared" si="31"/>
        <v>170185.85274342616</v>
      </c>
      <c r="H39" s="114">
        <f t="shared" si="31"/>
        <v>180690.31628856031</v>
      </c>
      <c r="I39" s="114">
        <f t="shared" si="31"/>
        <v>191194.77983369443</v>
      </c>
      <c r="J39" s="114">
        <f t="shared" si="31"/>
        <v>201699.24337882854</v>
      </c>
      <c r="K39" s="114">
        <f t="shared" si="31"/>
        <v>212203.70692396269</v>
      </c>
      <c r="L39" s="114">
        <f t="shared" si="31"/>
        <v>222708.1704690968</v>
      </c>
      <c r="M39" s="114">
        <f t="shared" si="31"/>
        <v>233212.63401423092</v>
      </c>
      <c r="N39" s="115">
        <f t="shared" si="31"/>
        <v>243717.09755936509</v>
      </c>
      <c r="O39" s="6"/>
    </row>
    <row r="40" spans="1:15" x14ac:dyDescent="0.2">
      <c r="A40" s="6">
        <v>2</v>
      </c>
      <c r="B40" s="4">
        <f>(12*MAX(B$36,0)+B$8*(1.03^(25-$A40)-1))*((0.975*1.06)^$A40)</f>
        <v>96001.763880139493</v>
      </c>
      <c r="C40" s="4">
        <f t="shared" si="31"/>
        <v>111882.53345431048</v>
      </c>
      <c r="D40" s="4">
        <f t="shared" si="31"/>
        <v>127763.30302848147</v>
      </c>
      <c r="E40" s="4">
        <f t="shared" si="31"/>
        <v>143644.07260265248</v>
      </c>
      <c r="F40" s="4">
        <f t="shared" si="31"/>
        <v>158390.41599220716</v>
      </c>
      <c r="G40" s="4">
        <f t="shared" si="31"/>
        <v>168930.57431637816</v>
      </c>
      <c r="H40" s="4">
        <f t="shared" si="31"/>
        <v>179470.73264054913</v>
      </c>
      <c r="I40" s="4">
        <f t="shared" si="31"/>
        <v>190010.89096472017</v>
      </c>
      <c r="J40" s="4">
        <f t="shared" si="31"/>
        <v>200551.04928889114</v>
      </c>
      <c r="K40" s="4">
        <f t="shared" si="31"/>
        <v>211091.20761306211</v>
      </c>
      <c r="L40" s="4">
        <f t="shared" si="31"/>
        <v>221631.36593723315</v>
      </c>
      <c r="M40" s="4">
        <f t="shared" si="31"/>
        <v>232171.52426140415</v>
      </c>
      <c r="N40" s="4">
        <f t="shared" si="31"/>
        <v>242711.68258557512</v>
      </c>
      <c r="O40" s="6"/>
    </row>
    <row r="41" spans="1:15" x14ac:dyDescent="0.2">
      <c r="A41" s="6">
        <v>3</v>
      </c>
      <c r="B41" s="4">
        <f t="shared" ref="B41:B58" si="32">(12*MAX(B$36,0)+B$8*(1.03^(25-$A41)-1))*((0.975*1.06)^$A41)</f>
        <v>93824.076028089519</v>
      </c>
      <c r="C41" s="4">
        <f t="shared" si="31"/>
        <v>109919.57215111087</v>
      </c>
      <c r="D41" s="4">
        <f t="shared" si="31"/>
        <v>126015.06827413219</v>
      </c>
      <c r="E41" s="4">
        <f t="shared" si="31"/>
        <v>142110.56439715353</v>
      </c>
      <c r="F41" s="4">
        <f t="shared" si="31"/>
        <v>157033.63105837393</v>
      </c>
      <c r="G41" s="4">
        <f t="shared" si="31"/>
        <v>167609.60545452026</v>
      </c>
      <c r="H41" s="4">
        <f t="shared" si="31"/>
        <v>178185.57985066657</v>
      </c>
      <c r="I41" s="4">
        <f t="shared" si="31"/>
        <v>188761.55424681294</v>
      </c>
      <c r="J41" s="4">
        <f t="shared" si="31"/>
        <v>199337.52864295925</v>
      </c>
      <c r="K41" s="4">
        <f t="shared" si="31"/>
        <v>209913.50303910559</v>
      </c>
      <c r="L41" s="4">
        <f t="shared" si="31"/>
        <v>220489.4774352519</v>
      </c>
      <c r="M41" s="4">
        <f t="shared" si="31"/>
        <v>231065.45183139827</v>
      </c>
      <c r="N41" s="4">
        <f t="shared" si="31"/>
        <v>241641.42622754458</v>
      </c>
      <c r="O41" s="6"/>
    </row>
    <row r="42" spans="1:15" x14ac:dyDescent="0.2">
      <c r="A42" s="6">
        <v>4</v>
      </c>
      <c r="B42" s="4">
        <f t="shared" si="32"/>
        <v>91555.107366688011</v>
      </c>
      <c r="C42" s="4">
        <f t="shared" si="31"/>
        <v>107871.44524463396</v>
      </c>
      <c r="D42" s="4">
        <f t="shared" si="31"/>
        <v>124187.78312257989</v>
      </c>
      <c r="E42" s="4">
        <f t="shared" si="31"/>
        <v>140504.1210005258</v>
      </c>
      <c r="F42" s="4">
        <f t="shared" si="31"/>
        <v>155608.75302970046</v>
      </c>
      <c r="G42" s="4">
        <f t="shared" si="31"/>
        <v>166220.66520292108</v>
      </c>
      <c r="H42" s="4">
        <f t="shared" si="31"/>
        <v>176832.57737614168</v>
      </c>
      <c r="I42" s="4">
        <f t="shared" si="31"/>
        <v>187444.48954936233</v>
      </c>
      <c r="J42" s="4">
        <f t="shared" si="31"/>
        <v>198056.40172258293</v>
      </c>
      <c r="K42" s="4">
        <f t="shared" si="31"/>
        <v>208668.31389580353</v>
      </c>
      <c r="L42" s="4">
        <f t="shared" si="31"/>
        <v>219280.22606902418</v>
      </c>
      <c r="M42" s="4">
        <f t="shared" si="31"/>
        <v>229892.13824224481</v>
      </c>
      <c r="N42" s="4">
        <f t="shared" si="31"/>
        <v>240504.0504154654</v>
      </c>
      <c r="O42" s="6"/>
    </row>
    <row r="43" spans="1:15" x14ac:dyDescent="0.2">
      <c r="A43" s="113">
        <v>5</v>
      </c>
      <c r="B43" s="114">
        <f t="shared" si="32"/>
        <v>89191.737708305111</v>
      </c>
      <c r="C43" s="114">
        <f t="shared" si="31"/>
        <v>105735.2337430936</v>
      </c>
      <c r="D43" s="114">
        <f t="shared" si="31"/>
        <v>122278.72977788208</v>
      </c>
      <c r="E43" s="114">
        <f t="shared" si="31"/>
        <v>138822.22581267057</v>
      </c>
      <c r="F43" s="114">
        <f t="shared" si="31"/>
        <v>154113.42385275391</v>
      </c>
      <c r="G43" s="114">
        <f t="shared" si="31"/>
        <v>164761.39592170875</v>
      </c>
      <c r="H43" s="114">
        <f t="shared" si="31"/>
        <v>175409.36799066365</v>
      </c>
      <c r="I43" s="114">
        <f t="shared" si="31"/>
        <v>186057.34005961852</v>
      </c>
      <c r="J43" s="114">
        <f t="shared" si="31"/>
        <v>196705.31212857339</v>
      </c>
      <c r="K43" s="114">
        <f t="shared" si="31"/>
        <v>207353.28419752824</v>
      </c>
      <c r="L43" s="114">
        <f t="shared" si="31"/>
        <v>218001.25626648308</v>
      </c>
      <c r="M43" s="114">
        <f t="shared" si="31"/>
        <v>228649.22833543798</v>
      </c>
      <c r="N43" s="115">
        <f t="shared" si="31"/>
        <v>239297.20040439285</v>
      </c>
      <c r="O43" s="6"/>
    </row>
    <row r="44" spans="1:15" x14ac:dyDescent="0.2">
      <c r="A44" s="6">
        <v>6</v>
      </c>
      <c r="B44" s="4">
        <f t="shared" si="32"/>
        <v>86730.742127392514</v>
      </c>
      <c r="C44" s="4">
        <f t="shared" si="31"/>
        <v>103507.92064439696</v>
      </c>
      <c r="D44" s="4">
        <f t="shared" si="31"/>
        <v>120285.09916140139</v>
      </c>
      <c r="E44" s="4">
        <f t="shared" si="31"/>
        <v>137062.27767840581</v>
      </c>
      <c r="F44" s="4">
        <f t="shared" si="31"/>
        <v>152545.20621788251</v>
      </c>
      <c r="G44" s="4">
        <f t="shared" si="31"/>
        <v>163229.3607161979</v>
      </c>
      <c r="H44" s="4">
        <f t="shared" si="31"/>
        <v>173913.51521451329</v>
      </c>
      <c r="I44" s="4">
        <f t="shared" si="31"/>
        <v>184597.66971282871</v>
      </c>
      <c r="J44" s="4">
        <f t="shared" si="31"/>
        <v>195281.82421114406</v>
      </c>
      <c r="K44" s="4">
        <f t="shared" si="31"/>
        <v>205965.97870945948</v>
      </c>
      <c r="L44" s="4">
        <f t="shared" si="31"/>
        <v>216650.13320777487</v>
      </c>
      <c r="M44" s="4">
        <f t="shared" si="31"/>
        <v>227334.28770609025</v>
      </c>
      <c r="N44" s="4">
        <f t="shared" si="31"/>
        <v>238018.44220440564</v>
      </c>
      <c r="O44" s="6"/>
    </row>
    <row r="45" spans="1:15" x14ac:dyDescent="0.2">
      <c r="A45" s="6">
        <f>A44+1</f>
        <v>7</v>
      </c>
      <c r="B45" s="4">
        <f t="shared" si="32"/>
        <v>84168.787451044089</v>
      </c>
      <c r="C45" s="4">
        <f t="shared" si="31"/>
        <v>101186.38765203783</v>
      </c>
      <c r="D45" s="4">
        <f t="shared" si="31"/>
        <v>118203.98785303153</v>
      </c>
      <c r="E45" s="4">
        <f t="shared" si="31"/>
        <v>135221.58805402525</v>
      </c>
      <c r="F45" s="4">
        <f t="shared" ref="C45:N58" si="33">(12*MAX(F$36,0)+F$8*(1.03^(25-$A45)-1))*((0.975*1.06)^$A45)</f>
        <v>150901.58090324406</v>
      </c>
      <c r="G45" s="4">
        <f t="shared" si="33"/>
        <v>161622.04078092266</v>
      </c>
      <c r="H45" s="4">
        <f t="shared" si="33"/>
        <v>172342.50065860126</v>
      </c>
      <c r="I45" s="4">
        <f t="shared" si="33"/>
        <v>183062.96053627986</v>
      </c>
      <c r="J45" s="4">
        <f t="shared" si="33"/>
        <v>193783.42041395846</v>
      </c>
      <c r="K45" s="4">
        <f t="shared" si="33"/>
        <v>204503.88029163706</v>
      </c>
      <c r="L45" s="4">
        <f t="shared" si="33"/>
        <v>215224.34016931566</v>
      </c>
      <c r="M45" s="4">
        <f t="shared" si="33"/>
        <v>225944.80004699426</v>
      </c>
      <c r="N45" s="4">
        <f t="shared" si="33"/>
        <v>236665.25992467286</v>
      </c>
      <c r="O45" s="6"/>
    </row>
    <row r="46" spans="1:15" x14ac:dyDescent="0.2">
      <c r="A46" s="6">
        <f t="shared" ref="A46:A63" si="34">A45+1</f>
        <v>8</v>
      </c>
      <c r="B46" s="4">
        <f t="shared" si="32"/>
        <v>81502.42863198783</v>
      </c>
      <c r="C46" s="4">
        <f t="shared" si="33"/>
        <v>98767.411780969793</v>
      </c>
      <c r="D46" s="4">
        <f t="shared" si="33"/>
        <v>116032.39492995173</v>
      </c>
      <c r="E46" s="4">
        <f t="shared" si="33"/>
        <v>133297.37807893369</v>
      </c>
      <c r="F46" s="4">
        <f t="shared" si="33"/>
        <v>149179.94402985624</v>
      </c>
      <c r="G46" s="4">
        <f t="shared" si="33"/>
        <v>159936.832654692</v>
      </c>
      <c r="H46" s="4">
        <f t="shared" si="33"/>
        <v>170693.72127952776</v>
      </c>
      <c r="I46" s="4">
        <f t="shared" si="33"/>
        <v>181450.60990436355</v>
      </c>
      <c r="J46" s="4">
        <f t="shared" si="33"/>
        <v>192207.49852919931</v>
      </c>
      <c r="K46" s="4">
        <f t="shared" si="33"/>
        <v>202964.38715403507</v>
      </c>
      <c r="L46" s="4">
        <f t="shared" si="33"/>
        <v>213721.27577887083</v>
      </c>
      <c r="M46" s="4">
        <f t="shared" si="33"/>
        <v>224478.16440370659</v>
      </c>
      <c r="N46" s="4">
        <f t="shared" si="33"/>
        <v>235235.05302854234</v>
      </c>
      <c r="O46" s="6"/>
    </row>
    <row r="47" spans="1:15" x14ac:dyDescent="0.2">
      <c r="A47" s="6">
        <f t="shared" si="34"/>
        <v>9</v>
      </c>
      <c r="B47" s="4">
        <f t="shared" si="32"/>
        <v>78728.105000070544</v>
      </c>
      <c r="C47" s="4">
        <f t="shared" si="33"/>
        <v>96247.661849773445</v>
      </c>
      <c r="D47" s="4">
        <f t="shared" si="33"/>
        <v>113767.21869947636</v>
      </c>
      <c r="E47" s="4">
        <f t="shared" si="33"/>
        <v>131286.77554917926</v>
      </c>
      <c r="F47" s="4">
        <f t="shared" si="33"/>
        <v>147377.60422468782</v>
      </c>
      <c r="G47" s="4">
        <f t="shared" si="33"/>
        <v>158171.04538368562</v>
      </c>
      <c r="H47" s="4">
        <f t="shared" si="33"/>
        <v>168964.48654268344</v>
      </c>
      <c r="I47" s="4">
        <f t="shared" si="33"/>
        <v>179757.9277016813</v>
      </c>
      <c r="J47" s="4">
        <f t="shared" si="33"/>
        <v>190551.36886067907</v>
      </c>
      <c r="K47" s="4">
        <f t="shared" si="33"/>
        <v>201344.81001967689</v>
      </c>
      <c r="L47" s="4">
        <f t="shared" si="33"/>
        <v>212138.25117867475</v>
      </c>
      <c r="M47" s="4">
        <f t="shared" si="33"/>
        <v>222931.6923376726</v>
      </c>
      <c r="N47" s="4">
        <f t="shared" si="33"/>
        <v>233725.13349667043</v>
      </c>
      <c r="O47" s="6"/>
    </row>
    <row r="48" spans="1:15" x14ac:dyDescent="0.2">
      <c r="A48" s="113">
        <f t="shared" si="34"/>
        <v>10</v>
      </c>
      <c r="B48" s="114">
        <f t="shared" si="32"/>
        <v>75842.136388164829</v>
      </c>
      <c r="C48" s="114">
        <f t="shared" si="33"/>
        <v>93623.694855308771</v>
      </c>
      <c r="D48" s="114">
        <f t="shared" si="33"/>
        <v>111405.25332245273</v>
      </c>
      <c r="E48" s="114">
        <f t="shared" si="33"/>
        <v>129186.81178959669</v>
      </c>
      <c r="F48" s="114">
        <f t="shared" si="33"/>
        <v>145491.77968871075</v>
      </c>
      <c r="G48" s="114">
        <f t="shared" si="33"/>
        <v>156321.89758951101</v>
      </c>
      <c r="H48" s="114">
        <f t="shared" si="33"/>
        <v>167152.01549031126</v>
      </c>
      <c r="I48" s="114">
        <f t="shared" si="33"/>
        <v>177982.13339111154</v>
      </c>
      <c r="J48" s="114">
        <f t="shared" si="33"/>
        <v>188812.25129191176</v>
      </c>
      <c r="K48" s="114">
        <f t="shared" si="33"/>
        <v>199642.36919271198</v>
      </c>
      <c r="L48" s="114">
        <f t="shared" si="33"/>
        <v>210472.48709351226</v>
      </c>
      <c r="M48" s="114">
        <f t="shared" si="33"/>
        <v>221302.60499431251</v>
      </c>
      <c r="N48" s="115">
        <f t="shared" si="33"/>
        <v>232132.72289511279</v>
      </c>
      <c r="O48" s="6"/>
    </row>
    <row r="49" spans="1:15" x14ac:dyDescent="0.2">
      <c r="A49" s="6">
        <f t="shared" si="34"/>
        <v>11</v>
      </c>
      <c r="B49" s="4">
        <f t="shared" si="32"/>
        <v>72840.719128291355</v>
      </c>
      <c r="C49" s="4">
        <f t="shared" si="33"/>
        <v>90891.952225915404</v>
      </c>
      <c r="D49" s="4">
        <f t="shared" si="33"/>
        <v>108943.18532353944</v>
      </c>
      <c r="E49" s="4">
        <f t="shared" si="33"/>
        <v>126994.41842116347</v>
      </c>
      <c r="F49" s="4">
        <f t="shared" si="33"/>
        <v>143519.59516672863</v>
      </c>
      <c r="G49" s="4">
        <f t="shared" si="33"/>
        <v>154386.51443903646</v>
      </c>
      <c r="H49" s="4">
        <f t="shared" si="33"/>
        <v>165253.43371134426</v>
      </c>
      <c r="I49" s="4">
        <f t="shared" si="33"/>
        <v>176120.35298365212</v>
      </c>
      <c r="J49" s="4">
        <f t="shared" si="33"/>
        <v>186987.27225595992</v>
      </c>
      <c r="K49" s="4">
        <f t="shared" si="33"/>
        <v>197854.19152826775</v>
      </c>
      <c r="L49" s="4">
        <f t="shared" si="33"/>
        <v>208721.11080057558</v>
      </c>
      <c r="M49" s="4">
        <f t="shared" si="33"/>
        <v>219588.03007288344</v>
      </c>
      <c r="N49" s="4">
        <f t="shared" si="33"/>
        <v>230454.94934519124</v>
      </c>
      <c r="O49" s="6"/>
    </row>
    <row r="50" spans="1:15" x14ac:dyDescent="0.2">
      <c r="A50" s="6">
        <f t="shared" si="34"/>
        <v>12</v>
      </c>
      <c r="B50" s="4">
        <f t="shared" si="32"/>
        <v>69719.921913609127</v>
      </c>
      <c r="C50" s="4">
        <f t="shared" si="33"/>
        <v>88048.755949093</v>
      </c>
      <c r="D50" s="4">
        <f t="shared" si="33"/>
        <v>106377.58998457687</v>
      </c>
      <c r="E50" s="4">
        <f t="shared" si="33"/>
        <v>124706.42402006073</v>
      </c>
      <c r="F50" s="4">
        <f t="shared" si="33"/>
        <v>141458.07881569173</v>
      </c>
      <c r="G50" s="4">
        <f t="shared" si="33"/>
        <v>152361.92451271127</v>
      </c>
      <c r="H50" s="4">
        <f t="shared" si="33"/>
        <v>163265.77020973081</v>
      </c>
      <c r="I50" s="4">
        <f t="shared" si="33"/>
        <v>174169.6159067504</v>
      </c>
      <c r="J50" s="4">
        <f t="shared" si="33"/>
        <v>185073.46160376995</v>
      </c>
      <c r="K50" s="4">
        <f t="shared" si="33"/>
        <v>195977.30730078946</v>
      </c>
      <c r="L50" s="4">
        <f t="shared" si="33"/>
        <v>206881.15299780905</v>
      </c>
      <c r="M50" s="4">
        <f t="shared" si="33"/>
        <v>217784.9986948286</v>
      </c>
      <c r="N50" s="4">
        <f t="shared" si="33"/>
        <v>228688.84439184814</v>
      </c>
      <c r="O50" s="6"/>
    </row>
    <row r="51" spans="1:15" x14ac:dyDescent="0.2">
      <c r="A51" s="6">
        <f t="shared" si="34"/>
        <v>13</v>
      </c>
      <c r="B51" s="4">
        <f t="shared" si="32"/>
        <v>66475.681521779567</v>
      </c>
      <c r="C51" s="4">
        <f t="shared" si="33"/>
        <v>85090.304569455941</v>
      </c>
      <c r="D51" s="4">
        <f t="shared" si="33"/>
        <v>103704.9276171323</v>
      </c>
      <c r="E51" s="4">
        <f t="shared" si="33"/>
        <v>122319.55066480869</v>
      </c>
      <c r="F51" s="4">
        <f t="shared" si="33"/>
        <v>139304.15896809712</v>
      </c>
      <c r="G51" s="4">
        <f t="shared" si="33"/>
        <v>150245.05656797063</v>
      </c>
      <c r="H51" s="4">
        <f t="shared" si="33"/>
        <v>161185.95416784412</v>
      </c>
      <c r="I51" s="4">
        <f t="shared" si="33"/>
        <v>172126.85176771766</v>
      </c>
      <c r="J51" s="4">
        <f t="shared" si="33"/>
        <v>183067.74936759114</v>
      </c>
      <c r="K51" s="4">
        <f t="shared" si="33"/>
        <v>194008.64696746462</v>
      </c>
      <c r="L51" s="4">
        <f t="shared" si="33"/>
        <v>204949.54456733816</v>
      </c>
      <c r="M51" s="4">
        <f t="shared" si="33"/>
        <v>215890.4421672117</v>
      </c>
      <c r="N51" s="4">
        <f t="shared" si="33"/>
        <v>226831.33976708516</v>
      </c>
      <c r="O51" s="6"/>
    </row>
    <row r="52" spans="1:15" x14ac:dyDescent="0.2">
      <c r="A52" s="6">
        <f t="shared" si="34"/>
        <v>14</v>
      </c>
      <c r="B52" s="4">
        <f t="shared" si="32"/>
        <v>63103.798395060861</v>
      </c>
      <c r="C52" s="4">
        <f t="shared" si="33"/>
        <v>82012.669052616839</v>
      </c>
      <c r="D52" s="4">
        <f t="shared" si="33"/>
        <v>100921.53971017282</v>
      </c>
      <c r="E52" s="4">
        <f t="shared" si="33"/>
        <v>119830.41036772879</v>
      </c>
      <c r="F52" s="4">
        <f t="shared" si="33"/>
        <v>137054.66078695987</v>
      </c>
      <c r="G52" s="4">
        <f t="shared" si="33"/>
        <v>148032.73619421158</v>
      </c>
      <c r="H52" s="4">
        <f t="shared" si="33"/>
        <v>159010.8116014633</v>
      </c>
      <c r="I52" s="4">
        <f t="shared" si="33"/>
        <v>169988.88700871504</v>
      </c>
      <c r="J52" s="4">
        <f t="shared" si="33"/>
        <v>180966.96241596676</v>
      </c>
      <c r="K52" s="4">
        <f t="shared" si="33"/>
        <v>191945.03782321844</v>
      </c>
      <c r="L52" s="4">
        <f t="shared" si="33"/>
        <v>202923.11323047019</v>
      </c>
      <c r="M52" s="4">
        <f t="shared" si="33"/>
        <v>213901.18863772191</v>
      </c>
      <c r="N52" s="4">
        <f t="shared" si="33"/>
        <v>224879.26404497359</v>
      </c>
      <c r="O52" s="6"/>
    </row>
    <row r="53" spans="1:15" x14ac:dyDescent="0.2">
      <c r="A53" s="113">
        <f t="shared" si="34"/>
        <v>15</v>
      </c>
      <c r="B53" s="114">
        <f t="shared" si="32"/>
        <v>59599.932072332987</v>
      </c>
      <c r="C53" s="114">
        <f t="shared" si="33"/>
        <v>78811.78851050754</v>
      </c>
      <c r="D53" s="114">
        <f t="shared" si="33"/>
        <v>98023.644948682093</v>
      </c>
      <c r="E53" s="114">
        <f t="shared" si="33"/>
        <v>117235.50138685666</v>
      </c>
      <c r="F53" s="114">
        <f t="shared" si="33"/>
        <v>134706.30280872239</v>
      </c>
      <c r="G53" s="114">
        <f t="shared" si="33"/>
        <v>145721.68235570748</v>
      </c>
      <c r="H53" s="114">
        <f t="shared" si="33"/>
        <v>156737.06190269257</v>
      </c>
      <c r="I53" s="114">
        <f t="shared" si="33"/>
        <v>167752.44144967772</v>
      </c>
      <c r="J53" s="114">
        <f t="shared" si="33"/>
        <v>178767.82099666278</v>
      </c>
      <c r="K53" s="114">
        <f t="shared" si="33"/>
        <v>189783.20054364784</v>
      </c>
      <c r="L53" s="114">
        <f t="shared" si="33"/>
        <v>200798.58009063298</v>
      </c>
      <c r="M53" s="114">
        <f t="shared" si="33"/>
        <v>211813.95963761807</v>
      </c>
      <c r="N53" s="115">
        <f t="shared" si="33"/>
        <v>222829.33918460319</v>
      </c>
      <c r="O53" s="6"/>
    </row>
    <row r="54" spans="1:15" x14ac:dyDescent="0.2">
      <c r="A54" s="6">
        <f t="shared" si="34"/>
        <v>16</v>
      </c>
      <c r="B54" s="4">
        <f t="shared" si="32"/>
        <v>55959.59646809339</v>
      </c>
      <c r="C54" s="4">
        <f t="shared" si="33"/>
        <v>75483.465783496067</v>
      </c>
      <c r="D54" s="4">
        <f t="shared" si="33"/>
        <v>95007.335098898722</v>
      </c>
      <c r="E54" s="4">
        <f t="shared" si="33"/>
        <v>114531.20441430139</v>
      </c>
      <c r="F54" s="4">
        <f t="shared" si="33"/>
        <v>132255.69337034889</v>
      </c>
      <c r="G54" s="4">
        <f t="shared" si="33"/>
        <v>143308.50381870722</v>
      </c>
      <c r="H54" s="4">
        <f t="shared" si="33"/>
        <v>154361.31426706555</v>
      </c>
      <c r="I54" s="4">
        <f t="shared" si="33"/>
        <v>165414.12471542397</v>
      </c>
      <c r="J54" s="4">
        <f t="shared" si="33"/>
        <v>176466.9351637823</v>
      </c>
      <c r="K54" s="4">
        <f t="shared" si="33"/>
        <v>187519.7456121406</v>
      </c>
      <c r="L54" s="4">
        <f t="shared" si="33"/>
        <v>198572.55606049899</v>
      </c>
      <c r="M54" s="4">
        <f t="shared" si="33"/>
        <v>209625.36650885735</v>
      </c>
      <c r="N54" s="4">
        <f t="shared" si="33"/>
        <v>220678.17695721571</v>
      </c>
      <c r="O54" s="6"/>
    </row>
    <row r="55" spans="1:15" x14ac:dyDescent="0.2">
      <c r="A55" s="6">
        <f t="shared" si="34"/>
        <v>17</v>
      </c>
      <c r="B55" s="4">
        <f t="shared" si="32"/>
        <v>52178.154993295924</v>
      </c>
      <c r="C55" s="4">
        <f t="shared" si="33"/>
        <v>72023.362874501123</v>
      </c>
      <c r="D55" s="4">
        <f t="shared" si="33"/>
        <v>91868.570755706329</v>
      </c>
      <c r="E55" s="4">
        <f t="shared" si="33"/>
        <v>111713.77863691152</v>
      </c>
      <c r="F55" s="4">
        <f t="shared" si="33"/>
        <v>129699.32691672316</v>
      </c>
      <c r="G55" s="4">
        <f t="shared" si="33"/>
        <v>140789.69545883808</v>
      </c>
      <c r="H55" s="4">
        <f t="shared" si="33"/>
        <v>151880.06400095299</v>
      </c>
      <c r="I55" s="4">
        <f t="shared" si="33"/>
        <v>162970.43254306793</v>
      </c>
      <c r="J55" s="4">
        <f t="shared" si="33"/>
        <v>174060.80108518279</v>
      </c>
      <c r="K55" s="4">
        <f t="shared" si="33"/>
        <v>185151.1696272977</v>
      </c>
      <c r="L55" s="4">
        <f t="shared" si="33"/>
        <v>196241.53816941264</v>
      </c>
      <c r="M55" s="4">
        <f t="shared" si="33"/>
        <v>207331.90671152752</v>
      </c>
      <c r="N55" s="4">
        <f t="shared" si="33"/>
        <v>218422.27525364244</v>
      </c>
      <c r="O55" s="6"/>
    </row>
    <row r="56" spans="1:15" x14ac:dyDescent="0.2">
      <c r="A56" s="6">
        <f t="shared" si="34"/>
        <v>18</v>
      </c>
      <c r="B56" s="4">
        <f t="shared" si="32"/>
        <v>48250.815512735797</v>
      </c>
      <c r="C56" s="4">
        <f t="shared" si="33"/>
        <v>68426.996230147517</v>
      </c>
      <c r="D56" s="4">
        <f t="shared" si="33"/>
        <v>88603.176947559245</v>
      </c>
      <c r="E56" s="4">
        <f t="shared" si="33"/>
        <v>108779.35766497097</v>
      </c>
      <c r="F56" s="4">
        <f t="shared" si="33"/>
        <v>127033.58018434246</v>
      </c>
      <c r="G56" s="4">
        <f t="shared" si="33"/>
        <v>138161.63444480434</v>
      </c>
      <c r="H56" s="4">
        <f t="shared" si="33"/>
        <v>149289.68870526622</v>
      </c>
      <c r="I56" s="4">
        <f t="shared" si="33"/>
        <v>160417.74296572816</v>
      </c>
      <c r="J56" s="4">
        <f t="shared" si="33"/>
        <v>171545.79722619007</v>
      </c>
      <c r="K56" s="4">
        <f t="shared" si="33"/>
        <v>182673.85148665195</v>
      </c>
      <c r="L56" s="4">
        <f t="shared" si="33"/>
        <v>193801.90574711389</v>
      </c>
      <c r="M56" s="4">
        <f t="shared" si="33"/>
        <v>204929.96000757581</v>
      </c>
      <c r="N56" s="4">
        <f t="shared" si="33"/>
        <v>216058.01426803772</v>
      </c>
      <c r="O56" s="6"/>
    </row>
    <row r="57" spans="1:15" x14ac:dyDescent="0.2">
      <c r="A57" s="6">
        <f t="shared" si="34"/>
        <v>19</v>
      </c>
      <c r="B57" s="4">
        <f t="shared" si="32"/>
        <v>44172.625133504123</v>
      </c>
      <c r="C57" s="4">
        <f t="shared" si="33"/>
        <v>64689.731863836889</v>
      </c>
      <c r="D57" s="4">
        <f t="shared" si="33"/>
        <v>85206.838594169647</v>
      </c>
      <c r="E57" s="4">
        <f t="shared" si="33"/>
        <v>105723.94532450241</v>
      </c>
      <c r="F57" s="4">
        <f t="shared" si="33"/>
        <v>124254.70825716059</v>
      </c>
      <c r="G57" s="4">
        <f t="shared" si="33"/>
        <v>135420.57629423571</v>
      </c>
      <c r="H57" s="4">
        <f t="shared" si="33"/>
        <v>146586.44433131081</v>
      </c>
      <c r="I57" s="4">
        <f t="shared" si="33"/>
        <v>157752.31236838599</v>
      </c>
      <c r="J57" s="4">
        <f t="shared" si="33"/>
        <v>168918.18040546108</v>
      </c>
      <c r="K57" s="4">
        <f t="shared" si="33"/>
        <v>180084.04844253621</v>
      </c>
      <c r="L57" s="4">
        <f t="shared" si="33"/>
        <v>191249.91647961136</v>
      </c>
      <c r="M57" s="4">
        <f t="shared" si="33"/>
        <v>202415.78451668646</v>
      </c>
      <c r="N57" s="4">
        <f t="shared" si="33"/>
        <v>213581.65255376158</v>
      </c>
      <c r="O57" s="6"/>
    </row>
    <row r="58" spans="1:15" x14ac:dyDescent="0.2">
      <c r="A58" s="113">
        <f t="shared" si="34"/>
        <v>20</v>
      </c>
      <c r="B58" s="114">
        <f t="shared" si="32"/>
        <v>39938.464818853463</v>
      </c>
      <c r="C58" s="114">
        <f t="shared" si="33"/>
        <v>60806.780315439253</v>
      </c>
      <c r="D58" s="114">
        <f t="shared" si="33"/>
        <v>81675.095812025043</v>
      </c>
      <c r="E58" s="114">
        <f t="shared" si="33"/>
        <v>102543.41130861084</v>
      </c>
      <c r="F58" s="114">
        <f t="shared" si="33"/>
        <v>121358.84049029993</v>
      </c>
      <c r="G58" s="114">
        <f t="shared" si="33"/>
        <v>132562.65079740397</v>
      </c>
      <c r="H58" s="114">
        <f t="shared" si="33"/>
        <v>143766.46110450799</v>
      </c>
      <c r="I58" s="114">
        <f t="shared" si="33"/>
        <v>154970.27141161202</v>
      </c>
      <c r="J58" s="114">
        <f t="shared" si="33"/>
        <v>166174.08171871604</v>
      </c>
      <c r="K58" s="114">
        <f t="shared" si="33"/>
        <v>177377.89202582004</v>
      </c>
      <c r="L58" s="114">
        <f t="shared" si="33"/>
        <v>188581.70233292409</v>
      </c>
      <c r="M58" s="114">
        <f t="shared" si="33"/>
        <v>199785.51264002812</v>
      </c>
      <c r="N58" s="115">
        <f t="shared" si="33"/>
        <v>210989.32294713211</v>
      </c>
      <c r="O58" s="6"/>
    </row>
    <row r="59" spans="1:15" x14ac:dyDescent="0.2">
      <c r="A59" s="6">
        <f t="shared" si="34"/>
        <v>21</v>
      </c>
      <c r="B59" s="4">
        <f t="shared" ref="B59:N60" si="35">(12*MAX(B$35,0)+B$8*(1.03^(25-$A59)-1))*((0.975*1.06)^$A59)</f>
        <v>84791.555074992037</v>
      </c>
      <c r="C59" s="4">
        <f t="shared" si="35"/>
        <v>106021.70269549817</v>
      </c>
      <c r="D59" s="4">
        <f t="shared" si="35"/>
        <v>120482.46890953384</v>
      </c>
      <c r="E59" s="4">
        <f t="shared" si="35"/>
        <v>131724.35041671051</v>
      </c>
      <c r="F59" s="4">
        <f t="shared" si="35"/>
        <v>142966.23192388727</v>
      </c>
      <c r="G59" s="4">
        <f t="shared" si="35"/>
        <v>154208.11343106398</v>
      </c>
      <c r="H59" s="4">
        <f t="shared" si="35"/>
        <v>165449.99493824065</v>
      </c>
      <c r="I59" s="4">
        <f t="shared" si="35"/>
        <v>176691.87644541741</v>
      </c>
      <c r="J59" s="4">
        <f t="shared" si="35"/>
        <v>187933.75795259411</v>
      </c>
      <c r="K59" s="4">
        <f t="shared" si="35"/>
        <v>199175.63945977081</v>
      </c>
      <c r="L59" s="4">
        <f t="shared" si="35"/>
        <v>210417.52096694752</v>
      </c>
      <c r="M59" s="4">
        <f t="shared" si="35"/>
        <v>221659.40247412422</v>
      </c>
      <c r="N59" s="4">
        <f t="shared" si="35"/>
        <v>232901.28398130098</v>
      </c>
      <c r="O59" s="6"/>
    </row>
    <row r="60" spans="1:15" x14ac:dyDescent="0.2">
      <c r="A60" s="6">
        <f>A59+1</f>
        <v>22</v>
      </c>
      <c r="B60" s="4">
        <f t="shared" si="35"/>
        <v>81879.230311547755</v>
      </c>
      <c r="C60" s="4">
        <f t="shared" si="35"/>
        <v>103482.1854150787</v>
      </c>
      <c r="D60" s="4">
        <f t="shared" si="35"/>
        <v>118088.98483502241</v>
      </c>
      <c r="E60" s="4">
        <f t="shared" si="35"/>
        <v>129369.06691042738</v>
      </c>
      <c r="F60" s="4">
        <f t="shared" si="35"/>
        <v>140649.14898583238</v>
      </c>
      <c r="G60" s="4">
        <f t="shared" si="35"/>
        <v>151929.23106123734</v>
      </c>
      <c r="H60" s="4">
        <f t="shared" si="35"/>
        <v>163209.3131366423</v>
      </c>
      <c r="I60" s="4">
        <f t="shared" si="35"/>
        <v>174489.39521204733</v>
      </c>
      <c r="J60" s="4">
        <f t="shared" si="35"/>
        <v>185769.47728745229</v>
      </c>
      <c r="K60" s="4">
        <f t="shared" si="35"/>
        <v>197049.55936285725</v>
      </c>
      <c r="L60" s="4">
        <f t="shared" si="35"/>
        <v>208329.64143826228</v>
      </c>
      <c r="M60" s="4">
        <f t="shared" si="35"/>
        <v>219609.72351366724</v>
      </c>
      <c r="N60" s="4">
        <f t="shared" si="35"/>
        <v>230889.80558907226</v>
      </c>
      <c r="O60" s="6"/>
    </row>
    <row r="61" spans="1:15" x14ac:dyDescent="0.2">
      <c r="A61" s="6">
        <f t="shared" si="34"/>
        <v>23</v>
      </c>
      <c r="B61" s="4">
        <f>(12*MAX(B$35,0)+B$8*(1.03^(25-$A61)-1))*((0.975*1.06)^$A61)</f>
        <v>78849.794176776049</v>
      </c>
      <c r="C61" s="4">
        <f t="shared" ref="C61:N63" si="36">(12*MAX(C$35,0)+C$8*(1.03^(25-$A61)-1))*((0.975*1.06)^$A61)</f>
        <v>100836.89590273357</v>
      </c>
      <c r="D61" s="4">
        <f t="shared" si="36"/>
        <v>115593.47072970372</v>
      </c>
      <c r="E61" s="4">
        <f t="shared" si="36"/>
        <v>126911.88318109307</v>
      </c>
      <c r="F61" s="4">
        <f t="shared" si="36"/>
        <v>138230.29563248248</v>
      </c>
      <c r="G61" s="4">
        <f t="shared" si="36"/>
        <v>149548.70808387184</v>
      </c>
      <c r="H61" s="4">
        <f t="shared" si="36"/>
        <v>160867.12053526117</v>
      </c>
      <c r="I61" s="4">
        <f t="shared" si="36"/>
        <v>172185.53298665059</v>
      </c>
      <c r="J61" s="4">
        <f t="shared" si="36"/>
        <v>183503.94543803995</v>
      </c>
      <c r="K61" s="4">
        <f t="shared" si="36"/>
        <v>194822.35788942932</v>
      </c>
      <c r="L61" s="4">
        <f t="shared" si="36"/>
        <v>206140.77034081868</v>
      </c>
      <c r="M61" s="4">
        <f t="shared" si="36"/>
        <v>217459.18279220804</v>
      </c>
      <c r="N61" s="4">
        <f t="shared" si="36"/>
        <v>228777.59524359746</v>
      </c>
      <c r="O61" s="6"/>
    </row>
    <row r="62" spans="1:15" x14ac:dyDescent="0.2">
      <c r="A62" s="6">
        <f t="shared" si="34"/>
        <v>24</v>
      </c>
      <c r="B62" s="4">
        <f>(12*MAX(B$35,0)+B$8*(1.03^(25-$A62)-1))*((0.975*1.06)^$A62)</f>
        <v>75699.257012823728</v>
      </c>
      <c r="C62" s="4">
        <f t="shared" si="36"/>
        <v>98082.220454314112</v>
      </c>
      <c r="D62" s="4">
        <f t="shared" si="36"/>
        <v>112992.43434570104</v>
      </c>
      <c r="E62" s="4">
        <f t="shared" si="36"/>
        <v>124349.30742192522</v>
      </c>
      <c r="F62" s="4">
        <f t="shared" si="36"/>
        <v>135706.18049814942</v>
      </c>
      <c r="G62" s="4">
        <f t="shared" si="36"/>
        <v>147063.0535743736</v>
      </c>
      <c r="H62" s="4">
        <f t="shared" si="36"/>
        <v>158419.92665059777</v>
      </c>
      <c r="I62" s="4">
        <f t="shared" si="36"/>
        <v>169776.79972682198</v>
      </c>
      <c r="J62" s="4">
        <f t="shared" si="36"/>
        <v>181133.67280304618</v>
      </c>
      <c r="K62" s="4">
        <f t="shared" si="36"/>
        <v>192490.54587927036</v>
      </c>
      <c r="L62" s="4">
        <f t="shared" si="36"/>
        <v>203847.41895549456</v>
      </c>
      <c r="M62" s="4">
        <f t="shared" si="36"/>
        <v>215204.29203171874</v>
      </c>
      <c r="N62" s="4">
        <f t="shared" si="36"/>
        <v>226561.16510794297</v>
      </c>
      <c r="O62" s="6"/>
    </row>
    <row r="63" spans="1:15" x14ac:dyDescent="0.2">
      <c r="A63" s="113">
        <f t="shared" si="34"/>
        <v>25</v>
      </c>
      <c r="B63" s="114">
        <f>(12*MAX(B$35,0)+B$8*(1.03^(25-$A63)-1))*((0.975*1.06)^$A63)</f>
        <v>72423.495282576972</v>
      </c>
      <c r="C63" s="114">
        <f t="shared" si="36"/>
        <v>95214.424067582222</v>
      </c>
      <c r="D63" s="114">
        <f t="shared" si="36"/>
        <v>110282.26619255553</v>
      </c>
      <c r="E63" s="114">
        <f t="shared" si="36"/>
        <v>121677.73058505813</v>
      </c>
      <c r="F63" s="114">
        <f t="shared" si="36"/>
        <v>133073.19497756078</v>
      </c>
      <c r="G63" s="114">
        <f t="shared" si="36"/>
        <v>144468.6593700634</v>
      </c>
      <c r="H63" s="114">
        <f t="shared" si="36"/>
        <v>155864.12376256599</v>
      </c>
      <c r="I63" s="114">
        <f t="shared" si="36"/>
        <v>167259.58815506863</v>
      </c>
      <c r="J63" s="114">
        <f t="shared" si="36"/>
        <v>178655.05254757125</v>
      </c>
      <c r="K63" s="114">
        <f t="shared" si="36"/>
        <v>190050.51694007387</v>
      </c>
      <c r="L63" s="114">
        <f t="shared" si="36"/>
        <v>201445.98133257648</v>
      </c>
      <c r="M63" s="114">
        <f t="shared" si="36"/>
        <v>212841.4457250791</v>
      </c>
      <c r="N63" s="115">
        <f t="shared" si="36"/>
        <v>224236.91011758178</v>
      </c>
      <c r="O63" s="6"/>
    </row>
    <row r="64" spans="1:15" x14ac:dyDescent="0.2">
      <c r="A64" s="110" t="s">
        <v>44</v>
      </c>
      <c r="B64" s="111">
        <f>SUM(B39:B63)</f>
        <v>1841519.1161663861</v>
      </c>
      <c r="C64" s="111">
        <f t="shared" ref="C64:N64" si="37">SUM(C39:C63)</f>
        <v>2312428.2505992176</v>
      </c>
      <c r="D64" s="111">
        <f t="shared" si="37"/>
        <v>2747145.484832868</v>
      </c>
      <c r="E64" s="111">
        <f t="shared" si="37"/>
        <v>3164653.2360919067</v>
      </c>
      <c r="F64" s="111">
        <f t="shared" si="37"/>
        <v>3551593.7259786949</v>
      </c>
      <c r="G64" s="111">
        <f t="shared" si="37"/>
        <v>3825198.0111682005</v>
      </c>
      <c r="H64" s="111">
        <f t="shared" si="37"/>
        <v>4098802.2963577043</v>
      </c>
      <c r="I64" s="111">
        <f t="shared" si="37"/>
        <v>4372406.5815472109</v>
      </c>
      <c r="J64" s="111">
        <f t="shared" si="37"/>
        <v>4646010.8667367147</v>
      </c>
      <c r="K64" s="111">
        <f t="shared" si="37"/>
        <v>4919615.1519262185</v>
      </c>
      <c r="L64" s="111">
        <f t="shared" si="37"/>
        <v>5193219.4371157251</v>
      </c>
      <c r="M64" s="111">
        <f t="shared" si="37"/>
        <v>5466823.7223052289</v>
      </c>
      <c r="N64" s="112">
        <f t="shared" si="37"/>
        <v>5740428.0074947337</v>
      </c>
      <c r="O64" s="6"/>
    </row>
    <row r="65" spans="1:14" x14ac:dyDescent="0.2">
      <c r="A65" s="40" t="s">
        <v>51</v>
      </c>
      <c r="B65" s="108">
        <f>B64/1.1</f>
        <v>1674108.2874239872</v>
      </c>
      <c r="C65" s="108">
        <f t="shared" ref="C65:N65" si="38">C64/1.1</f>
        <v>2102207.5005447431</v>
      </c>
      <c r="D65" s="108">
        <f t="shared" si="38"/>
        <v>2497404.986211698</v>
      </c>
      <c r="E65" s="108">
        <f t="shared" si="38"/>
        <v>2876957.4873562786</v>
      </c>
      <c r="F65" s="108">
        <f t="shared" si="38"/>
        <v>3228721.5690715406</v>
      </c>
      <c r="G65" s="108">
        <f t="shared" si="38"/>
        <v>3477452.7374256365</v>
      </c>
      <c r="H65" s="108">
        <f t="shared" si="38"/>
        <v>3726183.905779731</v>
      </c>
      <c r="I65" s="108">
        <f t="shared" si="38"/>
        <v>3974915.0741338278</v>
      </c>
      <c r="J65" s="108">
        <f t="shared" si="38"/>
        <v>4223646.2424879223</v>
      </c>
      <c r="K65" s="108">
        <f t="shared" si="38"/>
        <v>4472377.4108420163</v>
      </c>
      <c r="L65" s="108">
        <f t="shared" si="38"/>
        <v>4721108.5791961132</v>
      </c>
      <c r="M65" s="108">
        <f t="shared" si="38"/>
        <v>4969839.7475502081</v>
      </c>
      <c r="N65" s="109">
        <f t="shared" si="38"/>
        <v>5218570.9159043031</v>
      </c>
    </row>
    <row r="66" spans="1:14" x14ac:dyDescent="0.2">
      <c r="A66" s="157" t="s">
        <v>163</v>
      </c>
      <c r="B66" s="158">
        <f>B65/(1.02^25)</f>
        <v>1020420.6817921498</v>
      </c>
      <c r="C66" s="158">
        <f t="shared" ref="C66:N66" si="39">C65/(1.02^25)</f>
        <v>1281360.3678381154</v>
      </c>
      <c r="D66" s="158">
        <f t="shared" si="39"/>
        <v>1522245.4353072818</v>
      </c>
      <c r="E66" s="158">
        <f t="shared" si="39"/>
        <v>1753594.4017411235</v>
      </c>
      <c r="F66" s="158">
        <f t="shared" si="39"/>
        <v>1968005.4686896082</v>
      </c>
      <c r="G66" s="158">
        <f t="shared" si="39"/>
        <v>2119614.7942639962</v>
      </c>
      <c r="H66" s="158">
        <f t="shared" si="39"/>
        <v>2271224.1198383835</v>
      </c>
      <c r="I66" s="158">
        <f t="shared" si="39"/>
        <v>2422833.4454127718</v>
      </c>
      <c r="J66" s="158">
        <f t="shared" si="39"/>
        <v>2574442.7709871591</v>
      </c>
      <c r="K66" s="158">
        <f t="shared" si="39"/>
        <v>2726052.096561546</v>
      </c>
      <c r="L66" s="158">
        <f t="shared" si="39"/>
        <v>2877661.4221359347</v>
      </c>
      <c r="M66" s="158">
        <f t="shared" si="39"/>
        <v>3029270.7477103225</v>
      </c>
      <c r="N66" s="159">
        <f t="shared" si="39"/>
        <v>3180880.0732847098</v>
      </c>
    </row>
    <row r="68" spans="1:14" x14ac:dyDescent="0.2">
      <c r="A68" s="6" t="s">
        <v>32</v>
      </c>
      <c r="B68" s="5">
        <f>B6</f>
        <v>2709.5396636110117</v>
      </c>
      <c r="F68" t="s">
        <v>131</v>
      </c>
      <c r="G68" t="s">
        <v>132</v>
      </c>
      <c r="H68" t="s">
        <v>10</v>
      </c>
      <c r="I68" t="s">
        <v>135</v>
      </c>
      <c r="J68" t="s">
        <v>133</v>
      </c>
      <c r="K68" s="7">
        <v>4</v>
      </c>
      <c r="L68" t="s">
        <v>136</v>
      </c>
    </row>
    <row r="69" spans="1:14" x14ac:dyDescent="0.2">
      <c r="A69" s="98" t="s">
        <v>106</v>
      </c>
      <c r="B69" s="99">
        <f>SUM(F69:G70)</f>
        <v>167.76</v>
      </c>
      <c r="D69" t="s">
        <v>162</v>
      </c>
      <c r="E69" t="s">
        <v>166</v>
      </c>
      <c r="F69" s="6">
        <v>0</v>
      </c>
      <c r="G69" s="2">
        <v>102.88</v>
      </c>
      <c r="H69">
        <v>24</v>
      </c>
      <c r="I69">
        <v>80</v>
      </c>
      <c r="J69">
        <v>4.5</v>
      </c>
      <c r="K69" s="7">
        <v>4.5</v>
      </c>
      <c r="L69" s="6">
        <v>56686</v>
      </c>
    </row>
    <row r="70" spans="1:14" x14ac:dyDescent="0.2">
      <c r="A70" s="98" t="s">
        <v>43</v>
      </c>
      <c r="B70" s="100">
        <f>SUM(J69*I69/H69,J70*I70/H70)*4</f>
        <v>97.89473684210526</v>
      </c>
      <c r="D70" t="s">
        <v>176</v>
      </c>
      <c r="E70" s="1" t="s">
        <v>167</v>
      </c>
      <c r="F70" s="6">
        <v>0</v>
      </c>
      <c r="G70" s="2">
        <v>64.88</v>
      </c>
      <c r="H70">
        <v>38</v>
      </c>
      <c r="I70">
        <v>80</v>
      </c>
      <c r="J70">
        <v>4.5</v>
      </c>
      <c r="K70" s="7"/>
      <c r="L70">
        <v>9500</v>
      </c>
    </row>
    <row r="71" spans="1:14" x14ac:dyDescent="0.2">
      <c r="A71" s="6" t="s">
        <v>179</v>
      </c>
      <c r="B71" s="4" cm="1">
        <f t="array" ref="B71">SUM(F72:F73,(G72:G73)/1.2)</f>
        <v>920.39055555555547</v>
      </c>
      <c r="F71" s="6"/>
      <c r="K71" s="7"/>
    </row>
    <row r="72" spans="1:14" x14ac:dyDescent="0.2">
      <c r="A72" s="6" t="s">
        <v>138</v>
      </c>
      <c r="B72" s="4">
        <f>SUM(J72*I72/H72,J73*I73/H73)*4</f>
        <v>114.13533834586465</v>
      </c>
      <c r="D72" t="s">
        <v>178</v>
      </c>
      <c r="E72" t="s">
        <v>166</v>
      </c>
      <c r="F72" s="6">
        <v>0</v>
      </c>
      <c r="G72" s="2">
        <v>102.88</v>
      </c>
      <c r="H72">
        <v>24</v>
      </c>
      <c r="I72">
        <v>80</v>
      </c>
      <c r="J72">
        <v>4.5</v>
      </c>
      <c r="K72" s="7"/>
      <c r="L72">
        <v>0</v>
      </c>
    </row>
    <row r="73" spans="1:14" x14ac:dyDescent="0.2">
      <c r="A73" s="6" t="s">
        <v>33</v>
      </c>
      <c r="B73" s="6">
        <v>500</v>
      </c>
      <c r="D73" t="s">
        <v>177</v>
      </c>
      <c r="E73" t="s">
        <v>184</v>
      </c>
      <c r="F73" s="6">
        <v>641.30999999999995</v>
      </c>
      <c r="G73" s="2">
        <v>232.01666666666665</v>
      </c>
      <c r="H73">
        <v>26.6</v>
      </c>
      <c r="I73">
        <v>80</v>
      </c>
      <c r="J73">
        <v>4.5</v>
      </c>
      <c r="L73" s="6">
        <v>25109</v>
      </c>
    </row>
    <row r="74" spans="1:14" x14ac:dyDescent="0.2">
      <c r="A74" s="6" t="s">
        <v>41</v>
      </c>
      <c r="B74" s="6">
        <v>600</v>
      </c>
      <c r="F74" s="6"/>
    </row>
    <row r="75" spans="1:14" x14ac:dyDescent="0.2">
      <c r="A75" s="6" t="s">
        <v>34</v>
      </c>
      <c r="B75" s="6">
        <v>300</v>
      </c>
    </row>
    <row r="76" spans="1:14" x14ac:dyDescent="0.2">
      <c r="A76" s="98" t="s">
        <v>54</v>
      </c>
      <c r="B76" s="99">
        <f>(SUM(B68:B75)-SUM(B71:B72))*12</f>
        <v>52502.3328054374</v>
      </c>
      <c r="D76" s="6"/>
      <c r="E76" s="6"/>
    </row>
    <row r="77" spans="1:14" x14ac:dyDescent="0.2">
      <c r="A77" s="12" t="s">
        <v>180</v>
      </c>
      <c r="B77" s="101">
        <f>(SUM(B68:B75)-SUM(B69:B70))*12</f>
        <v>61728.78669014918</v>
      </c>
      <c r="D77" s="6"/>
      <c r="E77" s="6"/>
    </row>
    <row r="78" spans="1:14" x14ac:dyDescent="0.2">
      <c r="A78" s="98" t="s">
        <v>56</v>
      </c>
      <c r="B78" s="102">
        <f>(B76-772.5)/0.7485</f>
        <v>69111.333073396658</v>
      </c>
      <c r="D78" s="6"/>
      <c r="E78" s="15"/>
    </row>
    <row r="79" spans="1:14" x14ac:dyDescent="0.2">
      <c r="A79" s="12" t="s">
        <v>181</v>
      </c>
      <c r="B79" s="103">
        <f>(B77-772.5)/0.7485</f>
        <v>81437.924769738383</v>
      </c>
    </row>
    <row r="81" spans="4:6" x14ac:dyDescent="0.2">
      <c r="D81" s="116"/>
      <c r="E81" s="116"/>
      <c r="F81" s="4"/>
    </row>
  </sheetData>
  <sheetProtection selectLockedCells="1"/>
  <conditionalFormatting sqref="B64:N6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{1C35E1FC-D5B4-FE4B-9F0A-BBBF12BE7502}</x14:id>
        </ext>
      </extLst>
    </cfRule>
  </conditionalFormatting>
  <conditionalFormatting sqref="B65:N6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{BB1176DC-BBC8-884A-BE82-A2C55E58DA56}</x14:id>
        </ext>
      </extLst>
    </cfRule>
  </conditionalFormatting>
  <dataValidations count="2">
    <dataValidation type="list" allowBlank="1" showInputMessage="1" showErrorMessage="1" sqref="B5" xr:uid="{D698FE97-E6DC-934E-BEB4-B5DC43229001}">
      <formula1>$B$2:$N$2</formula1>
    </dataValidation>
    <dataValidation type="list" allowBlank="1" showInputMessage="1" showErrorMessage="1" sqref="J74" xr:uid="{12C0E90B-17CC-4944-B44E-192D9CE911E4}">
      <formula1>$K$68:$K$70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35E1FC-D5B4-FE4B-9F0A-BBBF12BE75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B64:N64</xm:sqref>
        </x14:conditionalFormatting>
        <x14:conditionalFormatting xmlns:xm="http://schemas.microsoft.com/office/excel/2006/main">
          <x14:cfRule type="dataBar" id="{BB1176DC-BBC8-884A-BE82-A2C55E58DA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B65:N65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5A72EBC-A311-504E-BBDE-2B0BEB8C1CE4}">
          <x14:formula1>
            <xm:f>Cars!$N$2:$N$6</xm:f>
          </x14:formula1>
          <xm:sqref>H74</xm:sqref>
        </x14:dataValidation>
        <x14:dataValidation type="list" allowBlank="1" showInputMessage="1" showErrorMessage="1" xr:uid="{6F39EA3C-6DC8-C645-ADB5-663A308595E2}">
          <x14:formula1>
            <xm:f>Cars!$A$2:$A$11</xm:f>
          </x14:formula1>
          <xm:sqref>E72:E73 E69:E70</xm:sqref>
        </x14:dataValidation>
        <x14:dataValidation type="list" allowBlank="1" showInputMessage="1" showErrorMessage="1" xr:uid="{AC264675-D7E8-AD43-A30F-6E5FD2B79B15}">
          <x14:formula1>
            <xm:f>Cars!$N$2:$N$11</xm:f>
          </x14:formula1>
          <xm:sqref>H72:H73 H69:H70</xm:sqref>
        </x14:dataValidation>
        <x14:dataValidation type="list" allowBlank="1" showInputMessage="1" showErrorMessage="1" xr:uid="{A5E2D9CD-56B6-084A-BE60-87330111C5C8}">
          <x14:formula1>
            <xm:f>Cars!$R$2:$R$8</xm:f>
          </x14:formula1>
          <xm:sqref>L69:L70 L73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7724-8F04-8243-9085-6434239C9AAF}">
  <dimension ref="A1:F28"/>
  <sheetViews>
    <sheetView workbookViewId="0">
      <selection activeCell="F7" sqref="F7"/>
    </sheetView>
  </sheetViews>
  <sheetFormatPr baseColWidth="10" defaultRowHeight="16" x14ac:dyDescent="0.2"/>
  <cols>
    <col min="1" max="1" width="10.6640625" bestFit="1" customWidth="1"/>
    <col min="2" max="2" width="11.5" bestFit="1" customWidth="1"/>
    <col min="5" max="5" width="12.33203125" bestFit="1" customWidth="1"/>
  </cols>
  <sheetData>
    <row r="1" spans="1:5" x14ac:dyDescent="0.2">
      <c r="A1" t="s">
        <v>70</v>
      </c>
      <c r="B1" s="20">
        <v>300000</v>
      </c>
    </row>
    <row r="3" spans="1:5" x14ac:dyDescent="0.2">
      <c r="A3" t="s">
        <v>71</v>
      </c>
      <c r="C3" t="s">
        <v>72</v>
      </c>
      <c r="E3" t="s">
        <v>163</v>
      </c>
    </row>
    <row r="4" spans="1:5" x14ac:dyDescent="0.2">
      <c r="A4">
        <v>55</v>
      </c>
      <c r="B4" s="5">
        <f>B$1*(0.35+0.02*(A4-45))*(1-C4)</f>
        <v>79200</v>
      </c>
      <c r="C4" s="21">
        <v>0.52</v>
      </c>
      <c r="E4" s="6">
        <f>B4/(1.02^(A4-23))</f>
        <v>42026.15763860922</v>
      </c>
    </row>
    <row r="5" spans="1:5" x14ac:dyDescent="0.2">
      <c r="A5">
        <f>A4+1</f>
        <v>56</v>
      </c>
      <c r="B5" s="5">
        <f t="shared" ref="B5:B12" si="0">B$1*(0.35+0.02*(A5-45))*(1-C5)</f>
        <v>93194.999999999971</v>
      </c>
      <c r="C5" s="3">
        <v>0.45500000000000002</v>
      </c>
      <c r="E5" s="6">
        <f t="shared" ref="E5:E12" si="1">B5/(1.02^(A5-23))</f>
        <v>48482.716393471288</v>
      </c>
    </row>
    <row r="6" spans="1:5" x14ac:dyDescent="0.2">
      <c r="A6">
        <f t="shared" ref="A6:A11" si="2">A5+1</f>
        <v>57</v>
      </c>
      <c r="B6" s="5">
        <f t="shared" si="0"/>
        <v>107970</v>
      </c>
      <c r="C6" s="21">
        <v>0.39</v>
      </c>
      <c r="E6" s="6">
        <f t="shared" si="1"/>
        <v>55067.741042691399</v>
      </c>
    </row>
    <row r="7" spans="1:5" x14ac:dyDescent="0.2">
      <c r="A7">
        <f t="shared" si="2"/>
        <v>58</v>
      </c>
      <c r="B7" s="5">
        <f t="shared" si="0"/>
        <v>123525.00000000001</v>
      </c>
      <c r="C7" s="3">
        <v>0.32500000000000001</v>
      </c>
      <c r="E7" s="6">
        <f t="shared" si="1"/>
        <v>61765.910940207206</v>
      </c>
    </row>
    <row r="8" spans="1:5" x14ac:dyDescent="0.2">
      <c r="A8">
        <f t="shared" si="2"/>
        <v>59</v>
      </c>
      <c r="B8" s="5">
        <f t="shared" si="0"/>
        <v>139860</v>
      </c>
      <c r="C8" s="21">
        <v>0.26</v>
      </c>
      <c r="E8" s="6">
        <f t="shared" si="1"/>
        <v>68562.609808266003</v>
      </c>
    </row>
    <row r="9" spans="1:5" x14ac:dyDescent="0.2">
      <c r="A9">
        <f t="shared" si="2"/>
        <v>60</v>
      </c>
      <c r="B9" s="5">
        <f t="shared" si="0"/>
        <v>156974.99999999997</v>
      </c>
      <c r="C9" s="3">
        <v>0.19500000000000001</v>
      </c>
      <c r="E9" s="6">
        <f t="shared" si="1"/>
        <v>75443.901006416447</v>
      </c>
    </row>
    <row r="10" spans="1:5" x14ac:dyDescent="0.2">
      <c r="A10">
        <f t="shared" si="2"/>
        <v>61</v>
      </c>
      <c r="B10" s="5">
        <f t="shared" si="0"/>
        <v>174869.99999999997</v>
      </c>
      <c r="C10" s="21">
        <v>0.13</v>
      </c>
      <c r="E10" s="6">
        <f t="shared" si="1"/>
        <v>82396.503558341341</v>
      </c>
    </row>
    <row r="11" spans="1:5" x14ac:dyDescent="0.2">
      <c r="A11">
        <f t="shared" si="2"/>
        <v>62</v>
      </c>
      <c r="B11" s="5">
        <f t="shared" si="0"/>
        <v>193544.99999999997</v>
      </c>
      <c r="C11" s="3">
        <v>6.5000000000000002E-2</v>
      </c>
      <c r="E11" s="6">
        <f t="shared" si="1"/>
        <v>89407.768915167122</v>
      </c>
    </row>
    <row r="12" spans="1:5" x14ac:dyDescent="0.2">
      <c r="A12">
        <v>63</v>
      </c>
      <c r="B12" s="5">
        <f t="shared" si="0"/>
        <v>213000</v>
      </c>
      <c r="C12" s="21">
        <v>0</v>
      </c>
      <c r="E12" s="6">
        <f t="shared" si="1"/>
        <v>96465.658434455356</v>
      </c>
    </row>
    <row r="13" spans="1:5" x14ac:dyDescent="0.2">
      <c r="B13" s="5"/>
    </row>
    <row r="14" spans="1:5" x14ac:dyDescent="0.2">
      <c r="B14" s="5"/>
    </row>
    <row r="15" spans="1:5" x14ac:dyDescent="0.2">
      <c r="B15" s="5"/>
    </row>
    <row r="16" spans="1:5" x14ac:dyDescent="0.2">
      <c r="B16" s="5"/>
    </row>
    <row r="17" spans="1:6" x14ac:dyDescent="0.2">
      <c r="B17" s="5"/>
    </row>
    <row r="18" spans="1:6" x14ac:dyDescent="0.2">
      <c r="B18" s="5"/>
      <c r="C18" s="5"/>
    </row>
    <row r="19" spans="1:6" x14ac:dyDescent="0.2">
      <c r="A19" s="19"/>
    </row>
    <row r="20" spans="1:6" x14ac:dyDescent="0.2">
      <c r="A20" s="19"/>
    </row>
    <row r="21" spans="1:6" x14ac:dyDescent="0.2">
      <c r="A21" s="19"/>
      <c r="F21" s="116"/>
    </row>
    <row r="22" spans="1:6" x14ac:dyDescent="0.2">
      <c r="A22" s="19"/>
    </row>
    <row r="23" spans="1:6" x14ac:dyDescent="0.2">
      <c r="A23" s="19"/>
    </row>
    <row r="24" spans="1:6" x14ac:dyDescent="0.2">
      <c r="A24" s="19"/>
    </row>
    <row r="25" spans="1:6" x14ac:dyDescent="0.2">
      <c r="A25" s="19"/>
    </row>
    <row r="26" spans="1:6" x14ac:dyDescent="0.2">
      <c r="A26" s="19"/>
    </row>
    <row r="27" spans="1:6" x14ac:dyDescent="0.2">
      <c r="A27" s="19"/>
    </row>
    <row r="28" spans="1:6" x14ac:dyDescent="0.2">
      <c r="A28" s="19"/>
    </row>
  </sheetData>
  <conditionalFormatting sqref="B4:B1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{976B4989-76B6-A642-A76C-5AE0129605E9}</x14:id>
        </ext>
      </extLst>
    </cfRule>
  </conditionalFormatting>
  <conditionalFormatting sqref="C4:C1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{B0C65D55-A86A-4E4C-B6CD-F7E2346F957A}</x14:id>
        </ext>
      </extLst>
    </cfRule>
  </conditionalFormatting>
  <conditionalFormatting sqref="E4:E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{999F74E7-9D2A-EB4E-9C1F-76B76D2251DC}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6B4989-76B6-A642-A76C-5AE0129605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B4:B12</xm:sqref>
        </x14:conditionalFormatting>
        <x14:conditionalFormatting xmlns:xm="http://schemas.microsoft.com/office/excel/2006/main">
          <x14:cfRule type="dataBar" id="{B0C65D55-A86A-4E4C-B6CD-F7E2346F95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C4:C12</xm:sqref>
        </x14:conditionalFormatting>
        <x14:conditionalFormatting xmlns:xm="http://schemas.microsoft.com/office/excel/2006/main">
          <x14:cfRule type="dataBar" id="{999F74E7-9D2A-EB4E-9C1F-76B76D2251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E4:E12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7D82-289A-014B-A41E-6D29C3106FA3}">
  <dimension ref="A1:Q8"/>
  <sheetViews>
    <sheetView topLeftCell="C1" workbookViewId="0">
      <selection activeCell="I2" sqref="I2"/>
    </sheetView>
  </sheetViews>
  <sheetFormatPr baseColWidth="10" defaultRowHeight="16" x14ac:dyDescent="0.2"/>
  <cols>
    <col min="1" max="1" width="18.33203125" bestFit="1" customWidth="1"/>
    <col min="2" max="2" width="7.83203125" bestFit="1" customWidth="1"/>
    <col min="3" max="3" width="37.83203125" bestFit="1" customWidth="1"/>
    <col min="4" max="4" width="7.6640625" bestFit="1" customWidth="1"/>
    <col min="5" max="5" width="14.6640625" bestFit="1" customWidth="1"/>
    <col min="6" max="6" width="13.6640625" bestFit="1" customWidth="1"/>
    <col min="7" max="7" width="15.83203125" bestFit="1" customWidth="1"/>
    <col min="8" max="8" width="6.5" bestFit="1" customWidth="1"/>
    <col min="9" max="9" width="13.33203125" bestFit="1" customWidth="1"/>
    <col min="10" max="10" width="13" bestFit="1" customWidth="1"/>
    <col min="11" max="11" width="10.5" bestFit="1" customWidth="1"/>
    <col min="12" max="12" width="21.6640625" bestFit="1" customWidth="1"/>
    <col min="13" max="13" width="8.5" bestFit="1" customWidth="1"/>
    <col min="15" max="15" width="29" bestFit="1" customWidth="1"/>
    <col min="16" max="16" width="15.6640625" bestFit="1" customWidth="1"/>
    <col min="17" max="17" width="18.1640625" bestFit="1" customWidth="1"/>
  </cols>
  <sheetData>
    <row r="1" spans="1:17" x14ac:dyDescent="0.2">
      <c r="A1" s="24" t="s">
        <v>73</v>
      </c>
      <c r="B1" s="24" t="s">
        <v>80</v>
      </c>
      <c r="C1" s="24" t="s">
        <v>75</v>
      </c>
      <c r="D1" s="24" t="s">
        <v>74</v>
      </c>
      <c r="E1" s="24" t="s">
        <v>85</v>
      </c>
      <c r="F1" s="24" t="s">
        <v>76</v>
      </c>
      <c r="G1" s="24" t="s">
        <v>77</v>
      </c>
      <c r="H1" s="24" t="s">
        <v>82</v>
      </c>
      <c r="I1" s="24" t="s">
        <v>78</v>
      </c>
      <c r="J1" s="24" t="s">
        <v>79</v>
      </c>
      <c r="K1" s="24" t="s">
        <v>83</v>
      </c>
      <c r="L1" s="24" t="s">
        <v>96</v>
      </c>
      <c r="M1" s="24" t="s">
        <v>97</v>
      </c>
      <c r="N1" s="24" t="s">
        <v>98</v>
      </c>
      <c r="O1" s="24" t="s">
        <v>107</v>
      </c>
      <c r="P1" s="24" t="s">
        <v>108</v>
      </c>
      <c r="Q1" s="24" t="s">
        <v>109</v>
      </c>
    </row>
    <row r="2" spans="1:17" x14ac:dyDescent="0.2">
      <c r="A2" s="25" t="s">
        <v>86</v>
      </c>
      <c r="B2" s="25" t="s">
        <v>81</v>
      </c>
      <c r="C2" s="25" t="s">
        <v>87</v>
      </c>
      <c r="D2" s="25">
        <v>49</v>
      </c>
      <c r="E2" s="25">
        <v>36</v>
      </c>
      <c r="F2" s="25">
        <v>725</v>
      </c>
      <c r="G2" s="25">
        <v>6485</v>
      </c>
      <c r="H2" s="25">
        <v>725</v>
      </c>
      <c r="I2" s="26">
        <f>E2*F2</f>
        <v>26100</v>
      </c>
      <c r="J2" s="26">
        <f>IF(B2="PhD", 3*4965 + 9*F2 + 3110 + 3*F2 + 6*1235, MOD(E2,12)*F2 + ((E2-MOD(E2,12))/12)*G2)</f>
        <v>19455</v>
      </c>
      <c r="K2" s="27">
        <f>I2</f>
        <v>26100</v>
      </c>
      <c r="L2" s="26">
        <f>IF(B2="PhD", I2-4000*6, I2-2000*(ROUNDUP(E2/9,1)))</f>
        <v>18100</v>
      </c>
      <c r="M2" s="26">
        <f>IF(B2="PhD", J2-4000*6,J2-2000*ROUNDUP(E2/12,1))</f>
        <v>13455</v>
      </c>
      <c r="N2" s="26">
        <f>L2</f>
        <v>18100</v>
      </c>
      <c r="O2" s="49">
        <f>L2/12</f>
        <v>1508.3333333333333</v>
      </c>
      <c r="P2" s="49">
        <f t="shared" ref="P2:Q2" si="0">M2/12</f>
        <v>1121.25</v>
      </c>
      <c r="Q2" s="49">
        <f t="shared" si="0"/>
        <v>1508.3333333333333</v>
      </c>
    </row>
    <row r="3" spans="1:17" x14ac:dyDescent="0.2">
      <c r="A3" s="28" t="s">
        <v>86</v>
      </c>
      <c r="B3" s="28" t="s">
        <v>88</v>
      </c>
      <c r="C3" s="28" t="s">
        <v>89</v>
      </c>
      <c r="D3" s="28">
        <v>49</v>
      </c>
      <c r="E3" s="28">
        <v>60</v>
      </c>
      <c r="F3" s="28">
        <v>560</v>
      </c>
      <c r="G3" s="29" t="s">
        <v>84</v>
      </c>
      <c r="H3" s="28">
        <v>560</v>
      </c>
      <c r="I3" s="30">
        <f t="shared" ref="I3:I8" si="1">E3*F3</f>
        <v>33600</v>
      </c>
      <c r="J3" s="30">
        <f t="shared" ref="J3:J8" si="2">IF(B3="PhD", 3*4965 + 9*F3 + 3110 + 3*F3 + 6*1235, MOD(E3,12)*F3 + ((E3-MOD(E3,12))/12)*G3)</f>
        <v>32135</v>
      </c>
      <c r="K3" s="31">
        <f t="shared" ref="K3:K8" si="3">I3</f>
        <v>33600</v>
      </c>
      <c r="L3" s="30">
        <f t="shared" ref="L3:L8" si="4">IF(B3="PhD", I3-4000*6, I3-2000*(ROUNDUP(E3/9,1)))</f>
        <v>9600</v>
      </c>
      <c r="M3" s="30">
        <f t="shared" ref="M3:M8" si="5">IF(B3="PhD", J3-4000*6,J3-2000*ROUNDUP(E3/12,1))</f>
        <v>8135</v>
      </c>
      <c r="N3" s="30">
        <f t="shared" ref="N3:N8" si="6">L3</f>
        <v>9600</v>
      </c>
      <c r="O3" s="50">
        <f t="shared" ref="O3:O8" si="7">L3/12</f>
        <v>800</v>
      </c>
      <c r="P3" s="50">
        <f t="shared" ref="P3:P8" si="8">M3/12</f>
        <v>677.91666666666663</v>
      </c>
      <c r="Q3" s="50">
        <f t="shared" ref="Q3:Q8" si="9">N3/12</f>
        <v>800</v>
      </c>
    </row>
    <row r="4" spans="1:17" x14ac:dyDescent="0.2">
      <c r="A4" s="32" t="s">
        <v>90</v>
      </c>
      <c r="B4" s="32" t="s">
        <v>81</v>
      </c>
      <c r="C4" s="32" t="s">
        <v>91</v>
      </c>
      <c r="D4" s="32"/>
      <c r="E4" s="32">
        <v>30</v>
      </c>
      <c r="F4" s="32">
        <v>470</v>
      </c>
      <c r="G4" s="32">
        <v>5545</v>
      </c>
      <c r="H4" s="32">
        <v>470</v>
      </c>
      <c r="I4" s="33">
        <f t="shared" si="1"/>
        <v>14100</v>
      </c>
      <c r="J4" s="33">
        <f t="shared" si="2"/>
        <v>13910</v>
      </c>
      <c r="K4" s="34">
        <f t="shared" si="3"/>
        <v>14100</v>
      </c>
      <c r="L4" s="33">
        <f t="shared" si="4"/>
        <v>7300</v>
      </c>
      <c r="M4" s="33">
        <f t="shared" si="5"/>
        <v>8910</v>
      </c>
      <c r="N4" s="33">
        <f t="shared" si="6"/>
        <v>7300</v>
      </c>
      <c r="O4" s="51">
        <f t="shared" si="7"/>
        <v>608.33333333333337</v>
      </c>
      <c r="P4" s="51">
        <f t="shared" si="8"/>
        <v>742.5</v>
      </c>
      <c r="Q4" s="51">
        <f t="shared" si="9"/>
        <v>608.33333333333337</v>
      </c>
    </row>
    <row r="5" spans="1:17" x14ac:dyDescent="0.2">
      <c r="A5" s="28" t="s">
        <v>90</v>
      </c>
      <c r="B5" s="28" t="s">
        <v>88</v>
      </c>
      <c r="C5" s="28" t="s">
        <v>91</v>
      </c>
      <c r="D5" s="28"/>
      <c r="E5" s="28">
        <v>60</v>
      </c>
      <c r="F5" s="28">
        <v>560</v>
      </c>
      <c r="G5" s="28" t="s">
        <v>84</v>
      </c>
      <c r="H5" s="35">
        <v>560</v>
      </c>
      <c r="I5" s="30">
        <f t="shared" si="1"/>
        <v>33600</v>
      </c>
      <c r="J5" s="30">
        <f t="shared" si="2"/>
        <v>32135</v>
      </c>
      <c r="K5" s="31">
        <f t="shared" si="3"/>
        <v>33600</v>
      </c>
      <c r="L5" s="30">
        <f t="shared" si="4"/>
        <v>9600</v>
      </c>
      <c r="M5" s="30">
        <f t="shared" si="5"/>
        <v>8135</v>
      </c>
      <c r="N5" s="30">
        <f t="shared" si="6"/>
        <v>9600</v>
      </c>
      <c r="O5" s="50">
        <f t="shared" si="7"/>
        <v>800</v>
      </c>
      <c r="P5" s="50">
        <f t="shared" si="8"/>
        <v>677.91666666666663</v>
      </c>
      <c r="Q5" s="50">
        <f t="shared" si="9"/>
        <v>800</v>
      </c>
    </row>
    <row r="6" spans="1:17" x14ac:dyDescent="0.2">
      <c r="A6" s="28" t="s">
        <v>92</v>
      </c>
      <c r="B6" s="28" t="s">
        <v>88</v>
      </c>
      <c r="C6" s="28" t="s">
        <v>93</v>
      </c>
      <c r="D6" s="28">
        <v>43</v>
      </c>
      <c r="E6" s="28">
        <v>60</v>
      </c>
      <c r="F6" s="28">
        <v>560</v>
      </c>
      <c r="G6" s="36" t="s">
        <v>84</v>
      </c>
      <c r="H6" s="35">
        <v>560</v>
      </c>
      <c r="I6" s="30">
        <f t="shared" si="1"/>
        <v>33600</v>
      </c>
      <c r="J6" s="30">
        <f t="shared" si="2"/>
        <v>32135</v>
      </c>
      <c r="K6" s="31">
        <f t="shared" si="3"/>
        <v>33600</v>
      </c>
      <c r="L6" s="30">
        <f t="shared" si="4"/>
        <v>9600</v>
      </c>
      <c r="M6" s="30">
        <f t="shared" si="5"/>
        <v>8135</v>
      </c>
      <c r="N6" s="30">
        <f t="shared" si="6"/>
        <v>9600</v>
      </c>
      <c r="O6" s="50">
        <f t="shared" si="7"/>
        <v>800</v>
      </c>
      <c r="P6" s="50">
        <f t="shared" si="8"/>
        <v>677.91666666666663</v>
      </c>
      <c r="Q6" s="50">
        <f t="shared" si="9"/>
        <v>800</v>
      </c>
    </row>
    <row r="7" spans="1:17" x14ac:dyDescent="0.2">
      <c r="A7" s="32" t="s">
        <v>86</v>
      </c>
      <c r="B7" s="32" t="s">
        <v>81</v>
      </c>
      <c r="C7" s="32" t="s">
        <v>94</v>
      </c>
      <c r="D7" s="32"/>
      <c r="E7" s="32">
        <v>31.5</v>
      </c>
      <c r="F7" s="32">
        <v>470</v>
      </c>
      <c r="G7" s="37">
        <v>5545</v>
      </c>
      <c r="H7" s="37">
        <v>470</v>
      </c>
      <c r="I7" s="33">
        <f t="shared" si="1"/>
        <v>14805</v>
      </c>
      <c r="J7" s="33">
        <f t="shared" si="2"/>
        <v>14615</v>
      </c>
      <c r="K7" s="34">
        <f t="shared" si="3"/>
        <v>14805</v>
      </c>
      <c r="L7" s="33">
        <f t="shared" si="4"/>
        <v>7805</v>
      </c>
      <c r="M7" s="33">
        <f t="shared" si="5"/>
        <v>9215</v>
      </c>
      <c r="N7" s="33">
        <f t="shared" si="6"/>
        <v>7805</v>
      </c>
      <c r="O7" s="51">
        <f t="shared" si="7"/>
        <v>650.41666666666663</v>
      </c>
      <c r="P7" s="51">
        <f t="shared" si="8"/>
        <v>767.91666666666663</v>
      </c>
      <c r="Q7" s="51">
        <f t="shared" si="9"/>
        <v>650.41666666666663</v>
      </c>
    </row>
    <row r="8" spans="1:17" x14ac:dyDescent="0.2">
      <c r="A8" s="28" t="s">
        <v>92</v>
      </c>
      <c r="B8" s="28" t="s">
        <v>88</v>
      </c>
      <c r="C8" s="28" t="s">
        <v>95</v>
      </c>
      <c r="D8" s="28">
        <v>55</v>
      </c>
      <c r="E8" s="28">
        <v>60</v>
      </c>
      <c r="F8" s="28">
        <v>560</v>
      </c>
      <c r="G8" s="36" t="s">
        <v>84</v>
      </c>
      <c r="H8" s="35">
        <v>560</v>
      </c>
      <c r="I8" s="30">
        <f t="shared" si="1"/>
        <v>33600</v>
      </c>
      <c r="J8" s="30">
        <f t="shared" si="2"/>
        <v>32135</v>
      </c>
      <c r="K8" s="31">
        <f t="shared" si="3"/>
        <v>33600</v>
      </c>
      <c r="L8" s="30">
        <f t="shared" si="4"/>
        <v>9600</v>
      </c>
      <c r="M8" s="30">
        <f t="shared" si="5"/>
        <v>8135</v>
      </c>
      <c r="N8" s="30">
        <f t="shared" si="6"/>
        <v>9600</v>
      </c>
      <c r="O8" s="50">
        <f t="shared" si="7"/>
        <v>800</v>
      </c>
      <c r="P8" s="50">
        <f t="shared" si="8"/>
        <v>677.91666666666663</v>
      </c>
      <c r="Q8" s="50">
        <f t="shared" si="9"/>
        <v>800</v>
      </c>
    </row>
  </sheetData>
  <conditionalFormatting sqref="D2:D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{D0568A83-07E3-FD49-877D-675192B3C3AC}</x14:id>
        </ext>
      </extLst>
    </cfRule>
  </conditionalFormatting>
  <conditionalFormatting sqref="I2:I8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{A5CB1733-F4F2-C045-A70E-D1FB99B67926}</x14:id>
        </ext>
      </extLst>
    </cfRule>
  </conditionalFormatting>
  <conditionalFormatting sqref="J2:J8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{9FB76AAB-4B36-D349-A9CA-12D345224C94}</x14:id>
        </ext>
      </extLst>
    </cfRule>
  </conditionalFormatting>
  <conditionalFormatting sqref="K2:K8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{102EFDD0-2F1D-D746-8231-9F4F8ABDBA9C}</x14:id>
        </ext>
      </extLst>
    </cfRule>
  </conditionalFormatting>
  <conditionalFormatting sqref="L2:L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{A601A932-B4E5-D644-9632-4D97ABA52C62}</x14:id>
        </ext>
      </extLst>
    </cfRule>
  </conditionalFormatting>
  <conditionalFormatting sqref="M2:M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{2FC36C9E-A990-D44D-A120-9244A30873C9}</x14:id>
        </ext>
      </extLst>
    </cfRule>
  </conditionalFormatting>
  <conditionalFormatting sqref="N2:N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{4EDB459C-DC80-7142-8D4C-F25727B1CC56}</x14:id>
        </ext>
      </extLst>
    </cfRule>
  </conditionalFormatting>
  <conditionalFormatting sqref="O2:O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{AF3A6E96-769B-F141-9EB1-5790DB611605}</x14:id>
        </ext>
      </extLst>
    </cfRule>
  </conditionalFormatting>
  <conditionalFormatting sqref="P2:P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{94221CD4-3460-E942-AD01-418FE2729EBC}</x14:id>
        </ext>
      </extLst>
    </cfRule>
  </conditionalFormatting>
  <conditionalFormatting sqref="Q2:Q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{F6350EE9-43E9-A44B-89A7-DAB3E44A22DF}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568A83-07E3-FD49-877D-675192B3C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D2:D8</xm:sqref>
        </x14:conditionalFormatting>
        <x14:conditionalFormatting xmlns:xm="http://schemas.microsoft.com/office/excel/2006/main">
          <x14:cfRule type="dataBar" id="{A5CB1733-F4F2-C045-A70E-D1FB99B679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I2:I8</xm:sqref>
        </x14:conditionalFormatting>
        <x14:conditionalFormatting xmlns:xm="http://schemas.microsoft.com/office/excel/2006/main">
          <x14:cfRule type="dataBar" id="{9FB76AAB-4B36-D349-A9CA-12D345224C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J2:J8</xm:sqref>
        </x14:conditionalFormatting>
        <x14:conditionalFormatting xmlns:xm="http://schemas.microsoft.com/office/excel/2006/main">
          <x14:cfRule type="dataBar" id="{102EFDD0-2F1D-D746-8231-9F4F8ABDBA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K2:K8</xm:sqref>
        </x14:conditionalFormatting>
        <x14:conditionalFormatting xmlns:xm="http://schemas.microsoft.com/office/excel/2006/main">
          <x14:cfRule type="dataBar" id="{A601A932-B4E5-D644-9632-4D97ABA52C6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L2:L8</xm:sqref>
        </x14:conditionalFormatting>
        <x14:conditionalFormatting xmlns:xm="http://schemas.microsoft.com/office/excel/2006/main">
          <x14:cfRule type="dataBar" id="{2FC36C9E-A990-D44D-A120-9244A30873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M2:M8</xm:sqref>
        </x14:conditionalFormatting>
        <x14:conditionalFormatting xmlns:xm="http://schemas.microsoft.com/office/excel/2006/main">
          <x14:cfRule type="dataBar" id="{4EDB459C-DC80-7142-8D4C-F25727B1CC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N2:N8</xm:sqref>
        </x14:conditionalFormatting>
        <x14:conditionalFormatting xmlns:xm="http://schemas.microsoft.com/office/excel/2006/main">
          <x14:cfRule type="dataBar" id="{AF3A6E96-769B-F141-9EB1-5790DB6116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O2:O8</xm:sqref>
        </x14:conditionalFormatting>
        <x14:conditionalFormatting xmlns:xm="http://schemas.microsoft.com/office/excel/2006/main">
          <x14:cfRule type="dataBar" id="{94221CD4-3460-E942-AD01-418FE2729EB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P2:P8</xm:sqref>
        </x14:conditionalFormatting>
        <x14:conditionalFormatting xmlns:xm="http://schemas.microsoft.com/office/excel/2006/main">
          <x14:cfRule type="dataBar" id="{F6350EE9-43E9-A44B-89A7-DAB3E44A22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Q2:Q8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6455-B350-C24B-8119-85794BF80254}">
  <dimension ref="A1:N10"/>
  <sheetViews>
    <sheetView workbookViewId="0">
      <selection activeCell="N10" sqref="N10"/>
    </sheetView>
  </sheetViews>
  <sheetFormatPr baseColWidth="10" defaultRowHeight="16" x14ac:dyDescent="0.2"/>
  <cols>
    <col min="2" max="2" width="17" bestFit="1" customWidth="1"/>
    <col min="4" max="5" width="10.83203125" customWidth="1"/>
    <col min="6" max="6" width="12.6640625" customWidth="1"/>
    <col min="7" max="8" width="10.83203125" customWidth="1"/>
    <col min="9" max="9" width="17" customWidth="1"/>
    <col min="10" max="10" width="15.1640625" customWidth="1"/>
    <col min="11" max="12" width="11.5" customWidth="1"/>
    <col min="13" max="13" width="12.83203125" customWidth="1"/>
    <col min="14" max="14" width="24.6640625" bestFit="1" customWidth="1"/>
  </cols>
  <sheetData>
    <row r="1" spans="1:14" x14ac:dyDescent="0.2">
      <c r="A1" s="68" t="s">
        <v>74</v>
      </c>
      <c r="B1" s="68" t="s">
        <v>0</v>
      </c>
      <c r="C1" s="68" t="s">
        <v>4</v>
      </c>
      <c r="D1" s="68" t="s">
        <v>25</v>
      </c>
      <c r="E1" s="68" t="s">
        <v>10</v>
      </c>
      <c r="F1" s="68" t="s">
        <v>113</v>
      </c>
      <c r="G1" s="68" t="s">
        <v>114</v>
      </c>
      <c r="H1" s="68"/>
      <c r="I1" s="68" t="s">
        <v>116</v>
      </c>
      <c r="J1" s="68" t="s">
        <v>115</v>
      </c>
      <c r="K1" s="68" t="s">
        <v>117</v>
      </c>
      <c r="L1" s="68"/>
      <c r="M1" s="68" t="s">
        <v>126</v>
      </c>
      <c r="N1" s="68" t="s">
        <v>127</v>
      </c>
    </row>
    <row r="2" spans="1:14" x14ac:dyDescent="0.2">
      <c r="A2" s="66" t="s">
        <v>124</v>
      </c>
      <c r="B2" s="66" t="s">
        <v>110</v>
      </c>
      <c r="C2" s="24">
        <v>52000</v>
      </c>
      <c r="D2" s="61">
        <f>PMT(0.05/12, 60, -(C2-$C$5))+$D$5</f>
        <v>1376.8452066670379</v>
      </c>
      <c r="E2" s="24">
        <v>39</v>
      </c>
      <c r="F2" s="62">
        <f>(5*4*$C$8/E2)*$C$10</f>
        <v>256.41025641025641</v>
      </c>
      <c r="G2" s="61">
        <f>D2+F2</f>
        <v>1633.2554630772943</v>
      </c>
      <c r="H2" s="24"/>
      <c r="I2" s="61">
        <f>$G$5-G2</f>
        <v>75.763846268423549</v>
      </c>
      <c r="J2" s="61">
        <f>I2*12</f>
        <v>909.16615522108259</v>
      </c>
      <c r="K2" s="61">
        <f>J2*5</f>
        <v>4545.830776105413</v>
      </c>
      <c r="L2" s="61"/>
      <c r="M2" s="63">
        <v>30604</v>
      </c>
      <c r="N2" s="64">
        <f>M2+K2</f>
        <v>35149.830776105417</v>
      </c>
    </row>
    <row r="3" spans="1:14" x14ac:dyDescent="0.2">
      <c r="A3" s="65" t="s">
        <v>122</v>
      </c>
      <c r="B3" s="65" t="s">
        <v>119</v>
      </c>
      <c r="C3" s="24">
        <v>44000</v>
      </c>
      <c r="D3" s="61">
        <f t="shared" ref="D3:D4" si="0">PMT(0.05/12, 60, -(C3-$C$5))+$D$5</f>
        <v>1225.8753375149504</v>
      </c>
      <c r="E3" s="24">
        <v>39</v>
      </c>
      <c r="F3" s="62">
        <f>(5*4*$C$8/E3)*$C$9</f>
        <v>224.35897435897436</v>
      </c>
      <c r="G3" s="61">
        <f t="shared" ref="G3:G4" si="1">D3+F3</f>
        <v>1450.2343118739248</v>
      </c>
      <c r="H3" s="24"/>
      <c r="I3" s="61">
        <f t="shared" ref="I3:I4" si="2">$G$5-G3</f>
        <v>258.78499747179308</v>
      </c>
      <c r="J3" s="61">
        <f t="shared" ref="J3:J4" si="3">I3*12</f>
        <v>3105.4199696615169</v>
      </c>
      <c r="K3" s="61">
        <f t="shared" ref="K3:K4" si="4">J3*5</f>
        <v>15527.099848307585</v>
      </c>
      <c r="L3" s="61"/>
      <c r="M3" s="63">
        <f>AVERAGE(33339,$M$4)</f>
        <v>32319.5</v>
      </c>
      <c r="N3" s="64">
        <f>M3+K3</f>
        <v>47846.599848307582</v>
      </c>
    </row>
    <row r="4" spans="1:14" x14ac:dyDescent="0.2">
      <c r="A4" s="67" t="s">
        <v>123</v>
      </c>
      <c r="B4" s="67" t="s">
        <v>118</v>
      </c>
      <c r="C4" s="24">
        <v>42000</v>
      </c>
      <c r="D4" s="61">
        <f t="shared" si="0"/>
        <v>1188.1328702269286</v>
      </c>
      <c r="E4" s="24">
        <v>30</v>
      </c>
      <c r="F4" s="62">
        <f t="shared" ref="F4" si="5">(5*4*$C$8/E4)*$C$9</f>
        <v>291.66666666666663</v>
      </c>
      <c r="G4" s="61">
        <f t="shared" si="1"/>
        <v>1479.7995368935954</v>
      </c>
      <c r="H4" s="24"/>
      <c r="I4" s="61">
        <f t="shared" si="2"/>
        <v>229.21977245212247</v>
      </c>
      <c r="J4" s="61">
        <f t="shared" si="3"/>
        <v>2750.6372694254696</v>
      </c>
      <c r="K4" s="61">
        <f t="shared" si="4"/>
        <v>13753.186347127348</v>
      </c>
      <c r="L4" s="61"/>
      <c r="M4" s="63">
        <v>31300</v>
      </c>
      <c r="N4" s="64">
        <f>M4+K4</f>
        <v>45053.186347127346</v>
      </c>
    </row>
    <row r="5" spans="1:14" x14ac:dyDescent="0.2">
      <c r="A5" s="44" t="s">
        <v>125</v>
      </c>
      <c r="B5" s="44" t="s">
        <v>111</v>
      </c>
      <c r="C5" s="24">
        <v>35000</v>
      </c>
      <c r="D5" s="61">
        <f>PMT(0.05/12, 60, -(48000*1.08875+3000+700))</f>
        <v>1056.0342347188521</v>
      </c>
      <c r="E5" s="24">
        <v>13.4</v>
      </c>
      <c r="F5" s="62">
        <f>(5*4*$C$8/E5)*$C$9</f>
        <v>652.98507462686564</v>
      </c>
      <c r="G5" s="61">
        <f>D5+F5</f>
        <v>1709.0193093457178</v>
      </c>
      <c r="H5" s="24"/>
      <c r="I5" s="24"/>
      <c r="J5" s="24"/>
      <c r="K5" s="24"/>
      <c r="L5" s="24"/>
      <c r="M5" s="63">
        <f>AVERAGE(34192,37426)</f>
        <v>35809</v>
      </c>
      <c r="N5" s="64">
        <f>M5+K5</f>
        <v>35809</v>
      </c>
    </row>
    <row r="8" spans="1:14" x14ac:dyDescent="0.2">
      <c r="B8" t="s">
        <v>112</v>
      </c>
      <c r="C8">
        <v>125</v>
      </c>
    </row>
    <row r="9" spans="1:14" x14ac:dyDescent="0.2">
      <c r="B9" t="s">
        <v>120</v>
      </c>
      <c r="C9" s="60">
        <v>3.5</v>
      </c>
    </row>
    <row r="10" spans="1:14" x14ac:dyDescent="0.2">
      <c r="B10" t="s">
        <v>121</v>
      </c>
      <c r="C10" s="60">
        <v>4</v>
      </c>
    </row>
  </sheetData>
  <conditionalFormatting sqref="D2:D5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{552FCCF1-18E5-4748-B385-31495A7E679E}</x14:id>
        </ext>
      </extLst>
    </cfRule>
  </conditionalFormatting>
  <conditionalFormatting sqref="E2:E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{A657001D-6059-9F4B-9A38-6B4D522C3C9B}</x14:id>
        </ext>
      </extLst>
    </cfRule>
  </conditionalFormatting>
  <conditionalFormatting sqref="F2:F5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{52BAD4C2-05A9-074E-8DE3-321A39984B9C}</x14:id>
        </ext>
      </extLst>
    </cfRule>
  </conditionalFormatting>
  <conditionalFormatting sqref="G2:G5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{D21CCE36-F167-D047-813F-3EA33BBC8F63}</x14:id>
        </ext>
      </extLst>
    </cfRule>
  </conditionalFormatting>
  <conditionalFormatting sqref="I2:I4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{85407800-6F7C-FC4E-BC00-17A60C9156A4}</x14:id>
        </ext>
      </extLst>
    </cfRule>
  </conditionalFormatting>
  <conditionalFormatting sqref="J2:J4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{2F4933C1-3EAC-064A-9D4C-8E5E73DAB176}</x14:id>
        </ext>
      </extLst>
    </cfRule>
  </conditionalFormatting>
  <conditionalFormatting sqref="K2:L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{FC74657B-2948-554D-8254-EF98FA60E2D8}</x14:id>
        </ext>
      </extLst>
    </cfRule>
  </conditionalFormatting>
  <conditionalFormatting sqref="M2:M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{E31E2533-123D-4142-A93D-C0BD017224BF}</x14:id>
        </ext>
      </extLst>
    </cfRule>
  </conditionalFormatting>
  <conditionalFormatting sqref="N2:N5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{2BE40732-CC30-F440-93DB-56263FBD8B31}</x14:id>
        </ext>
      </extLst>
    </cfRule>
  </conditionalFormatting>
  <pageMargins left="0.7" right="0.7" top="0.75" bottom="0.75" header="0.3" footer="0.3"/>
  <pageSetup fitToWidth="2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2FCCF1-18E5-4748-B385-31495A7E679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D2:D5</xm:sqref>
        </x14:conditionalFormatting>
        <x14:conditionalFormatting xmlns:xm="http://schemas.microsoft.com/office/excel/2006/main">
          <x14:cfRule type="dataBar" id="{A657001D-6059-9F4B-9A38-6B4D522C3C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E2:E5</xm:sqref>
        </x14:conditionalFormatting>
        <x14:conditionalFormatting xmlns:xm="http://schemas.microsoft.com/office/excel/2006/main">
          <x14:cfRule type="dataBar" id="{52BAD4C2-05A9-074E-8DE3-321A39984B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F2:F5</xm:sqref>
        </x14:conditionalFormatting>
        <x14:conditionalFormatting xmlns:xm="http://schemas.microsoft.com/office/excel/2006/main">
          <x14:cfRule type="dataBar" id="{D21CCE36-F167-D047-813F-3EA33BBC8F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G2:G5</xm:sqref>
        </x14:conditionalFormatting>
        <x14:conditionalFormatting xmlns:xm="http://schemas.microsoft.com/office/excel/2006/main">
          <x14:cfRule type="dataBar" id="{85407800-6F7C-FC4E-BC00-17A60C9156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I2:I4</xm:sqref>
        </x14:conditionalFormatting>
        <x14:conditionalFormatting xmlns:xm="http://schemas.microsoft.com/office/excel/2006/main">
          <x14:cfRule type="dataBar" id="{2F4933C1-3EAC-064A-9D4C-8E5E73DAB17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J2:J4</xm:sqref>
        </x14:conditionalFormatting>
        <x14:conditionalFormatting xmlns:xm="http://schemas.microsoft.com/office/excel/2006/main">
          <x14:cfRule type="dataBar" id="{FC74657B-2948-554D-8254-EF98FA60E2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K2:L4</xm:sqref>
        </x14:conditionalFormatting>
        <x14:conditionalFormatting xmlns:xm="http://schemas.microsoft.com/office/excel/2006/main">
          <x14:cfRule type="dataBar" id="{E31E2533-123D-4142-A93D-C0BD017224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M2:M5</xm:sqref>
        </x14:conditionalFormatting>
        <x14:conditionalFormatting xmlns:xm="http://schemas.microsoft.com/office/excel/2006/main">
          <x14:cfRule type="dataBar" id="{2BE40732-CC30-F440-93DB-56263FBD8B3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N2:N5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Current</vt:lpstr>
      <vt:lpstr>Cars</vt:lpstr>
      <vt:lpstr>Car Payments</vt:lpstr>
      <vt:lpstr>Car Insurance</vt:lpstr>
      <vt:lpstr>Finances</vt:lpstr>
      <vt:lpstr>Home</vt:lpstr>
      <vt:lpstr>Finance Post Home</vt:lpstr>
      <vt:lpstr>Retirement</vt:lpstr>
      <vt:lpstr>Grad School</vt:lpstr>
      <vt:lpstr>Lexus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TASHRIF.APON@baruchmail.cuny.edu</dc:creator>
  <cp:lastModifiedBy>TASHRIF.APON@baruchmail.cuny.edu</cp:lastModifiedBy>
  <cp:lastPrinted>2024-01-09T01:33:58Z</cp:lastPrinted>
  <dcterms:created xsi:type="dcterms:W3CDTF">2023-12-22T23:17:57Z</dcterms:created>
  <dcterms:modified xsi:type="dcterms:W3CDTF">2024-01-22T05:11:57Z</dcterms:modified>
</cp:coreProperties>
</file>