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shrifapon/Desktop/"/>
    </mc:Choice>
  </mc:AlternateContent>
  <xr:revisionPtr revIDLastSave="0" documentId="13_ncr:1_{CE0819D1-2154-B149-AE91-349509BB9040}" xr6:coauthVersionLast="47" xr6:coauthVersionMax="47" xr10:uidLastSave="{00000000-0000-0000-0000-000000000000}"/>
  <bookViews>
    <workbookView xWindow="0" yWindow="760" windowWidth="30240" windowHeight="17180" activeTab="1" xr2:uid="{B2797D39-BD4D-A64D-A046-6BC8495C4F8F}"/>
  </bookViews>
  <sheets>
    <sheet name="Workout" sheetId="1" r:id="rId1"/>
    <sheet name="Weight" sheetId="2" r:id="rId2"/>
    <sheet name="Weight_Wor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B2" i="3"/>
  <c r="C2" i="3" s="1"/>
  <c r="O2" i="2"/>
  <c r="B33" i="2"/>
  <c r="E12" i="3" s="1"/>
  <c r="B22" i="2"/>
  <c r="B28" i="2" s="1"/>
  <c r="R2" i="2"/>
  <c r="Q2" i="2"/>
  <c r="P2" i="2"/>
  <c r="N2" i="2"/>
  <c r="M2" i="2"/>
  <c r="L2" i="2"/>
  <c r="E6" i="3" l="1"/>
  <c r="E7" i="3"/>
  <c r="E5" i="3"/>
  <c r="E2" i="3"/>
  <c r="E13" i="3"/>
  <c r="E3" i="3"/>
  <c r="E11" i="3"/>
  <c r="E10" i="3"/>
  <c r="E9" i="3"/>
  <c r="E8" i="3"/>
  <c r="E4" i="3"/>
  <c r="B27" i="2"/>
  <c r="G2" i="3"/>
  <c r="F2" i="3"/>
  <c r="H2" i="3"/>
  <c r="I2" i="3" s="1"/>
  <c r="J2" i="3" s="1"/>
  <c r="J4" i="2" s="1"/>
  <c r="K4" i="2" s="1"/>
  <c r="B30" i="2"/>
  <c r="B34" i="2" s="1"/>
  <c r="B3" i="3" l="1"/>
  <c r="C3" i="3" s="1"/>
  <c r="A2" i="2"/>
  <c r="G3" i="3" l="1"/>
  <c r="F3" i="3"/>
  <c r="I5" i="2"/>
  <c r="B8" i="2"/>
  <c r="C9" i="2"/>
  <c r="D10" i="2"/>
  <c r="E11" i="2"/>
  <c r="F12" i="2"/>
  <c r="G13" i="2"/>
  <c r="H14" i="2"/>
  <c r="I15" i="2"/>
  <c r="B4" i="2"/>
  <c r="I10" i="2"/>
  <c r="B13" i="2"/>
  <c r="D15" i="2"/>
  <c r="E5" i="2"/>
  <c r="G7" i="2"/>
  <c r="I9" i="2"/>
  <c r="B12" i="2"/>
  <c r="D14" i="2"/>
  <c r="G4" i="2"/>
  <c r="F5" i="2"/>
  <c r="H7" i="2"/>
  <c r="C12" i="2"/>
  <c r="E14" i="2"/>
  <c r="H4" i="2"/>
  <c r="H6" i="2"/>
  <c r="C11" i="2"/>
  <c r="E13" i="2"/>
  <c r="G15" i="2"/>
  <c r="C10" i="2"/>
  <c r="E12" i="2"/>
  <c r="G14" i="2"/>
  <c r="B7" i="2"/>
  <c r="C8" i="2"/>
  <c r="D9" i="2"/>
  <c r="E10" i="2"/>
  <c r="F11" i="2"/>
  <c r="G12" i="2"/>
  <c r="H13" i="2"/>
  <c r="I14" i="2"/>
  <c r="B6" i="2"/>
  <c r="C7" i="2"/>
  <c r="D8" i="2"/>
  <c r="E9" i="2"/>
  <c r="F10" i="2"/>
  <c r="G11" i="2"/>
  <c r="H12" i="2"/>
  <c r="I13" i="2"/>
  <c r="C4" i="2"/>
  <c r="B5" i="2"/>
  <c r="C6" i="2"/>
  <c r="D7" i="2"/>
  <c r="E8" i="2"/>
  <c r="F9" i="2"/>
  <c r="G10" i="2"/>
  <c r="H11" i="2"/>
  <c r="I12" i="2"/>
  <c r="B15" i="2"/>
  <c r="D4" i="2"/>
  <c r="C5" i="2"/>
  <c r="D6" i="2"/>
  <c r="E7" i="2"/>
  <c r="F8" i="2"/>
  <c r="G9" i="2"/>
  <c r="H10" i="2"/>
  <c r="I11" i="2"/>
  <c r="B14" i="2"/>
  <c r="C15" i="2"/>
  <c r="E4" i="2"/>
  <c r="D5" i="2"/>
  <c r="E6" i="2"/>
  <c r="F7" i="2"/>
  <c r="G8" i="2"/>
  <c r="H9" i="2"/>
  <c r="C14" i="2"/>
  <c r="F4" i="2"/>
  <c r="F6" i="2"/>
  <c r="H8" i="2"/>
  <c r="C13" i="2"/>
  <c r="E15" i="2"/>
  <c r="G6" i="2"/>
  <c r="I8" i="2"/>
  <c r="B11" i="2"/>
  <c r="D13" i="2"/>
  <c r="F15" i="2"/>
  <c r="G5" i="2"/>
  <c r="I7" i="2"/>
  <c r="B10" i="2"/>
  <c r="D12" i="2"/>
  <c r="F14" i="2"/>
  <c r="I4" i="2"/>
  <c r="H5" i="2"/>
  <c r="I6" i="2"/>
  <c r="B9" i="2"/>
  <c r="D11" i="2"/>
  <c r="F13" i="2"/>
  <c r="H15" i="2"/>
  <c r="H3" i="3" l="1"/>
  <c r="I3" i="3" s="1"/>
  <c r="B4" i="3" s="1"/>
  <c r="C4" i="3" s="1"/>
  <c r="F4" i="3" s="1"/>
  <c r="J3" i="3" l="1"/>
  <c r="J5" i="2" s="1"/>
  <c r="K5" i="2" s="1"/>
  <c r="G4" i="3"/>
  <c r="H4" i="3" s="1"/>
  <c r="I4" i="3" s="1"/>
  <c r="B5" i="3" s="1"/>
  <c r="C5" i="3" s="1"/>
  <c r="J4" i="3" l="1"/>
  <c r="J6" i="2" s="1"/>
  <c r="K6" i="2" s="1"/>
  <c r="F5" i="3"/>
  <c r="G5" i="3"/>
  <c r="H5" i="3" l="1"/>
  <c r="I5" i="3" l="1"/>
  <c r="J5" i="3" l="1"/>
  <c r="J7" i="2" s="1"/>
  <c r="K7" i="2" s="1"/>
  <c r="B6" i="3"/>
  <c r="C6" i="3" s="1"/>
  <c r="G6" i="3" l="1"/>
  <c r="F6" i="3"/>
  <c r="H6" i="3" l="1"/>
  <c r="I6" i="3" s="1"/>
  <c r="B7" i="3" s="1"/>
  <c r="C7" i="3" s="1"/>
  <c r="J6" i="3" l="1"/>
  <c r="J8" i="2" s="1"/>
  <c r="K8" i="2" s="1"/>
  <c r="G7" i="3"/>
  <c r="F7" i="3"/>
  <c r="H7" i="3" l="1"/>
  <c r="I7" i="3" s="1"/>
  <c r="J7" i="3" s="1"/>
  <c r="J9" i="2" s="1"/>
  <c r="K9" i="2" s="1"/>
  <c r="B8" i="3" l="1"/>
  <c r="C8" i="3" s="1"/>
  <c r="F8" i="3" l="1"/>
  <c r="G8" i="3"/>
  <c r="H8" i="3" l="1"/>
  <c r="I8" i="3" s="1"/>
  <c r="J8" i="3" l="1"/>
  <c r="J10" i="2" s="1"/>
  <c r="K10" i="2" s="1"/>
  <c r="B9" i="3"/>
  <c r="C9" i="3" s="1"/>
  <c r="F9" i="3" l="1"/>
  <c r="G9" i="3"/>
  <c r="H9" i="3" l="1"/>
  <c r="I9" i="3" s="1"/>
  <c r="J9" i="3" s="1"/>
  <c r="J11" i="2" s="1"/>
  <c r="K11" i="2" s="1"/>
  <c r="B10" i="3" l="1"/>
  <c r="C10" i="3" s="1"/>
  <c r="F10" i="3" s="1"/>
  <c r="G10" i="3" l="1"/>
  <c r="H10" i="3" s="1"/>
  <c r="I10" i="3" s="1"/>
  <c r="J10" i="3" s="1"/>
  <c r="J12" i="2" s="1"/>
  <c r="K12" i="2" s="1"/>
  <c r="B11" i="3" l="1"/>
  <c r="C11" i="3" s="1"/>
  <c r="F11" i="3" l="1"/>
  <c r="G11" i="3"/>
  <c r="H11" i="3" l="1"/>
  <c r="I11" i="3" s="1"/>
  <c r="J11" i="3" s="1"/>
  <c r="J13" i="2" s="1"/>
  <c r="K13" i="2" s="1"/>
  <c r="B12" i="3" l="1"/>
  <c r="C12" i="3" l="1"/>
  <c r="F12" i="3" l="1"/>
  <c r="G12" i="3"/>
  <c r="H12" i="3" l="1"/>
  <c r="I12" i="3" s="1"/>
  <c r="J12" i="3" s="1"/>
  <c r="J14" i="2" s="1"/>
  <c r="K14" i="2" s="1"/>
  <c r="B13" i="3" l="1"/>
  <c r="C13" i="3" l="1"/>
  <c r="F13" i="3" l="1"/>
  <c r="G13" i="3"/>
  <c r="H13" i="3" l="1"/>
  <c r="I13" i="3" s="1"/>
  <c r="J13" i="3" s="1"/>
  <c r="J15" i="2" s="1"/>
  <c r="K15" i="2" s="1"/>
</calcChain>
</file>

<file path=xl/sharedStrings.xml><?xml version="1.0" encoding="utf-8"?>
<sst xmlns="http://schemas.openxmlformats.org/spreadsheetml/2006/main" count="79" uniqueCount="61">
  <si>
    <t>Monday</t>
  </si>
  <si>
    <t>Push-Ups</t>
  </si>
  <si>
    <t>Pull-Ups</t>
  </si>
  <si>
    <t>Tuesday</t>
  </si>
  <si>
    <t>Plank</t>
  </si>
  <si>
    <t>Crunches</t>
  </si>
  <si>
    <t>Heel-Taps</t>
  </si>
  <si>
    <t>Bottle</t>
  </si>
  <si>
    <t>Run</t>
  </si>
  <si>
    <t>Wednesday</t>
  </si>
  <si>
    <t>Calves</t>
  </si>
  <si>
    <t>Lunges</t>
  </si>
  <si>
    <t>Thursday</t>
  </si>
  <si>
    <t>Friday</t>
  </si>
  <si>
    <t>REST</t>
  </si>
  <si>
    <t>Saturday</t>
  </si>
  <si>
    <t>Sunday</t>
  </si>
  <si>
    <t>Shoulders</t>
  </si>
  <si>
    <t>Run/Bike</t>
  </si>
  <si>
    <t>Chin-Ups</t>
  </si>
  <si>
    <t>Weight (in lbs)</t>
  </si>
  <si>
    <t>Weight (in kg)</t>
  </si>
  <si>
    <t>Height (ft in cell B19, inches in cell C19)</t>
  </si>
  <si>
    <t>Height (in cm)</t>
  </si>
  <si>
    <t>Gender (M/F)</t>
  </si>
  <si>
    <t>Mifflin-St Jeor Equation</t>
  </si>
  <si>
    <t>M</t>
  </si>
  <si>
    <t>Age</t>
  </si>
  <si>
    <t>Average of Equations</t>
  </si>
  <si>
    <t>BMR</t>
  </si>
  <si>
    <t>Sedentary/Little-to-no Exercise</t>
  </si>
  <si>
    <t>Light: Exercise 1-3 times per week</t>
  </si>
  <si>
    <t>Moderate: Exercise 4-5 times per week</t>
  </si>
  <si>
    <t>Active: Daily Exercise or intense exercise 3-4 times per week</t>
  </si>
  <si>
    <t>Very Active: Intense Exercise 6-7 times per week</t>
  </si>
  <si>
    <t>Extra Active: very intense exercise daily or physical job</t>
  </si>
  <si>
    <t>Activity Level</t>
  </si>
  <si>
    <t>Total Daily Calorie Estimate</t>
  </si>
  <si>
    <t>Calories Consumed</t>
  </si>
  <si>
    <t>Custom Calories Consumed</t>
  </si>
  <si>
    <r>
      <t>Exercise:</t>
    </r>
    <r>
      <rPr>
        <sz val="12"/>
        <color theme="1"/>
        <rFont val="Calibri"/>
        <family val="2"/>
        <scheme val="minor"/>
      </rPr>
      <t xml:space="preserve"> 15-30 minutes of elevated heart rate activity.</t>
    </r>
  </si>
  <si>
    <r>
      <t>Intense exercise:</t>
    </r>
    <r>
      <rPr>
        <sz val="12"/>
        <color theme="1"/>
        <rFont val="Calibri"/>
        <family val="2"/>
        <scheme val="minor"/>
      </rPr>
      <t xml:space="preserve"> 45-120 minutes of elevated heart rate activity.</t>
    </r>
  </si>
  <si>
    <r>
      <t>Very intense exercise:</t>
    </r>
    <r>
      <rPr>
        <sz val="12"/>
        <color theme="1"/>
        <rFont val="Calibri"/>
        <family val="2"/>
        <scheme val="minor"/>
      </rPr>
      <t xml:space="preserve"> 2+ hours of elevated heart rate activity.</t>
    </r>
  </si>
  <si>
    <t xml:space="preserve"> </t>
  </si>
  <si>
    <t>Fill In Information in Light-Green Highlighted Cells</t>
  </si>
  <si>
    <t>Source</t>
  </si>
  <si>
    <t>https://www.calculator.net/calorie-calculator.html?</t>
  </si>
  <si>
    <t>Rate</t>
  </si>
  <si>
    <t>Revised Harris-Benedict Equation</t>
  </si>
  <si>
    <t>TDEE</t>
  </si>
  <si>
    <t>Week</t>
  </si>
  <si>
    <t>Weight Loss @ End of Week</t>
  </si>
  <si>
    <t>Total Weight Loss</t>
  </si>
  <si>
    <t>Start Weight (lbs)</t>
  </si>
  <si>
    <t>Start Weight (kg)</t>
  </si>
  <si>
    <t>Total Weight Loss at end of Week</t>
  </si>
  <si>
    <t>Weight at end of Week</t>
  </si>
  <si>
    <t>Week 1 (1/17 - 1/23)</t>
  </si>
  <si>
    <t>2*5, 9</t>
  </si>
  <si>
    <t>2*25</t>
  </si>
  <si>
    <t>2*15s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</si>
</sst>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0" fillId="0" borderId="2" xfId="0" applyBorder="1"/>
    <xf numFmtId="0" fontId="0" fillId="0" borderId="1" xfId="0" applyBorder="1"/>
    <xf numFmtId="0" fontId="0" fillId="3" borderId="1" xfId="0" applyFill="1" applyBorder="1"/>
    <xf numFmtId="2" fontId="0" fillId="0" borderId="1" xfId="0" applyNumberFormat="1" applyBorder="1"/>
    <xf numFmtId="165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2" fillId="4" borderId="1" xfId="0" applyFont="1" applyFill="1" applyBorder="1"/>
    <xf numFmtId="2" fontId="0" fillId="0" borderId="0" xfId="0" applyNumberFormat="1"/>
    <xf numFmtId="0" fontId="3" fillId="0" borderId="0" xfId="1"/>
    <xf numFmtId="0" fontId="2" fillId="2" borderId="1" xfId="0" applyFont="1" applyFill="1" applyBorder="1"/>
    <xf numFmtId="2" fontId="0" fillId="2" borderId="1" xfId="0" applyNumberForma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2" fillId="2" borderId="1" xfId="0" applyNumberFormat="1" applyFont="1" applyFill="1" applyBorder="1"/>
    <xf numFmtId="2" fontId="0" fillId="0" borderId="2" xfId="0" applyNumberFormat="1" applyBorder="1"/>
    <xf numFmtId="0" fontId="2" fillId="5" borderId="1" xfId="0" applyFont="1" applyFill="1" applyBorder="1"/>
    <xf numFmtId="165" fontId="0" fillId="0" borderId="2" xfId="0" applyNumberFormat="1" applyBorder="1"/>
    <xf numFmtId="165" fontId="0" fillId="2" borderId="1" xfId="0" applyNumberFormat="1" applyFill="1" applyBorder="1"/>
    <xf numFmtId="0" fontId="0" fillId="4" borderId="1" xfId="0" applyFill="1" applyBorder="1"/>
    <xf numFmtId="0" fontId="2" fillId="5" borderId="1" xfId="0" applyFont="1" applyFill="1" applyBorder="1" applyAlignment="1">
      <alignment horizontal="center"/>
    </xf>
    <xf numFmtId="2" fontId="2" fillId="0" borderId="2" xfId="0" applyNumberFormat="1" applyFont="1" applyBorder="1"/>
    <xf numFmtId="165" fontId="2" fillId="0" borderId="2" xfId="0" applyNumberFormat="1" applyFont="1" applyBorder="1"/>
    <xf numFmtId="0" fontId="0" fillId="4" borderId="3" xfId="0" applyFill="1" applyBorder="1"/>
    <xf numFmtId="0" fontId="2" fillId="2" borderId="4" xfId="0" applyFont="1" applyFill="1" applyBorder="1"/>
    <xf numFmtId="165" fontId="2" fillId="2" borderId="1" xfId="0" applyNumberFormat="1" applyFont="1" applyFill="1" applyBorder="1"/>
    <xf numFmtId="0" fontId="2" fillId="0" borderId="3" xfId="0" applyFont="1" applyBorder="1"/>
    <xf numFmtId="1" fontId="2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lculator.net/calorie-calculator.html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C2B6-77C8-C149-8580-8368901CD51E}">
  <dimension ref="A1:C32"/>
  <sheetViews>
    <sheetView workbookViewId="0">
      <selection activeCell="C8" sqref="C8"/>
    </sheetView>
  </sheetViews>
  <sheetFormatPr baseColWidth="10" defaultRowHeight="16" x14ac:dyDescent="0.2"/>
  <cols>
    <col min="2" max="2" width="32.5" customWidth="1"/>
    <col min="3" max="3" width="21.6640625" customWidth="1"/>
  </cols>
  <sheetData>
    <row r="1" spans="1:3" ht="17" x14ac:dyDescent="0.2">
      <c r="A1" s="2"/>
      <c r="C1" s="1" t="s">
        <v>57</v>
      </c>
    </row>
    <row r="2" spans="1:3" x14ac:dyDescent="0.2">
      <c r="A2" t="s">
        <v>9</v>
      </c>
      <c r="B2" t="s">
        <v>1</v>
      </c>
      <c r="C2" t="s">
        <v>58</v>
      </c>
    </row>
    <row r="3" spans="1:3" x14ac:dyDescent="0.2">
      <c r="B3" t="s">
        <v>19</v>
      </c>
    </row>
    <row r="4" spans="1:3" x14ac:dyDescent="0.2">
      <c r="B4" t="s">
        <v>2</v>
      </c>
    </row>
    <row r="5" spans="1:3" x14ac:dyDescent="0.2">
      <c r="B5" t="s">
        <v>17</v>
      </c>
    </row>
    <row r="6" spans="1:3" x14ac:dyDescent="0.2">
      <c r="B6" t="s">
        <v>10</v>
      </c>
      <c r="C6" t="s">
        <v>59</v>
      </c>
    </row>
    <row r="7" spans="1:3" x14ac:dyDescent="0.2">
      <c r="B7" t="s">
        <v>11</v>
      </c>
      <c r="C7" t="s">
        <v>60</v>
      </c>
    </row>
    <row r="9" spans="1:3" x14ac:dyDescent="0.2">
      <c r="A9" t="s">
        <v>12</v>
      </c>
      <c r="B9" t="s">
        <v>8</v>
      </c>
    </row>
    <row r="10" spans="1:3" x14ac:dyDescent="0.2">
      <c r="B10" t="s">
        <v>10</v>
      </c>
    </row>
    <row r="11" spans="1:3" x14ac:dyDescent="0.2">
      <c r="B11" t="s">
        <v>11</v>
      </c>
    </row>
    <row r="13" spans="1:3" x14ac:dyDescent="0.2">
      <c r="A13" t="s">
        <v>13</v>
      </c>
      <c r="B13" t="s">
        <v>14</v>
      </c>
    </row>
    <row r="15" spans="1:3" x14ac:dyDescent="0.2">
      <c r="A15" t="s">
        <v>15</v>
      </c>
      <c r="B15" t="s">
        <v>8</v>
      </c>
    </row>
    <row r="16" spans="1:3" x14ac:dyDescent="0.2">
      <c r="B16" t="s">
        <v>1</v>
      </c>
    </row>
    <row r="17" spans="1:2" x14ac:dyDescent="0.2">
      <c r="B17" t="s">
        <v>19</v>
      </c>
    </row>
    <row r="18" spans="1:2" x14ac:dyDescent="0.2">
      <c r="B18" t="s">
        <v>2</v>
      </c>
    </row>
    <row r="19" spans="1:2" x14ac:dyDescent="0.2">
      <c r="B19" t="s">
        <v>17</v>
      </c>
    </row>
    <row r="21" spans="1:2" x14ac:dyDescent="0.2">
      <c r="A21" t="s">
        <v>16</v>
      </c>
      <c r="B21" t="s">
        <v>18</v>
      </c>
    </row>
    <row r="23" spans="1:2" x14ac:dyDescent="0.2">
      <c r="A23" t="s">
        <v>0</v>
      </c>
      <c r="B23" t="s">
        <v>1</v>
      </c>
    </row>
    <row r="24" spans="1:2" x14ac:dyDescent="0.2">
      <c r="B24" t="s">
        <v>2</v>
      </c>
    </row>
    <row r="25" spans="1:2" x14ac:dyDescent="0.2">
      <c r="B25" t="s">
        <v>19</v>
      </c>
    </row>
    <row r="26" spans="1:2" x14ac:dyDescent="0.2">
      <c r="B26" t="s">
        <v>17</v>
      </c>
    </row>
    <row r="28" spans="1:2" x14ac:dyDescent="0.2">
      <c r="A28" t="s">
        <v>3</v>
      </c>
      <c r="B28" t="s">
        <v>4</v>
      </c>
    </row>
    <row r="29" spans="1:2" x14ac:dyDescent="0.2">
      <c r="B29" t="s">
        <v>5</v>
      </c>
    </row>
    <row r="30" spans="1:2" x14ac:dyDescent="0.2">
      <c r="B30" t="s">
        <v>6</v>
      </c>
    </row>
    <row r="31" spans="1:2" x14ac:dyDescent="0.2">
      <c r="B31" t="s">
        <v>7</v>
      </c>
    </row>
    <row r="32" spans="1:2" x14ac:dyDescent="0.2">
      <c r="B3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2F2F-DADA-AE4F-A958-1BFD51EF6A19}">
  <dimension ref="A1:T39"/>
  <sheetViews>
    <sheetView tabSelected="1" workbookViewId="0">
      <selection activeCell="F23" sqref="F23"/>
    </sheetView>
  </sheetViews>
  <sheetFormatPr baseColWidth="10" defaultRowHeight="16" x14ac:dyDescent="0.2"/>
  <cols>
    <col min="1" max="1" width="34.33203125" bestFit="1" customWidth="1"/>
    <col min="2" max="2" width="51.6640625" bestFit="1" customWidth="1"/>
    <col min="10" max="10" width="29.33203125" bestFit="1" customWidth="1"/>
    <col min="11" max="11" width="23.6640625" customWidth="1"/>
    <col min="12" max="12" width="0" hidden="1" customWidth="1"/>
    <col min="13" max="13" width="27" hidden="1" customWidth="1"/>
    <col min="14" max="14" width="29.6640625" hidden="1" customWidth="1"/>
    <col min="15" max="15" width="33.83203125" hidden="1" customWidth="1"/>
    <col min="16" max="16" width="51.6640625" hidden="1" customWidth="1"/>
    <col min="17" max="17" width="41.6640625" hidden="1" customWidth="1"/>
    <col min="18" max="18" width="46.33203125" hidden="1" customWidth="1"/>
  </cols>
  <sheetData>
    <row r="1" spans="1:20" x14ac:dyDescent="0.2">
      <c r="A1" s="10" t="s">
        <v>37</v>
      </c>
      <c r="B1" s="10" t="s">
        <v>38</v>
      </c>
      <c r="J1" s="21" t="s">
        <v>39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</row>
    <row r="2" spans="1:20" x14ac:dyDescent="0.2">
      <c r="A2" s="32">
        <f>B34</f>
        <v>2692.4898817066942</v>
      </c>
      <c r="B2" s="31">
        <v>500</v>
      </c>
      <c r="C2" s="10">
        <v>750</v>
      </c>
      <c r="D2" s="10">
        <v>1000</v>
      </c>
      <c r="E2" s="10">
        <v>1250</v>
      </c>
      <c r="F2" s="10">
        <v>1500</v>
      </c>
      <c r="G2" s="10">
        <v>1750</v>
      </c>
      <c r="H2" s="10">
        <v>2000</v>
      </c>
      <c r="I2" s="10">
        <v>2250</v>
      </c>
      <c r="J2" s="25">
        <v>1000</v>
      </c>
      <c r="L2">
        <f>1819/1876</f>
        <v>0.96961620469083154</v>
      </c>
      <c r="M2">
        <f>2183/1876</f>
        <v>1.1636460554371002</v>
      </c>
      <c r="N2">
        <f>2501/1876</f>
        <v>1.3331556503198294</v>
      </c>
      <c r="O2">
        <f>2665/1876</f>
        <v>1.4205756929637527</v>
      </c>
      <c r="P2">
        <f>2820/1876</f>
        <v>1.5031982942430704</v>
      </c>
      <c r="Q2">
        <f>3138/1876</f>
        <v>1.6727078891257996</v>
      </c>
      <c r="R2">
        <f>3456/1876</f>
        <v>1.8422174840085288</v>
      </c>
    </row>
    <row r="3" spans="1:20" x14ac:dyDescent="0.2">
      <c r="B3" s="5"/>
      <c r="C3" s="5"/>
      <c r="D3" s="5"/>
      <c r="E3" s="5"/>
      <c r="F3" s="5"/>
      <c r="G3" s="5"/>
      <c r="H3" s="5"/>
      <c r="I3" s="5"/>
      <c r="J3" s="28" t="s">
        <v>55</v>
      </c>
      <c r="K3" s="24" t="s">
        <v>56</v>
      </c>
    </row>
    <row r="4" spans="1:20" x14ac:dyDescent="0.2">
      <c r="A4" s="4">
        <v>1</v>
      </c>
      <c r="B4" s="26">
        <f>(($A$2-B$2)/500)*$A4</f>
        <v>4.384979763413388</v>
      </c>
      <c r="C4" s="26">
        <f t="shared" ref="C4:I15" si="0">(($A$2-C$2)/500)*$A4</f>
        <v>3.8849797634133885</v>
      </c>
      <c r="D4" s="26">
        <f t="shared" si="0"/>
        <v>3.3849797634133885</v>
      </c>
      <c r="E4" s="26">
        <f t="shared" si="0"/>
        <v>2.8849797634133885</v>
      </c>
      <c r="F4" s="26">
        <f t="shared" si="0"/>
        <v>2.3849797634133885</v>
      </c>
      <c r="G4" s="26">
        <f t="shared" si="0"/>
        <v>1.8849797634133885</v>
      </c>
      <c r="H4" s="26">
        <f t="shared" si="0"/>
        <v>1.3849797634133885</v>
      </c>
      <c r="I4" s="26">
        <f t="shared" si="0"/>
        <v>0.88497976341338835</v>
      </c>
      <c r="J4" s="26">
        <f>Weight_Work!J2</f>
        <v>3.3849797634133885</v>
      </c>
      <c r="K4" s="27">
        <f>$B$18-J4</f>
        <v>190.21502023658661</v>
      </c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>
        <v>2</v>
      </c>
      <c r="B5" s="20">
        <f t="shared" ref="B5:B15" si="1">(($A$2-B$2)/500)*$A5</f>
        <v>8.769959526826776</v>
      </c>
      <c r="C5" s="20">
        <f t="shared" si="0"/>
        <v>7.7699595268267769</v>
      </c>
      <c r="D5" s="20">
        <f t="shared" si="0"/>
        <v>6.7699595268267769</v>
      </c>
      <c r="E5" s="20">
        <f t="shared" si="0"/>
        <v>5.7699595268267769</v>
      </c>
      <c r="F5" s="20">
        <f t="shared" si="0"/>
        <v>4.7699595268267769</v>
      </c>
      <c r="G5" s="20">
        <f t="shared" si="0"/>
        <v>3.7699595268267769</v>
      </c>
      <c r="H5" s="20">
        <f t="shared" si="0"/>
        <v>2.7699595268267769</v>
      </c>
      <c r="I5" s="20">
        <f t="shared" si="0"/>
        <v>1.7699595268267767</v>
      </c>
      <c r="J5" s="20">
        <f>Weight_Work!J3</f>
        <v>6.7186353999283037</v>
      </c>
      <c r="K5" s="22">
        <f t="shared" ref="K5:K15" si="2">$B$18-J5</f>
        <v>186.88136460007169</v>
      </c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>
        <v>3</v>
      </c>
      <c r="B6" s="20">
        <f t="shared" si="1"/>
        <v>13.154939290240165</v>
      </c>
      <c r="C6" s="20">
        <f t="shared" si="0"/>
        <v>11.654939290240165</v>
      </c>
      <c r="D6" s="20">
        <f t="shared" si="0"/>
        <v>10.154939290240165</v>
      </c>
      <c r="E6" s="20">
        <f t="shared" si="0"/>
        <v>8.654939290240165</v>
      </c>
      <c r="F6" s="20">
        <f t="shared" si="0"/>
        <v>7.154939290240165</v>
      </c>
      <c r="G6" s="20">
        <f t="shared" si="0"/>
        <v>5.654939290240165</v>
      </c>
      <c r="H6" s="20">
        <f t="shared" si="0"/>
        <v>4.154939290240165</v>
      </c>
      <c r="I6" s="20">
        <f t="shared" si="0"/>
        <v>2.654939290240165</v>
      </c>
      <c r="J6" s="20">
        <f>Weight_Work!J4</f>
        <v>10.001740679504566</v>
      </c>
      <c r="K6" s="22">
        <f t="shared" si="2"/>
        <v>183.59825932049543</v>
      </c>
      <c r="L6" s="3"/>
      <c r="M6" s="3"/>
      <c r="N6" s="3"/>
      <c r="O6" s="3"/>
      <c r="P6" s="3"/>
    </row>
    <row r="7" spans="1:20" x14ac:dyDescent="0.2">
      <c r="A7" s="29">
        <v>4</v>
      </c>
      <c r="B7" s="19">
        <f t="shared" si="1"/>
        <v>17.539919053653552</v>
      </c>
      <c r="C7" s="19">
        <f t="shared" si="0"/>
        <v>15.539919053653554</v>
      </c>
      <c r="D7" s="19">
        <f t="shared" si="0"/>
        <v>13.539919053653554</v>
      </c>
      <c r="E7" s="19">
        <f t="shared" si="0"/>
        <v>11.539919053653554</v>
      </c>
      <c r="F7" s="19">
        <f t="shared" si="0"/>
        <v>9.5399190536535539</v>
      </c>
      <c r="G7" s="19">
        <f t="shared" si="0"/>
        <v>7.5399190536535539</v>
      </c>
      <c r="H7" s="19">
        <f t="shared" si="0"/>
        <v>5.5399190536535539</v>
      </c>
      <c r="I7" s="19">
        <f t="shared" si="0"/>
        <v>3.5399190536535534</v>
      </c>
      <c r="J7" s="19">
        <f>Weight_Work!J5</f>
        <v>13.235057706634176</v>
      </c>
      <c r="K7" s="30">
        <f t="shared" si="2"/>
        <v>180.36494229336583</v>
      </c>
      <c r="L7" s="3"/>
      <c r="M7" s="3"/>
      <c r="N7" s="3"/>
      <c r="O7" s="3"/>
      <c r="P7" s="3"/>
    </row>
    <row r="8" spans="1:20" x14ac:dyDescent="0.2">
      <c r="A8">
        <v>5</v>
      </c>
      <c r="B8" s="20">
        <f t="shared" si="1"/>
        <v>21.924898817066939</v>
      </c>
      <c r="C8" s="20">
        <f t="shared" si="0"/>
        <v>19.424898817066943</v>
      </c>
      <c r="D8" s="20">
        <f t="shared" si="0"/>
        <v>16.924898817066943</v>
      </c>
      <c r="E8" s="20">
        <f t="shared" si="0"/>
        <v>14.424898817066943</v>
      </c>
      <c r="F8" s="20">
        <f t="shared" si="0"/>
        <v>11.924898817066943</v>
      </c>
      <c r="G8" s="20">
        <f t="shared" si="0"/>
        <v>9.4248988170669428</v>
      </c>
      <c r="H8" s="20">
        <f t="shared" si="0"/>
        <v>6.9248988170669428</v>
      </c>
      <c r="I8" s="20">
        <f t="shared" si="0"/>
        <v>4.4248988170669419</v>
      </c>
      <c r="J8" s="20">
        <f>Weight_Work!J6</f>
        <v>16.419337096211596</v>
      </c>
      <c r="K8" s="22">
        <f t="shared" si="2"/>
        <v>177.1806629037884</v>
      </c>
      <c r="L8" s="3"/>
      <c r="M8" s="3"/>
      <c r="N8" s="3"/>
      <c r="O8" s="3"/>
      <c r="P8" s="3"/>
    </row>
    <row r="9" spans="1:20" x14ac:dyDescent="0.2">
      <c r="A9">
        <v>6</v>
      </c>
      <c r="B9" s="20">
        <f t="shared" si="1"/>
        <v>26.30987858048033</v>
      </c>
      <c r="C9" s="20">
        <f t="shared" si="0"/>
        <v>23.30987858048033</v>
      </c>
      <c r="D9" s="20">
        <f t="shared" si="0"/>
        <v>20.30987858048033</v>
      </c>
      <c r="E9" s="20">
        <f t="shared" si="0"/>
        <v>17.30987858048033</v>
      </c>
      <c r="F9" s="20">
        <f t="shared" si="0"/>
        <v>14.30987858048033</v>
      </c>
      <c r="G9" s="20">
        <f t="shared" si="0"/>
        <v>11.30987858048033</v>
      </c>
      <c r="H9" s="20">
        <f t="shared" si="0"/>
        <v>8.3098785804803299</v>
      </c>
      <c r="I9" s="20">
        <f t="shared" si="0"/>
        <v>5.3098785804803299</v>
      </c>
      <c r="J9" s="20">
        <f>Weight_Work!J7</f>
        <v>19.555318146752576</v>
      </c>
      <c r="K9" s="22">
        <f t="shared" si="2"/>
        <v>174.04468185324743</v>
      </c>
      <c r="L9" s="3"/>
      <c r="M9" s="3"/>
      <c r="N9" s="3"/>
      <c r="O9" s="3"/>
      <c r="P9" s="3"/>
    </row>
    <row r="10" spans="1:20" x14ac:dyDescent="0.2">
      <c r="A10">
        <v>7</v>
      </c>
      <c r="B10" s="20">
        <f t="shared" si="1"/>
        <v>30.694858343893717</v>
      </c>
      <c r="C10" s="20">
        <f t="shared" si="0"/>
        <v>27.194858343893721</v>
      </c>
      <c r="D10" s="20">
        <f t="shared" si="0"/>
        <v>23.694858343893721</v>
      </c>
      <c r="E10" s="20">
        <f t="shared" si="0"/>
        <v>20.194858343893721</v>
      </c>
      <c r="F10" s="20">
        <f t="shared" si="0"/>
        <v>16.694858343893721</v>
      </c>
      <c r="G10" s="20">
        <f t="shared" si="0"/>
        <v>13.194858343893719</v>
      </c>
      <c r="H10" s="20">
        <f t="shared" si="0"/>
        <v>9.6948583438937188</v>
      </c>
      <c r="I10" s="20">
        <f t="shared" si="0"/>
        <v>6.1948583438937188</v>
      </c>
      <c r="J10" s="20">
        <f>Weight_Work!J8</f>
        <v>22.643729011001529</v>
      </c>
      <c r="K10" s="22">
        <f t="shared" si="2"/>
        <v>170.95627098899845</v>
      </c>
      <c r="L10" s="3"/>
      <c r="M10" s="3"/>
      <c r="N10" s="3"/>
      <c r="O10" s="3"/>
      <c r="P10" s="3"/>
    </row>
    <row r="11" spans="1:20" x14ac:dyDescent="0.2">
      <c r="A11" s="29">
        <v>8</v>
      </c>
      <c r="B11" s="19">
        <f t="shared" si="1"/>
        <v>35.079838107307104</v>
      </c>
      <c r="C11" s="19">
        <f t="shared" si="0"/>
        <v>31.079838107307108</v>
      </c>
      <c r="D11" s="19">
        <f t="shared" si="0"/>
        <v>27.079838107307108</v>
      </c>
      <c r="E11" s="19">
        <f t="shared" si="0"/>
        <v>23.079838107307108</v>
      </c>
      <c r="F11" s="19">
        <f t="shared" si="0"/>
        <v>19.079838107307108</v>
      </c>
      <c r="G11" s="19">
        <f t="shared" si="0"/>
        <v>15.079838107307108</v>
      </c>
      <c r="H11" s="19">
        <f t="shared" si="0"/>
        <v>11.079838107307108</v>
      </c>
      <c r="I11" s="19">
        <f t="shared" si="0"/>
        <v>7.0798381073071068</v>
      </c>
      <c r="J11" s="19">
        <f>Weight_Work!J9</f>
        <v>25.685286863966788</v>
      </c>
      <c r="K11" s="30">
        <f t="shared" si="2"/>
        <v>167.91471313603321</v>
      </c>
      <c r="L11" s="3"/>
      <c r="M11" s="3"/>
      <c r="N11" s="3"/>
      <c r="O11" s="3"/>
      <c r="P11" s="3"/>
    </row>
    <row r="12" spans="1:20" x14ac:dyDescent="0.2">
      <c r="A12">
        <v>9</v>
      </c>
      <c r="B12" s="20">
        <f t="shared" si="1"/>
        <v>39.464817870720495</v>
      </c>
      <c r="C12" s="20">
        <f t="shared" si="0"/>
        <v>34.964817870720495</v>
      </c>
      <c r="D12" s="20">
        <f t="shared" si="0"/>
        <v>30.464817870720495</v>
      </c>
      <c r="E12" s="20">
        <f t="shared" si="0"/>
        <v>25.964817870720495</v>
      </c>
      <c r="F12" s="20">
        <f t="shared" si="0"/>
        <v>21.464817870720495</v>
      </c>
      <c r="G12" s="20">
        <f t="shared" si="0"/>
        <v>16.964817870720495</v>
      </c>
      <c r="H12" s="20">
        <f t="shared" si="0"/>
        <v>12.464817870720497</v>
      </c>
      <c r="I12" s="20">
        <f t="shared" si="0"/>
        <v>7.9648178707204949</v>
      </c>
      <c r="J12" s="20">
        <f>Weight_Work!J10</f>
        <v>28.680698068422526</v>
      </c>
      <c r="K12" s="22">
        <f t="shared" si="2"/>
        <v>164.91930193157748</v>
      </c>
      <c r="L12" s="3"/>
      <c r="M12" s="3"/>
      <c r="N12" s="3"/>
      <c r="O12" s="3"/>
      <c r="P12" s="3"/>
    </row>
    <row r="13" spans="1:20" x14ac:dyDescent="0.2">
      <c r="A13" s="29">
        <v>10</v>
      </c>
      <c r="B13" s="19">
        <f t="shared" si="1"/>
        <v>43.849797634133878</v>
      </c>
      <c r="C13" s="19">
        <f t="shared" si="0"/>
        <v>38.849797634133886</v>
      </c>
      <c r="D13" s="19">
        <f t="shared" si="0"/>
        <v>33.849797634133886</v>
      </c>
      <c r="E13" s="19">
        <f t="shared" si="0"/>
        <v>28.849797634133886</v>
      </c>
      <c r="F13" s="19">
        <f t="shared" si="0"/>
        <v>23.849797634133886</v>
      </c>
      <c r="G13" s="19">
        <f t="shared" si="0"/>
        <v>18.849797634133886</v>
      </c>
      <c r="H13" s="19">
        <f t="shared" si="0"/>
        <v>13.849797634133886</v>
      </c>
      <c r="I13" s="19">
        <f t="shared" si="0"/>
        <v>8.8497976341338838</v>
      </c>
      <c r="J13" s="19">
        <f>Weight_Work!J11</f>
        <v>31.630658337915591</v>
      </c>
      <c r="K13" s="30">
        <f>$B$18-J13</f>
        <v>161.96934166208439</v>
      </c>
      <c r="L13" s="3"/>
      <c r="M13" s="3"/>
      <c r="N13" s="3"/>
      <c r="O13" s="3"/>
      <c r="P13" s="3"/>
    </row>
    <row r="14" spans="1:20" x14ac:dyDescent="0.2">
      <c r="A14">
        <v>11</v>
      </c>
      <c r="B14" s="20">
        <f t="shared" si="1"/>
        <v>48.234777397547269</v>
      </c>
      <c r="C14" s="20">
        <f t="shared" si="0"/>
        <v>42.734777397547276</v>
      </c>
      <c r="D14" s="20">
        <f t="shared" si="0"/>
        <v>37.234777397547276</v>
      </c>
      <c r="E14" s="20">
        <f t="shared" si="0"/>
        <v>31.734777397547273</v>
      </c>
      <c r="F14" s="20">
        <f t="shared" si="0"/>
        <v>26.234777397547273</v>
      </c>
      <c r="G14" s="20">
        <f t="shared" si="0"/>
        <v>20.734777397547273</v>
      </c>
      <c r="H14" s="20">
        <f t="shared" si="0"/>
        <v>15.234777397547273</v>
      </c>
      <c r="I14" s="20">
        <f t="shared" si="0"/>
        <v>9.7347773975472727</v>
      </c>
      <c r="J14" s="20">
        <f>Weight_Work!J12</f>
        <v>34.535852897314768</v>
      </c>
      <c r="K14" s="22">
        <f t="shared" si="2"/>
        <v>159.06414710268524</v>
      </c>
      <c r="L14" s="3"/>
      <c r="M14" s="3"/>
      <c r="N14" s="3"/>
      <c r="O14" s="3"/>
      <c r="P14" s="3"/>
    </row>
    <row r="15" spans="1:20" x14ac:dyDescent="0.2">
      <c r="A15" s="29">
        <v>12</v>
      </c>
      <c r="B15" s="19">
        <f t="shared" si="1"/>
        <v>52.61975716096066</v>
      </c>
      <c r="C15" s="19">
        <f t="shared" si="0"/>
        <v>46.61975716096066</v>
      </c>
      <c r="D15" s="19">
        <f t="shared" si="0"/>
        <v>40.61975716096066</v>
      </c>
      <c r="E15" s="19">
        <f t="shared" si="0"/>
        <v>34.61975716096066</v>
      </c>
      <c r="F15" s="19">
        <f t="shared" si="0"/>
        <v>28.61975716096066</v>
      </c>
      <c r="G15" s="19">
        <f t="shared" si="0"/>
        <v>22.61975716096066</v>
      </c>
      <c r="H15" s="19">
        <f t="shared" si="0"/>
        <v>16.61975716096066</v>
      </c>
      <c r="I15" s="19">
        <f t="shared" si="0"/>
        <v>10.61975716096066</v>
      </c>
      <c r="J15" s="19">
        <f>Weight_Work!J13</f>
        <v>37.396956640939635</v>
      </c>
      <c r="K15" s="30">
        <f t="shared" si="2"/>
        <v>156.20304335906036</v>
      </c>
      <c r="L15" s="3"/>
      <c r="M15" s="3"/>
      <c r="N15" s="3"/>
      <c r="O15" s="3"/>
      <c r="P15" s="3"/>
    </row>
    <row r="17" spans="1:12" x14ac:dyDescent="0.2">
      <c r="B17" s="12" t="s">
        <v>44</v>
      </c>
    </row>
    <row r="18" spans="1:12" x14ac:dyDescent="0.2">
      <c r="A18" s="6" t="s">
        <v>20</v>
      </c>
      <c r="B18" s="7">
        <v>193.6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2">
      <c r="A19" s="6" t="s">
        <v>21</v>
      </c>
      <c r="B19" s="9">
        <f>B18*0.45359237</f>
        <v>87.815482832000001</v>
      </c>
    </row>
    <row r="21" spans="1:12" x14ac:dyDescent="0.2">
      <c r="A21" s="6" t="s">
        <v>22</v>
      </c>
      <c r="B21" s="7">
        <v>5</v>
      </c>
      <c r="C21" s="7">
        <v>7</v>
      </c>
    </row>
    <row r="22" spans="1:12" x14ac:dyDescent="0.2">
      <c r="A22" s="6" t="s">
        <v>23</v>
      </c>
      <c r="B22" s="9">
        <f>((B21*12)+C21)/0.3937079</f>
        <v>170.17692558366241</v>
      </c>
    </row>
    <row r="24" spans="1:12" x14ac:dyDescent="0.2">
      <c r="A24" s="6" t="s">
        <v>24</v>
      </c>
      <c r="B24" s="7" t="s">
        <v>26</v>
      </c>
    </row>
    <row r="25" spans="1:12" x14ac:dyDescent="0.2">
      <c r="A25" s="6" t="s">
        <v>27</v>
      </c>
      <c r="B25" s="7">
        <v>22.25</v>
      </c>
    </row>
    <row r="27" spans="1:12" x14ac:dyDescent="0.2">
      <c r="A27" s="10" t="s">
        <v>25</v>
      </c>
      <c r="B27" s="11">
        <f>10*B19+6.25*$B$22-5*$B$25+IF(B24="M", 5, -161)</f>
        <v>1835.5106132178901</v>
      </c>
    </row>
    <row r="28" spans="1:12" x14ac:dyDescent="0.2">
      <c r="A28" s="10" t="s">
        <v>48</v>
      </c>
      <c r="B28" s="11">
        <f>IF(B24="M", 13.397*B19 + 4.799*B22- 5.677*B25 + 88.362,9.247*B19 + 3.098*B22 - 4.33*B25 + 447.593)</f>
        <v>1955.1918393763001</v>
      </c>
    </row>
    <row r="30" spans="1:12" x14ac:dyDescent="0.2">
      <c r="A30" s="6" t="s">
        <v>28</v>
      </c>
      <c r="B30" s="11">
        <f>AVERAGE(B27:B28)</f>
        <v>1895.3512262970951</v>
      </c>
    </row>
    <row r="32" spans="1:12" x14ac:dyDescent="0.2">
      <c r="A32" s="6" t="s">
        <v>36</v>
      </c>
      <c r="B32" s="7" t="s">
        <v>32</v>
      </c>
      <c r="D32" s="4" t="s">
        <v>40</v>
      </c>
    </row>
    <row r="33" spans="1:6" x14ac:dyDescent="0.2">
      <c r="A33" s="6" t="s">
        <v>47</v>
      </c>
      <c r="B33" s="6">
        <f>IF(B32=M1, M2, IF(B32=N1, N2, IF(B32=O1, O2, IF(B32=P1, P2, IF(B32=Q1, Q2, IF(B32=R1, R2))))))</f>
        <v>1.4205756929637527</v>
      </c>
      <c r="D33" s="4" t="s">
        <v>41</v>
      </c>
    </row>
    <row r="34" spans="1:6" x14ac:dyDescent="0.2">
      <c r="A34" s="6" t="s">
        <v>37</v>
      </c>
      <c r="B34" s="11">
        <f>B30*IF(B32=L1, L2, IF(B32=M1, M2, IF(B32=N1, N2, IF(B32=O1, O2, IF(B32=P1, P2, IF(B32=Q1, Q2, IF(B32=R1, R2)))))))</f>
        <v>2692.4898817066942</v>
      </c>
      <c r="D34" s="4" t="s">
        <v>42</v>
      </c>
    </row>
    <row r="35" spans="1:6" x14ac:dyDescent="0.2">
      <c r="D35" s="4"/>
    </row>
    <row r="37" spans="1:6" x14ac:dyDescent="0.2">
      <c r="A37" t="s">
        <v>45</v>
      </c>
      <c r="B37" s="14" t="s">
        <v>46</v>
      </c>
    </row>
    <row r="39" spans="1:6" x14ac:dyDescent="0.2">
      <c r="F39" t="s">
        <v>43</v>
      </c>
    </row>
  </sheetData>
  <conditionalFormatting sqref="B4:J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{DCCDA6CA-50DB-8F47-9DE6-6D0716954D61}</x14:id>
        </ext>
      </extLst>
    </cfRule>
  </conditionalFormatting>
  <dataValidations count="1">
    <dataValidation type="list" allowBlank="1" showInputMessage="1" showErrorMessage="1" sqref="B32" xr:uid="{2046EC70-49F2-8B4B-B77E-E9750A106473}">
      <formula1>$L$1:$R$1</formula1>
    </dataValidation>
  </dataValidations>
  <hyperlinks>
    <hyperlink ref="B37" r:id="rId1" xr:uid="{54C5611E-CFDC-BE44-9CCB-D82482E46390}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CDA6CA-50DB-8F47-9DE6-6D0716954D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B4:J4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8A32-3608-3A44-92A7-E4809FA70D04}">
  <dimension ref="A1:J13"/>
  <sheetViews>
    <sheetView workbookViewId="0">
      <selection activeCell="I26" sqref="I26"/>
    </sheetView>
  </sheetViews>
  <sheetFormatPr baseColWidth="10" defaultRowHeight="16" x14ac:dyDescent="0.2"/>
  <cols>
    <col min="2" max="2" width="15.83203125" bestFit="1" customWidth="1"/>
    <col min="3" max="3" width="15.33203125" bestFit="1" customWidth="1"/>
    <col min="6" max="6" width="20.6640625" bestFit="1" customWidth="1"/>
    <col min="7" max="7" width="29.1640625" bestFit="1" customWidth="1"/>
    <col min="8" max="8" width="12.1640625" bestFit="1" customWidth="1"/>
    <col min="9" max="9" width="24.6640625" bestFit="1" customWidth="1"/>
    <col min="10" max="10" width="15.83203125" bestFit="1" customWidth="1"/>
  </cols>
  <sheetData>
    <row r="1" spans="1:10" x14ac:dyDescent="0.2">
      <c r="A1" s="10" t="s">
        <v>50</v>
      </c>
      <c r="B1" s="10" t="s">
        <v>53</v>
      </c>
      <c r="C1" s="10" t="s">
        <v>54</v>
      </c>
      <c r="D1" s="10" t="s">
        <v>27</v>
      </c>
      <c r="E1" s="10" t="s">
        <v>47</v>
      </c>
      <c r="F1" s="10" t="s">
        <v>25</v>
      </c>
      <c r="G1" s="10" t="s">
        <v>48</v>
      </c>
      <c r="H1" s="10" t="s">
        <v>49</v>
      </c>
      <c r="I1" s="10" t="s">
        <v>51</v>
      </c>
      <c r="J1" s="10" t="s">
        <v>52</v>
      </c>
    </row>
    <row r="2" spans="1:10" x14ac:dyDescent="0.2">
      <c r="A2" s="10">
        <v>1</v>
      </c>
      <c r="B2" s="9">
        <f>Weight!B18</f>
        <v>193.6</v>
      </c>
      <c r="C2" s="9">
        <f>0.45359237*B2</f>
        <v>87.815482832000001</v>
      </c>
      <c r="D2" s="8">
        <f>Weight!B25</f>
        <v>22.25</v>
      </c>
      <c r="E2" s="6">
        <f>Weight!$B$33</f>
        <v>1.4205756929637527</v>
      </c>
      <c r="F2" s="11">
        <f>10*C2+6.25*Weight!$B$22-5*D2+IF(Weight!$B$24="M", 5, -161)</f>
        <v>1835.5106132178901</v>
      </c>
      <c r="G2" s="11">
        <f>IF(Weight!$B$24="M", 13.397*C2 + 4.799*(Weight!$B$22)- 5.677*D2+ 88.362,9.247*C2 + 3.098*(Weight!$B$22) - 4.33*D2 + 447.593)</f>
        <v>1955.1918393763001</v>
      </c>
      <c r="H2" s="11">
        <f>E2*AVERAGE(F2,G2)</f>
        <v>2692.4898817066942</v>
      </c>
      <c r="I2" s="8">
        <f>(H2-Weight!$J$2)/500</f>
        <v>3.3849797634133885</v>
      </c>
      <c r="J2" s="8">
        <f>SUM($I$2:I2)</f>
        <v>3.3849797634133885</v>
      </c>
    </row>
    <row r="3" spans="1:10" x14ac:dyDescent="0.2">
      <c r="A3" s="10">
        <v>2</v>
      </c>
      <c r="B3" s="9">
        <f>B2-I2</f>
        <v>190.21502023658661</v>
      </c>
      <c r="C3" s="9">
        <f t="shared" ref="C3:C13" si="0">0.45359237*B3</f>
        <v>86.280081838711283</v>
      </c>
      <c r="D3" s="8">
        <f>D2+1/52</f>
        <v>22.26923076923077</v>
      </c>
      <c r="E3" s="6">
        <f>Weight!$B$33</f>
        <v>1.4205756929637527</v>
      </c>
      <c r="F3" s="11">
        <f>10*C3+6.25*Weight!$B$22-5*D3+IF(Weight!$B$24="M", 5, -161)</f>
        <v>1820.060449438849</v>
      </c>
      <c r="G3" s="11">
        <f>IF(Weight!$B$24="M", 13.397*C3 + 4.799*(Weight!$B$22)- 5.677*D3+ 88.362,9.247*C3 + 3.098*(Weight!$B$22) - 4.33*D3 + 447.593)</f>
        <v>1934.5128991922882</v>
      </c>
      <c r="H3" s="11">
        <f t="shared" ref="H3:H13" si="1">E3*AVERAGE(F3,G3)</f>
        <v>2666.8278182574577</v>
      </c>
      <c r="I3" s="8">
        <f>(H3-Weight!$J$2)/500</f>
        <v>3.3336556365149153</v>
      </c>
      <c r="J3" s="8">
        <f>SUM($I$2:I3)</f>
        <v>6.7186353999283037</v>
      </c>
    </row>
    <row r="4" spans="1:10" x14ac:dyDescent="0.2">
      <c r="A4" s="10">
        <v>3</v>
      </c>
      <c r="B4" s="9">
        <f t="shared" ref="B4:B13" si="2">B3-I3</f>
        <v>186.88136460007169</v>
      </c>
      <c r="C4" s="9">
        <f t="shared" si="0"/>
        <v>84.767961077780626</v>
      </c>
      <c r="D4" s="8">
        <f t="shared" ref="D4:D13" si="3">D3+1/52</f>
        <v>22.28846153846154</v>
      </c>
      <c r="E4" s="6">
        <f>Weight!$B$33</f>
        <v>1.4205756929637527</v>
      </c>
      <c r="F4" s="11">
        <f>10*C4+6.25*Weight!$B$22-5*D4+IF(Weight!$B$24="M", 5, -161)</f>
        <v>1804.8430879833886</v>
      </c>
      <c r="G4" s="11">
        <f>IF(Weight!$B$24="M", 13.397*C4 + 4.799*(Weight!$B$22)- 5.677*D4+ 88.362,9.247*C4 + 3.098*(Weight!$B$22) - 4.33*D4 + 447.593)</f>
        <v>1914.145844281177</v>
      </c>
      <c r="H4" s="11">
        <f t="shared" si="1"/>
        <v>2641.5526397881313</v>
      </c>
      <c r="I4" s="8">
        <f>(H4-Weight!$J$2)/500</f>
        <v>3.2831052795762625</v>
      </c>
      <c r="J4" s="8">
        <f>SUM($I$2:I4)</f>
        <v>10.001740679504566</v>
      </c>
    </row>
    <row r="5" spans="1:10" x14ac:dyDescent="0.2">
      <c r="A5" s="15">
        <v>4</v>
      </c>
      <c r="B5" s="23">
        <f t="shared" si="2"/>
        <v>183.59825932049543</v>
      </c>
      <c r="C5" s="23">
        <f t="shared" si="0"/>
        <v>83.278769573058113</v>
      </c>
      <c r="D5" s="16">
        <f t="shared" si="3"/>
        <v>22.30769230769231</v>
      </c>
      <c r="E5" s="17">
        <f>Weight!$B$33</f>
        <v>1.4205756929637527</v>
      </c>
      <c r="F5" s="18">
        <f>10*C5+6.25*Weight!$B$22-5*D5+IF(Weight!$B$24="M", 5, -161)</f>
        <v>1789.8550190900096</v>
      </c>
      <c r="G5" s="18">
        <f>IF(Weight!$B$24="M", 13.397*C5 + 4.799*(Weight!$B$22)- 5.677*D5+ 88.362,9.247*C5 + 3.098*(Weight!$B$22) - 4.33*D5 + 447.593)</f>
        <v>1894.0859726154865</v>
      </c>
      <c r="H5" s="18">
        <f t="shared" si="1"/>
        <v>2616.6585135648052</v>
      </c>
      <c r="I5" s="16">
        <f>(H5-Weight!$J$2)/500</f>
        <v>3.2333170271296101</v>
      </c>
      <c r="J5" s="16">
        <f>SUM($I$2:I5)</f>
        <v>13.235057706634176</v>
      </c>
    </row>
    <row r="6" spans="1:10" x14ac:dyDescent="0.2">
      <c r="A6" s="10">
        <v>5</v>
      </c>
      <c r="B6" s="9">
        <f t="shared" si="2"/>
        <v>180.36494229336583</v>
      </c>
      <c r="C6" s="9">
        <f t="shared" si="0"/>
        <v>81.812161639761044</v>
      </c>
      <c r="D6" s="8">
        <f t="shared" si="3"/>
        <v>22.32692307692308</v>
      </c>
      <c r="E6" s="6">
        <f>Weight!$B$33</f>
        <v>1.4205756929637527</v>
      </c>
      <c r="F6" s="11">
        <f>10*C6+6.25*Weight!$B$22-5*D6+IF(Weight!$B$24="M", 5, -161)</f>
        <v>1775.0927859108849</v>
      </c>
      <c r="G6" s="11">
        <f>IF(Weight!$B$24="M", 13.397*C6 + 4.799*(Weight!$B$22)- 5.677*D6+ 88.362,9.247*C6 + 3.098*(Weight!$B$22) - 4.33*D6 + 447.593)</f>
        <v>1874.3286530561827</v>
      </c>
      <c r="H6" s="11">
        <f t="shared" si="1"/>
        <v>2592.1396947887092</v>
      </c>
      <c r="I6" s="8">
        <f>(H6-Weight!$J$2)/500</f>
        <v>3.1842793895774184</v>
      </c>
      <c r="J6" s="8">
        <f>SUM($I$2:I6)</f>
        <v>16.419337096211596</v>
      </c>
    </row>
    <row r="7" spans="1:10" x14ac:dyDescent="0.2">
      <c r="A7" s="10">
        <v>6</v>
      </c>
      <c r="B7" s="9">
        <f t="shared" si="2"/>
        <v>177.1806629037884</v>
      </c>
      <c r="C7" s="9">
        <f t="shared" si="0"/>
        <v>80.367796804700461</v>
      </c>
      <c r="D7" s="8">
        <f t="shared" si="3"/>
        <v>22.34615384615385</v>
      </c>
      <c r="E7" s="6">
        <f>Weight!$B$33</f>
        <v>1.4205756929637527</v>
      </c>
      <c r="F7" s="11">
        <f>10*C7+6.25*Weight!$B$22-5*D7+IF(Weight!$B$24="M", 5, -161)</f>
        <v>1760.5529837141255</v>
      </c>
      <c r="G7" s="11">
        <f>IF(Weight!$B$24="M", 13.397*C7 + 4.799*(Weight!$B$22)- 5.677*D7+ 88.362,9.247*C7 + 3.098*(Weight!$B$22) - 4.33*D7 + 447.593)</f>
        <v>1854.8693242839527</v>
      </c>
      <c r="H7" s="11">
        <f t="shared" si="1"/>
        <v>2567.9905252704903</v>
      </c>
      <c r="I7" s="8">
        <f>(H7-Weight!$J$2)/500</f>
        <v>3.1359810505409804</v>
      </c>
      <c r="J7" s="8">
        <f>SUM($I$2:I7)</f>
        <v>19.555318146752576</v>
      </c>
    </row>
    <row r="8" spans="1:10" x14ac:dyDescent="0.2">
      <c r="A8" s="10">
        <v>7</v>
      </c>
      <c r="B8" s="9">
        <f t="shared" si="2"/>
        <v>174.04468185324743</v>
      </c>
      <c r="C8" s="9">
        <f t="shared" si="0"/>
        <v>78.94533972771049</v>
      </c>
      <c r="D8" s="8">
        <f t="shared" si="3"/>
        <v>22.36538461538462</v>
      </c>
      <c r="E8" s="6">
        <f>Weight!$B$33</f>
        <v>1.4205756929637527</v>
      </c>
      <c r="F8" s="11">
        <f>10*C8+6.25*Weight!$B$22-5*D8+IF(Weight!$B$24="M", 5, -161)</f>
        <v>1746.2322590980718</v>
      </c>
      <c r="G8" s="11">
        <f>IF(Weight!$B$24="M", 13.397*C8 + 4.799*(Weight!$B$22)- 5.677*D8+ 88.362,9.247*C8 + 3.098*(Weight!$B$22) - 4.33*D8 + 447.593)</f>
        <v>1835.7034937465949</v>
      </c>
      <c r="H8" s="11">
        <f t="shared" si="1"/>
        <v>2544.2054321244768</v>
      </c>
      <c r="I8" s="8">
        <f>(H8-Weight!$J$2)/500</f>
        <v>3.0884108642489538</v>
      </c>
      <c r="J8" s="8">
        <f>SUM($I$2:I8)</f>
        <v>22.643729011001529</v>
      </c>
    </row>
    <row r="9" spans="1:10" x14ac:dyDescent="0.2">
      <c r="A9" s="15">
        <v>8</v>
      </c>
      <c r="B9" s="23">
        <f t="shared" si="2"/>
        <v>170.95627098899848</v>
      </c>
      <c r="C9" s="23">
        <f t="shared" si="0"/>
        <v>77.544460124262073</v>
      </c>
      <c r="D9" s="16">
        <f t="shared" si="3"/>
        <v>22.38461538461539</v>
      </c>
      <c r="E9" s="17">
        <f>Weight!$B$33</f>
        <v>1.4205756929637527</v>
      </c>
      <c r="F9" s="18">
        <f>10*C9+6.25*Weight!$B$22-5*D9+IF(Weight!$B$24="M", 5, -161)</f>
        <v>1732.127309217434</v>
      </c>
      <c r="G9" s="18">
        <f>IF(Weight!$B$24="M", 13.397*C9 + 4.799*(Weight!$B$22)- 5.677*D9+ 88.362,9.247*C9 + 3.098*(Weight!$B$22) - 4.33*D9 + 447.593)</f>
        <v>1816.8267366222735</v>
      </c>
      <c r="H9" s="18">
        <f t="shared" si="1"/>
        <v>2520.7789264826283</v>
      </c>
      <c r="I9" s="16">
        <f>(H9-Weight!$J$2)/500</f>
        <v>3.0415578529652567</v>
      </c>
      <c r="J9" s="16">
        <f>SUM($I$2:I9)</f>
        <v>25.685286863966788</v>
      </c>
    </row>
    <row r="10" spans="1:10" x14ac:dyDescent="0.2">
      <c r="A10" s="10">
        <v>9</v>
      </c>
      <c r="B10" s="9">
        <f t="shared" si="2"/>
        <v>167.91471313603321</v>
      </c>
      <c r="C10" s="9">
        <f t="shared" si="0"/>
        <v>76.16483268924344</v>
      </c>
      <c r="D10" s="8">
        <f t="shared" si="3"/>
        <v>22.40384615384616</v>
      </c>
      <c r="E10" s="6">
        <f>Weight!$B$33</f>
        <v>1.4205756929637527</v>
      </c>
      <c r="F10" s="11">
        <f>10*C10+6.25*Weight!$B$22-5*D10+IF(Weight!$B$24="M", 5, -161)</f>
        <v>1718.2348810210938</v>
      </c>
      <c r="G10" s="11">
        <f>IF(Weight!$B$24="M", 13.397*C10 + 4.799*(Weight!$B$22)- 5.677*D10+ 88.362,9.247*C10 + 3.098*(Weight!$B$22) - 4.33*D10 + 447.593)</f>
        <v>1798.2346947984056</v>
      </c>
      <c r="H10" s="11">
        <f t="shared" si="1"/>
        <v>2497.7056022278693</v>
      </c>
      <c r="I10" s="8">
        <f>(H10-Weight!$J$2)/500</f>
        <v>2.9954112044557388</v>
      </c>
      <c r="J10" s="8">
        <f>SUM($I$2:I10)</f>
        <v>28.680698068422526</v>
      </c>
    </row>
    <row r="11" spans="1:10" x14ac:dyDescent="0.2">
      <c r="A11" s="15">
        <v>10</v>
      </c>
      <c r="B11" s="23">
        <f t="shared" si="2"/>
        <v>164.91930193157748</v>
      </c>
      <c r="C11" s="23">
        <f t="shared" si="0"/>
        <v>74.806137021889811</v>
      </c>
      <c r="D11" s="16">
        <f t="shared" si="3"/>
        <v>22.42307692307693</v>
      </c>
      <c r="E11" s="17">
        <f>Weight!$B$33</f>
        <v>1.4205756929637527</v>
      </c>
      <c r="F11" s="18">
        <f>10*C11+6.25*Weight!$B$22-5*D11+IF(Weight!$B$24="M", 5, -161)</f>
        <v>1704.5517705014036</v>
      </c>
      <c r="G11" s="18">
        <f>IF(Weight!$B$24="M", 13.397*C11 + 4.799*(Weight!$B$22)- 5.677*D11+ 88.362,9.247*C11 + 3.098*(Weight!$B$22) - 4.33*D11 + 447.593)</f>
        <v>1779.923075865946</v>
      </c>
      <c r="H11" s="18">
        <f t="shared" si="1"/>
        <v>2474.9801347465318</v>
      </c>
      <c r="I11" s="16">
        <f>(H11-Weight!$J$2)/500</f>
        <v>2.9499602694930638</v>
      </c>
      <c r="J11" s="16">
        <f>SUM($I$2:I11)</f>
        <v>31.630658337915591</v>
      </c>
    </row>
    <row r="12" spans="1:10" x14ac:dyDescent="0.2">
      <c r="A12" s="10">
        <v>11</v>
      </c>
      <c r="B12" s="9">
        <f t="shared" si="2"/>
        <v>161.96934166208442</v>
      </c>
      <c r="C12" s="9">
        <f t="shared" si="0"/>
        <v>73.468057551844609</v>
      </c>
      <c r="D12" s="8">
        <f t="shared" si="3"/>
        <v>22.442307692307701</v>
      </c>
      <c r="E12" s="6">
        <f>Weight!$B$33</f>
        <v>1.4205756929637527</v>
      </c>
      <c r="F12" s="11">
        <f>10*C12+6.25*Weight!$B$22-5*D12+IF(Weight!$B$24="M", 5, -161)</f>
        <v>1691.0748219547977</v>
      </c>
      <c r="G12" s="11">
        <f>IF(Weight!$B$24="M", 13.397*C12 + 4.799*(Weight!$B$22)- 5.677*D12+ 88.362,9.247*C12 + 3.098*(Weight!$B$22) - 4.33*D12 + 447.593)</f>
        <v>1761.8876521288275</v>
      </c>
      <c r="H12" s="11">
        <f t="shared" si="1"/>
        <v>2452.5972796995902</v>
      </c>
      <c r="I12" s="8">
        <f>(H12-Weight!$J$2)/500</f>
        <v>2.9051945593991806</v>
      </c>
      <c r="J12" s="8">
        <f>SUM($I$2:I12)</f>
        <v>34.535852897314768</v>
      </c>
    </row>
    <row r="13" spans="1:10" x14ac:dyDescent="0.2">
      <c r="A13" s="15">
        <v>12</v>
      </c>
      <c r="B13" s="23">
        <f t="shared" si="2"/>
        <v>159.06414710268524</v>
      </c>
      <c r="C13" s="23">
        <f t="shared" si="0"/>
        <v>72.150283466335637</v>
      </c>
      <c r="D13" s="16">
        <f t="shared" si="3"/>
        <v>22.461538461538471</v>
      </c>
      <c r="E13" s="17">
        <f>Weight!$B$33</f>
        <v>1.4205756929637527</v>
      </c>
      <c r="F13" s="18">
        <f>10*C13+6.25*Weight!$B$22-5*D13+IF(Weight!$B$24="M", 5, -161)</f>
        <v>1677.8009272535542</v>
      </c>
      <c r="G13" s="18">
        <f>IF(Weight!$B$24="M", 13.397*C13 + 4.799*(Weight!$B$22)- 5.677*D13+ 88.362,9.247*C13 + 3.098*(Weight!$B$22) - 4.33*D13 + 447.593)</f>
        <v>1744.1242596283407</v>
      </c>
      <c r="H13" s="18">
        <f t="shared" si="1"/>
        <v>2430.5518718124331</v>
      </c>
      <c r="I13" s="16">
        <f>(H13-Weight!$J$2)/500</f>
        <v>2.8611037436248661</v>
      </c>
      <c r="J13" s="16">
        <f>SUM($I$2:I13)</f>
        <v>37.396956640939635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Workout</vt:lpstr>
      <vt:lpstr>Weight</vt:lpstr>
      <vt:lpstr>Weight_Work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TASHRIF.APON@baruchmail.cuny.edu</dc:creator>
  <cp:lastModifiedBy>TASHRIF.APON@baruchmail.cuny.edu</cp:lastModifiedBy>
  <dcterms:created xsi:type="dcterms:W3CDTF">2023-11-13T08:25:46Z</dcterms:created>
  <dcterms:modified xsi:type="dcterms:W3CDTF">2024-01-18T01:29:29Z</dcterms:modified>
</cp:coreProperties>
</file>