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c8165f27a7c1a/Documents/"/>
    </mc:Choice>
  </mc:AlternateContent>
  <xr:revisionPtr revIDLastSave="198" documentId="8_{ADF5190A-9109-4619-B41D-D24EC7754050}" xr6:coauthVersionLast="47" xr6:coauthVersionMax="47" xr10:uidLastSave="{C24CE475-C151-4E47-A1F0-6307ED37C97B}"/>
  <bookViews>
    <workbookView xWindow="-110" yWindow="-110" windowWidth="19420" windowHeight="12220" activeTab="3" xr2:uid="{688F3F6B-3EA5-46CF-9118-0B3D95FDA200}"/>
  </bookViews>
  <sheets>
    <sheet name="ETF Portfolio" sheetId="1" r:id="rId1"/>
    <sheet name="ETF Prices" sheetId="2" r:id="rId2"/>
    <sheet name="s&amp;P500 FUTURESS" sheetId="3" r:id="rId3"/>
    <sheet name="Hedging Contra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  <c r="B5" i="4"/>
  <c r="B4" i="4"/>
  <c r="B3" i="4"/>
  <c r="B2" i="4"/>
  <c r="N25" i="2" a="1"/>
  <c r="N25" i="2" s="1"/>
  <c r="L5" i="2"/>
  <c r="L6" i="2"/>
  <c r="L7" i="2"/>
  <c r="L8" i="2"/>
  <c r="L9" i="2"/>
  <c r="L10" i="2"/>
  <c r="N10" i="2" s="1" a="1"/>
  <c r="N10" i="2" s="1"/>
  <c r="L11" i="2"/>
  <c r="L12" i="2"/>
  <c r="L13" i="2"/>
  <c r="L14" i="2"/>
  <c r="L15" i="2"/>
  <c r="L16" i="2"/>
  <c r="L17" i="2"/>
  <c r="L18" i="2"/>
  <c r="N18" i="2" s="1" a="1"/>
  <c r="N18" i="2" s="1"/>
  <c r="L19" i="2"/>
  <c r="L20" i="2"/>
  <c r="L21" i="2"/>
  <c r="N21" i="2" s="1" a="1"/>
  <c r="N21" i="2" s="1"/>
  <c r="L22" i="2"/>
  <c r="N22" i="2" s="1" a="1"/>
  <c r="N22" i="2" s="1"/>
  <c r="L23" i="2"/>
  <c r="N23" i="2" s="1" a="1"/>
  <c r="N23" i="2" s="1"/>
  <c r="L24" i="2"/>
  <c r="L25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K4" i="2"/>
  <c r="L4" i="2"/>
  <c r="J4" i="2"/>
  <c r="E26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5" i="3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7" i="2" a="1"/>
  <c r="N17" i="2" s="1"/>
  <c r="N19" i="2" a="1"/>
  <c r="N19" i="2" s="1"/>
  <c r="N24" i="2" a="1"/>
  <c r="N24" i="2" s="1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5" i="2"/>
  <c r="I6" i="2" s="1"/>
  <c r="I4" i="2"/>
  <c r="D8" i="1"/>
  <c r="C8" i="1"/>
  <c r="B8" i="1"/>
  <c r="D7" i="1"/>
  <c r="E7" i="1" s="1"/>
  <c r="C7" i="1"/>
  <c r="B7" i="1"/>
  <c r="N11" i="2" l="1" a="1"/>
  <c r="N11" i="2" s="1"/>
  <c r="N16" i="2" a="1"/>
  <c r="N16" i="2" s="1"/>
  <c r="N14" i="2" a="1"/>
  <c r="N14" i="2" s="1"/>
  <c r="N13" i="2" a="1"/>
  <c r="N13" i="2" s="1"/>
  <c r="N12" i="2" a="1"/>
  <c r="N12" i="2" s="1"/>
  <c r="N15" i="2" a="1"/>
  <c r="N15" i="2" s="1"/>
  <c r="N20" i="2" a="1"/>
  <c r="N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<sst xmlns="http://schemas.openxmlformats.org/spreadsheetml/2006/main" count="39" uniqueCount="29">
  <si>
    <t>Bond Portfolio Etfs</t>
  </si>
  <si>
    <t>Ticker</t>
  </si>
  <si>
    <t>SCHP</t>
  </si>
  <si>
    <t>VTEB</t>
  </si>
  <si>
    <t>GOVT</t>
  </si>
  <si>
    <t>Schawb</t>
  </si>
  <si>
    <t>Vanguard</t>
  </si>
  <si>
    <t>ishares</t>
  </si>
  <si>
    <t>Price</t>
  </si>
  <si>
    <t>No shares</t>
  </si>
  <si>
    <t>Investment</t>
  </si>
  <si>
    <t>Weight</t>
  </si>
  <si>
    <t>Date</t>
  </si>
  <si>
    <t>SCHWAB</t>
  </si>
  <si>
    <t>s&amp;P500</t>
  </si>
  <si>
    <t>Settle Price</t>
  </si>
  <si>
    <t>PRICES</t>
  </si>
  <si>
    <t xml:space="preserve">  </t>
  </si>
  <si>
    <t>RETURNS</t>
  </si>
  <si>
    <t>Day</t>
  </si>
  <si>
    <t>Wt.Return</t>
  </si>
  <si>
    <t>Return</t>
  </si>
  <si>
    <t>Bought</t>
  </si>
  <si>
    <t>Entry</t>
  </si>
  <si>
    <t>Beta</t>
  </si>
  <si>
    <t>Portfolio Value</t>
  </si>
  <si>
    <t>Settle</t>
  </si>
  <si>
    <t>Contracts Required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</si>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</sst>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5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5" fontId="0" fillId="2" borderId="0" xfId="0" applyNumberFormat="1" applyFill="1"/>
    <xf numFmtId="4" fontId="0" fillId="2" borderId="0" xfId="0" applyNumberFormat="1" applyFill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5AF9-6FA5-439A-9440-DF5CACE74988}">
  <dimension ref="A1:E8"/>
  <sheetViews>
    <sheetView topLeftCell="A4" workbookViewId="0">
      <selection activeCell="F23" sqref="F23"/>
    </sheetView>
  </sheetViews>
  <sheetFormatPr defaultRowHeight="14.5" x14ac:dyDescent="0.35"/>
  <cols>
    <col min="1" max="1" width="11.453125" customWidth="1"/>
    <col min="4" max="4" width="9.453125" bestFit="1" customWidth="1"/>
  </cols>
  <sheetData>
    <row r="1" spans="1:5" x14ac:dyDescent="0.35">
      <c r="A1" t="s">
        <v>0</v>
      </c>
      <c r="D1" s="1">
        <v>45007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B4" t="s">
        <v>5</v>
      </c>
      <c r="C4" t="s">
        <v>6</v>
      </c>
      <c r="D4" t="s">
        <v>7</v>
      </c>
    </row>
    <row r="5" spans="1:5" x14ac:dyDescent="0.35">
      <c r="A5" t="s">
        <v>8</v>
      </c>
      <c r="B5">
        <v>51.681103</v>
      </c>
      <c r="C5">
        <v>49.097706000000002</v>
      </c>
      <c r="D5">
        <v>22.511278000000001</v>
      </c>
    </row>
    <row r="6" spans="1:5" x14ac:dyDescent="0.35">
      <c r="A6" t="s">
        <v>9</v>
      </c>
      <c r="B6">
        <v>1934</v>
      </c>
      <c r="C6">
        <v>2036</v>
      </c>
      <c r="D6">
        <v>4442</v>
      </c>
    </row>
    <row r="7" spans="1:5" x14ac:dyDescent="0.35">
      <c r="A7" t="s">
        <v>10</v>
      </c>
      <c r="B7">
        <f>B5*B6</f>
        <v>99951.253202000007</v>
      </c>
      <c r="C7">
        <f>C5*C6</f>
        <v>99962.929415999999</v>
      </c>
      <c r="D7">
        <f>D5*D6</f>
        <v>99995.096876000011</v>
      </c>
      <c r="E7">
        <f>SUM(B7:D7)</f>
        <v>299909.27949400002</v>
      </c>
    </row>
    <row r="8" spans="1:5" x14ac:dyDescent="0.35">
      <c r="A8" t="s">
        <v>11</v>
      </c>
      <c r="B8" s="11">
        <f>B7/$E7</f>
        <v>0.33327162590845955</v>
      </c>
      <c r="C8" s="11">
        <f>C7/$E7</f>
        <v>0.33331055839504242</v>
      </c>
      <c r="D8" s="11">
        <f>D7/$E7</f>
        <v>0.33341781569649803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D2ED-03C6-48F5-B427-384413718962}">
  <dimension ref="A1:N25"/>
  <sheetViews>
    <sheetView workbookViewId="0">
      <selection activeCell="H24" sqref="H24"/>
    </sheetView>
  </sheetViews>
  <sheetFormatPr defaultRowHeight="14.5" x14ac:dyDescent="0.35"/>
  <cols>
    <col min="1" max="1" width="12.54296875" customWidth="1"/>
    <col min="4" max="4" width="10.6328125" customWidth="1"/>
    <col min="11" max="11" width="9.36328125" bestFit="1" customWidth="1"/>
    <col min="14" max="14" width="9.36328125" bestFit="1" customWidth="1"/>
  </cols>
  <sheetData>
    <row r="1" spans="1:14" x14ac:dyDescent="0.35">
      <c r="B1" t="s">
        <v>17</v>
      </c>
      <c r="C1" t="s">
        <v>16</v>
      </c>
      <c r="K1" t="s">
        <v>18</v>
      </c>
    </row>
    <row r="2" spans="1:14" x14ac:dyDescent="0.35">
      <c r="A2" t="s">
        <v>12</v>
      </c>
      <c r="B2" t="s">
        <v>13</v>
      </c>
      <c r="C2" t="s">
        <v>3</v>
      </c>
      <c r="D2" t="s">
        <v>4</v>
      </c>
      <c r="I2" t="s">
        <v>19</v>
      </c>
      <c r="J2" t="s">
        <v>13</v>
      </c>
      <c r="K2" t="s">
        <v>3</v>
      </c>
      <c r="L2" t="s">
        <v>4</v>
      </c>
      <c r="N2" t="s">
        <v>20</v>
      </c>
    </row>
    <row r="3" spans="1:14" x14ac:dyDescent="0.35">
      <c r="A3" s="5">
        <v>44986</v>
      </c>
      <c r="B3" s="6">
        <v>51.681103</v>
      </c>
      <c r="C3" s="6">
        <v>49.097706000000002</v>
      </c>
      <c r="D3" s="6">
        <v>22.511278000000001</v>
      </c>
      <c r="I3">
        <v>1</v>
      </c>
      <c r="J3" t="s">
        <v>23</v>
      </c>
      <c r="K3" t="s">
        <v>23</v>
      </c>
      <c r="L3" t="s">
        <v>23</v>
      </c>
      <c r="N3" t="s">
        <v>23</v>
      </c>
    </row>
    <row r="4" spans="1:14" x14ac:dyDescent="0.35">
      <c r="A4" s="1">
        <v>44987</v>
      </c>
      <c r="B4">
        <v>51.740817999999997</v>
      </c>
      <c r="C4">
        <v>49.097706000000002</v>
      </c>
      <c r="D4">
        <v>22.451512999999998</v>
      </c>
      <c r="I4">
        <f>I3+1</f>
        <v>2</v>
      </c>
      <c r="J4">
        <f>(B4-B3)/B3</f>
        <v>1.155451345533339E-3</v>
      </c>
      <c r="K4">
        <f t="shared" ref="K4:L19" si="0">(C4-C3)/C3</f>
        <v>0</v>
      </c>
      <c r="L4">
        <f t="shared" si="0"/>
        <v>-2.6548914726210694E-3</v>
      </c>
      <c r="N4" cm="1">
        <f t="array" ref="N4">SUMPRODUCT('ETF Prices'!$B$8:$D$8*'ETF Prices'!J4:L4)</f>
        <v>-3.9036669870266827E-4</v>
      </c>
    </row>
    <row r="5" spans="1:14" x14ac:dyDescent="0.35">
      <c r="A5" s="1">
        <v>44988</v>
      </c>
      <c r="B5">
        <v>52.248370999999999</v>
      </c>
      <c r="C5">
        <v>49.207211000000001</v>
      </c>
      <c r="D5">
        <v>22.590965000000001</v>
      </c>
      <c r="I5">
        <f t="shared" ref="I5:I25" si="1">I4+1</f>
        <v>3</v>
      </c>
      <c r="J5">
        <f t="shared" ref="J5:L25" si="2">(B5-B4)/B4</f>
        <v>9.8095279436827137E-3</v>
      </c>
      <c r="K5">
        <f t="shared" si="0"/>
        <v>2.2303486032524337E-3</v>
      </c>
      <c r="L5">
        <f t="shared" si="0"/>
        <v>6.2112517762166917E-3</v>
      </c>
      <c r="N5" cm="1">
        <f t="array" ref="N5">SUMPRODUCT('ETF Prices'!$B$8:$D$8*'ETF Prices'!J5:L5)</f>
        <v>0.75424497442953953</v>
      </c>
    </row>
    <row r="6" spans="1:14" x14ac:dyDescent="0.35">
      <c r="A6" s="1">
        <v>44991</v>
      </c>
      <c r="B6">
        <v>51.999569000000001</v>
      </c>
      <c r="C6">
        <v>49.177345000000003</v>
      </c>
      <c r="D6">
        <v>22.551120999999998</v>
      </c>
      <c r="I6">
        <f t="shared" si="1"/>
        <v>4</v>
      </c>
      <c r="J6">
        <f t="shared" si="2"/>
        <v>-4.7619092277536796E-3</v>
      </c>
      <c r="K6">
        <f t="shared" si="0"/>
        <v>-6.0694356361709655E-4</v>
      </c>
      <c r="L6">
        <f t="shared" si="0"/>
        <v>-1.7637139449333931E-3</v>
      </c>
      <c r="N6" cm="1">
        <f t="array" ref="N6">SUMPRODUCT('ETF Prices'!$B$8:$D$8*'ETF Prices'!J6:L6)</f>
        <v>-0.31452657891121766</v>
      </c>
    </row>
    <row r="7" spans="1:14" x14ac:dyDescent="0.35">
      <c r="A7" s="1">
        <v>44992</v>
      </c>
      <c r="B7">
        <v>51.671149999999997</v>
      </c>
      <c r="C7">
        <v>49.187297999999998</v>
      </c>
      <c r="D7">
        <v>22.541160999999999</v>
      </c>
      <c r="I7">
        <f t="shared" si="1"/>
        <v>5</v>
      </c>
      <c r="J7">
        <f t="shared" si="2"/>
        <v>-6.3158023482849214E-3</v>
      </c>
      <c r="K7">
        <f t="shared" si="0"/>
        <v>2.0238994195387899E-4</v>
      </c>
      <c r="L7">
        <f t="shared" si="0"/>
        <v>-4.4166318827341337E-4</v>
      </c>
      <c r="N7" cm="1">
        <f t="array" ref="N7">SUMPRODUCT('ETF Prices'!$B$8:$D$8*'ETF Prices'!J7:L7)</f>
        <v>-0.3248263898567551</v>
      </c>
    </row>
    <row r="8" spans="1:14" x14ac:dyDescent="0.35">
      <c r="A8" s="1">
        <v>44993</v>
      </c>
      <c r="B8">
        <v>51.432301000000002</v>
      </c>
      <c r="C8">
        <v>49.217162999999999</v>
      </c>
      <c r="D8">
        <v>22.531199000000001</v>
      </c>
      <c r="I8">
        <f t="shared" si="1"/>
        <v>6</v>
      </c>
      <c r="J8">
        <f t="shared" si="2"/>
        <v>-4.6224827587540585E-3</v>
      </c>
      <c r="K8">
        <f t="shared" si="0"/>
        <v>6.071689483736415E-4</v>
      </c>
      <c r="L8">
        <f t="shared" si="0"/>
        <v>-4.4194706741139145E-4</v>
      </c>
      <c r="N8" cm="1">
        <f t="array" ref="N8">SUMPRODUCT('ETF Prices'!$B$8:$D$8*'ETF Prices'!J8:L8)</f>
        <v>-0.2178193888382175</v>
      </c>
    </row>
    <row r="9" spans="1:14" x14ac:dyDescent="0.35">
      <c r="A9" s="1">
        <v>44994</v>
      </c>
      <c r="B9">
        <v>51.561680000000003</v>
      </c>
      <c r="C9">
        <v>49.346577000000003</v>
      </c>
      <c r="D9">
        <v>22.640765999999999</v>
      </c>
      <c r="I9">
        <f t="shared" si="1"/>
        <v>7</v>
      </c>
      <c r="J9">
        <f t="shared" si="2"/>
        <v>2.5155203536392457E-3</v>
      </c>
      <c r="K9">
        <f t="shared" si="0"/>
        <v>2.6294485929634777E-3</v>
      </c>
      <c r="L9">
        <f t="shared" si="0"/>
        <v>4.8629014372470105E-3</v>
      </c>
      <c r="N9" cm="1">
        <f t="array" ref="N9">SUMPRODUCT('ETF Prices'!$B$8:$D$8*'ETF Prices'!J9:L9)</f>
        <v>0.36836000000000269</v>
      </c>
    </row>
    <row r="10" spans="1:14" x14ac:dyDescent="0.35">
      <c r="A10" s="1">
        <v>44995</v>
      </c>
      <c r="B10">
        <v>52.29813</v>
      </c>
      <c r="C10">
        <v>49.535721000000002</v>
      </c>
      <c r="D10">
        <v>22.959510999999999</v>
      </c>
      <c r="I10">
        <f t="shared" si="1"/>
        <v>8</v>
      </c>
      <c r="J10">
        <f t="shared" si="2"/>
        <v>1.4282893807959668E-2</v>
      </c>
      <c r="K10">
        <f t="shared" si="0"/>
        <v>3.8329710285679767E-3</v>
      </c>
      <c r="L10">
        <f t="shared" si="0"/>
        <v>1.4078366429828383E-2</v>
      </c>
      <c r="N10" cm="1">
        <f t="array" ref="N10">SUMPRODUCT('ETF Prices'!$B$8:$D$8*'ETF Prices'!J10:L10)</f>
        <v>1.2404525289947084</v>
      </c>
    </row>
    <row r="11" spans="1:14" x14ac:dyDescent="0.35">
      <c r="A11" s="1">
        <v>44998</v>
      </c>
      <c r="B11">
        <v>52.596691</v>
      </c>
      <c r="C11">
        <v>49.804501000000002</v>
      </c>
      <c r="D11">
        <v>23.178647999999999</v>
      </c>
      <c r="I11">
        <f t="shared" si="1"/>
        <v>9</v>
      </c>
      <c r="J11">
        <f t="shared" si="2"/>
        <v>5.7088274475588213E-3</v>
      </c>
      <c r="K11">
        <f t="shared" si="0"/>
        <v>5.425983402966913E-3</v>
      </c>
      <c r="L11">
        <f t="shared" si="0"/>
        <v>9.5444977029345238E-3</v>
      </c>
      <c r="N11" cm="1">
        <f t="array" ref="N11">SUMPRODUCT('ETF Prices'!$B$8:$D$8*'ETF Prices'!J11:L11)</f>
        <v>0.77571861831888489</v>
      </c>
    </row>
    <row r="12" spans="1:14" x14ac:dyDescent="0.35">
      <c r="A12" s="1">
        <v>44999</v>
      </c>
      <c r="B12">
        <v>52.437457999999999</v>
      </c>
      <c r="C12">
        <v>49.675091000000002</v>
      </c>
      <c r="D12">
        <v>22.999352999999999</v>
      </c>
      <c r="I12">
        <f t="shared" si="1"/>
        <v>10</v>
      </c>
      <c r="J12">
        <f t="shared" si="2"/>
        <v>-3.0274337980691676E-3</v>
      </c>
      <c r="K12">
        <f t="shared" si="0"/>
        <v>-2.5983595338100068E-3</v>
      </c>
      <c r="L12">
        <f t="shared" si="0"/>
        <v>-7.7353519497772158E-3</v>
      </c>
      <c r="N12" cm="1">
        <f t="array" ref="N12">SUMPRODUCT('ETF Prices'!$B$8:$D$8*'ETF Prices'!J12:L12)</f>
        <v>-0.45787852518346622</v>
      </c>
    </row>
    <row r="13" spans="1:14" x14ac:dyDescent="0.35">
      <c r="A13" s="1">
        <v>45000</v>
      </c>
      <c r="B13">
        <v>53.034587999999999</v>
      </c>
      <c r="C13">
        <v>49.963779000000002</v>
      </c>
      <c r="D13">
        <v>23.268293</v>
      </c>
      <c r="I13">
        <f t="shared" si="1"/>
        <v>11</v>
      </c>
      <c r="J13">
        <f t="shared" si="2"/>
        <v>1.1387470384243262E-2</v>
      </c>
      <c r="K13">
        <f t="shared" si="0"/>
        <v>5.8115243311783861E-3</v>
      </c>
      <c r="L13">
        <f t="shared" si="0"/>
        <v>1.1693372417911088E-2</v>
      </c>
      <c r="N13" cm="1">
        <f t="array" ref="N13">SUMPRODUCT('ETF Prices'!$B$8:$D$8*'ETF Prices'!J13:L13)</f>
        <v>1.1351762456461236</v>
      </c>
    </row>
    <row r="14" spans="1:14" x14ac:dyDescent="0.35">
      <c r="A14" s="1">
        <v>45001</v>
      </c>
      <c r="B14">
        <v>52.457363000000001</v>
      </c>
      <c r="C14">
        <v>49.943871000000001</v>
      </c>
      <c r="D14">
        <v>23.108923000000001</v>
      </c>
      <c r="I14">
        <f t="shared" si="1"/>
        <v>12</v>
      </c>
      <c r="J14">
        <f t="shared" si="2"/>
        <v>-1.088393483890171E-2</v>
      </c>
      <c r="K14">
        <f t="shared" si="0"/>
        <v>-3.9844864416682581E-4</v>
      </c>
      <c r="L14">
        <f t="shared" si="0"/>
        <v>-6.84923470750515E-3</v>
      </c>
      <c r="N14" cm="1">
        <f t="array" ref="N14">SUMPRODUCT('ETF Prices'!$B$8:$D$8*'ETF Prices'!J14:L14)</f>
        <v>-0.73371779475837218</v>
      </c>
    </row>
    <row r="15" spans="1:14" x14ac:dyDescent="0.35">
      <c r="A15" s="1">
        <v>45002</v>
      </c>
      <c r="B15">
        <v>52.586742000000001</v>
      </c>
      <c r="C15">
        <v>50.043419</v>
      </c>
      <c r="D15">
        <v>23.328057999999999</v>
      </c>
      <c r="I15">
        <f t="shared" si="1"/>
        <v>13</v>
      </c>
      <c r="J15">
        <f t="shared" si="2"/>
        <v>2.4663649219271683E-3</v>
      </c>
      <c r="K15">
        <f t="shared" si="0"/>
        <v>1.9931975236761011E-3</v>
      </c>
      <c r="L15">
        <f t="shared" si="0"/>
        <v>9.4827006866567455E-3</v>
      </c>
      <c r="N15" cm="1">
        <f t="array" ref="N15">SUMPRODUCT('ETF Prices'!$B$8:$D$8*'ETF Prices'!J15:L15)</f>
        <v>0.43860696668286248</v>
      </c>
    </row>
    <row r="16" spans="1:14" x14ac:dyDescent="0.35">
      <c r="A16" s="1">
        <v>45005</v>
      </c>
      <c r="B16">
        <v>52.646458000000003</v>
      </c>
      <c r="C16">
        <v>49.904052999999998</v>
      </c>
      <c r="D16">
        <v>23.248370999999999</v>
      </c>
      <c r="I16">
        <f t="shared" si="1"/>
        <v>14</v>
      </c>
      <c r="J16">
        <f t="shared" si="2"/>
        <v>1.1355713955430373E-3</v>
      </c>
      <c r="K16">
        <f t="shared" si="0"/>
        <v>-2.7849016471077352E-3</v>
      </c>
      <c r="L16">
        <f t="shared" si="0"/>
        <v>-3.4159294357035568E-3</v>
      </c>
      <c r="N16" cm="1">
        <f t="array" ref="N16">SUMPRODUCT('ETF Prices'!$B$8:$D$8*'ETF Prices'!J16:L16)</f>
        <v>-0.15562489436790489</v>
      </c>
    </row>
    <row r="17" spans="1:14" x14ac:dyDescent="0.35">
      <c r="A17" s="1">
        <v>45006</v>
      </c>
      <c r="B17">
        <v>52.546931999999998</v>
      </c>
      <c r="C17">
        <v>49.83437</v>
      </c>
      <c r="D17">
        <v>23.079041</v>
      </c>
      <c r="I17">
        <f t="shared" si="1"/>
        <v>15</v>
      </c>
      <c r="J17">
        <f t="shared" si="2"/>
        <v>-1.8904595633006201E-3</v>
      </c>
      <c r="K17">
        <f t="shared" si="0"/>
        <v>-1.3963394917041651E-3</v>
      </c>
      <c r="L17">
        <f t="shared" si="0"/>
        <v>-7.2835210690675341E-3</v>
      </c>
      <c r="N17" cm="1">
        <f t="array" ref="N17">SUMPRODUCT('ETF Prices'!$B$8:$D$8*'ETF Prices'!J17:L17)</f>
        <v>-0.33006101628240048</v>
      </c>
    </row>
    <row r="18" spans="1:14" x14ac:dyDescent="0.35">
      <c r="A18" s="7">
        <v>45007</v>
      </c>
      <c r="B18" s="8">
        <v>53.193821</v>
      </c>
      <c r="C18" s="8">
        <v>50.073287999999998</v>
      </c>
      <c r="D18" s="8">
        <v>23.288215999999998</v>
      </c>
      <c r="I18">
        <f t="shared" si="1"/>
        <v>16</v>
      </c>
      <c r="J18">
        <f t="shared" si="2"/>
        <v>1.2310690184538302E-2</v>
      </c>
      <c r="K18">
        <f t="shared" si="0"/>
        <v>4.7942414040751027E-3</v>
      </c>
      <c r="L18">
        <f t="shared" si="0"/>
        <v>9.0634181896898716E-3</v>
      </c>
      <c r="N18" cm="1">
        <f t="array" ref="N18">SUMPRODUCT('ETF Prices'!$B$8:$D$8*'ETF Prices'!J18:L18)</f>
        <v>1.073335762586755</v>
      </c>
    </row>
    <row r="19" spans="1:14" x14ac:dyDescent="0.35">
      <c r="A19" s="1">
        <v>45008</v>
      </c>
      <c r="B19">
        <v>53.363002999999999</v>
      </c>
      <c r="C19">
        <v>50.093197000000004</v>
      </c>
      <c r="D19">
        <v>23.387823000000001</v>
      </c>
      <c r="I19">
        <f t="shared" si="1"/>
        <v>17</v>
      </c>
      <c r="J19">
        <f t="shared" si="2"/>
        <v>3.1804821841995385E-3</v>
      </c>
      <c r="K19">
        <f t="shared" si="0"/>
        <v>3.9759721790199812E-4</v>
      </c>
      <c r="L19">
        <f t="shared" si="0"/>
        <v>4.2771417097815668E-3</v>
      </c>
      <c r="N19" cm="1">
        <f t="array" ref="N19">SUMPRODUCT('ETF Prices'!$B$8:$D$8*'ETF Prices'!J19:L19)</f>
        <v>0.27951725511900605</v>
      </c>
    </row>
    <row r="20" spans="1:14" x14ac:dyDescent="0.35">
      <c r="A20" s="1">
        <v>45009</v>
      </c>
      <c r="B20">
        <v>53.193821</v>
      </c>
      <c r="C20">
        <v>50.212654000000001</v>
      </c>
      <c r="D20">
        <v>23.407743</v>
      </c>
      <c r="I20">
        <f t="shared" si="1"/>
        <v>18</v>
      </c>
      <c r="J20">
        <f t="shared" si="2"/>
        <v>-3.1703987873395972E-3</v>
      </c>
      <c r="K20">
        <f t="shared" si="2"/>
        <v>2.3846950714684276E-3</v>
      </c>
      <c r="L20">
        <f t="shared" si="2"/>
        <v>8.5172527601218154E-4</v>
      </c>
      <c r="N20" cm="1">
        <f t="array" ref="N20">SUMPRODUCT('ETF Prices'!$B$8:$D$8*'ETF Prices'!J20:L20)</f>
        <v>-2.6502586995566509E-2</v>
      </c>
    </row>
    <row r="21" spans="1:14" x14ac:dyDescent="0.35">
      <c r="A21" s="1">
        <v>45012</v>
      </c>
      <c r="B21">
        <v>52.795734000000003</v>
      </c>
      <c r="C21">
        <v>50.103152999999999</v>
      </c>
      <c r="D21">
        <v>23.178647999999999</v>
      </c>
      <c r="I21">
        <f t="shared" si="1"/>
        <v>19</v>
      </c>
      <c r="J21">
        <f t="shared" si="2"/>
        <v>-7.4837075531760866E-3</v>
      </c>
      <c r="K21">
        <f t="shared" si="2"/>
        <v>-2.1807451165596946E-3</v>
      </c>
      <c r="L21">
        <f t="shared" si="2"/>
        <v>-9.7871460738440663E-3</v>
      </c>
      <c r="N21" cm="1">
        <f t="array" ref="N21">SUMPRODUCT('ETF Prices'!$B$8:$D$8*'ETF Prices'!J21:L21)</f>
        <v>-0.71275052316594789</v>
      </c>
    </row>
    <row r="22" spans="1:14" x14ac:dyDescent="0.35">
      <c r="A22" s="1">
        <v>45013</v>
      </c>
      <c r="B22">
        <v>52.925109999999997</v>
      </c>
      <c r="C22">
        <v>50.202702000000002</v>
      </c>
      <c r="D22">
        <v>23.168686000000001</v>
      </c>
      <c r="I22">
        <f t="shared" si="1"/>
        <v>20</v>
      </c>
      <c r="J22">
        <f t="shared" si="2"/>
        <v>2.4505010196466536E-3</v>
      </c>
      <c r="K22">
        <f t="shared" si="2"/>
        <v>1.986880945396854E-3</v>
      </c>
      <c r="L22">
        <f t="shared" si="2"/>
        <v>-4.2979210866820309E-4</v>
      </c>
      <c r="N22" cm="1">
        <f t="array" ref="N22">SUMPRODUCT('ETF Prices'!$B$8:$D$8*'ETF Prices'!J22:L22)</f>
        <v>0.21413981786543176</v>
      </c>
    </row>
    <row r="23" spans="1:14" x14ac:dyDescent="0.35">
      <c r="A23" s="1">
        <v>45014</v>
      </c>
      <c r="B23">
        <v>53.024631999999997</v>
      </c>
      <c r="C23">
        <v>50.232567000000003</v>
      </c>
      <c r="D23">
        <v>23.138802999999999</v>
      </c>
      <c r="I23">
        <f t="shared" si="1"/>
        <v>21</v>
      </c>
      <c r="J23">
        <f t="shared" si="2"/>
        <v>1.8804306689206756E-3</v>
      </c>
      <c r="K23">
        <f t="shared" si="2"/>
        <v>5.9488829904017751E-4</v>
      </c>
      <c r="L23">
        <f t="shared" si="2"/>
        <v>-1.2898012429363348E-3</v>
      </c>
      <c r="N23" cm="1">
        <f t="array" ref="N23">SUMPRODUCT('ETF Prices'!$B$8:$D$8*'ETF Prices'!J23:L23)</f>
        <v>9.6932822079166786E-2</v>
      </c>
    </row>
    <row r="24" spans="1:14" x14ac:dyDescent="0.35">
      <c r="A24" s="1">
        <v>45015</v>
      </c>
      <c r="B24">
        <v>53.094296</v>
      </c>
      <c r="C24">
        <v>50.342067999999998</v>
      </c>
      <c r="D24">
        <v>23.178647999999999</v>
      </c>
      <c r="I24">
        <f t="shared" si="1"/>
        <v>22</v>
      </c>
      <c r="J24">
        <f t="shared" si="2"/>
        <v>1.3138044975022753E-3</v>
      </c>
      <c r="K24">
        <f t="shared" si="2"/>
        <v>2.1798806340116864E-3</v>
      </c>
      <c r="L24">
        <f t="shared" si="2"/>
        <v>1.7219991889813699E-3</v>
      </c>
      <c r="N24" cm="1">
        <f t="array" ref="N24">SUMPRODUCT('ETF Prices'!$B$8:$D$8*'ETF Prices'!J24:L24)</f>
        <v>0.21365823526016514</v>
      </c>
    </row>
    <row r="25" spans="1:14" x14ac:dyDescent="0.35">
      <c r="A25" s="1">
        <v>45016</v>
      </c>
      <c r="B25">
        <v>53.353050000000003</v>
      </c>
      <c r="C25">
        <v>50.431663999999998</v>
      </c>
      <c r="D25">
        <v>23.288215999999998</v>
      </c>
      <c r="I25">
        <v>23</v>
      </c>
      <c r="J25">
        <f t="shared" si="2"/>
        <v>4.873480194558061E-3</v>
      </c>
      <c r="K25">
        <f t="shared" si="2"/>
        <v>1.7797441297008347E-3</v>
      </c>
      <c r="L25">
        <f t="shared" si="2"/>
        <v>4.7271091911831719E-3</v>
      </c>
      <c r="N25" cm="1">
        <f t="array" ref="N25">SUMPRODUCT('ETF Prices'!$B$8:$D$8*'ETF Prices'!J25:L25)</f>
        <v>0.44475569509510499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D410-4098-4A92-97C5-AA9D30F2ED92}">
  <dimension ref="A1:H27"/>
  <sheetViews>
    <sheetView topLeftCell="A10" workbookViewId="0">
      <selection activeCell="B27" sqref="B27"/>
    </sheetView>
  </sheetViews>
  <sheetFormatPr defaultRowHeight="14.5" x14ac:dyDescent="0.35"/>
  <cols>
    <col min="1" max="1" width="11.36328125" customWidth="1"/>
    <col min="2" max="2" width="10.36328125" customWidth="1"/>
    <col min="6" max="6" width="10.54296875" customWidth="1"/>
  </cols>
  <sheetData>
    <row r="1" spans="1:5" x14ac:dyDescent="0.35">
      <c r="A1" t="s">
        <v>14</v>
      </c>
      <c r="B1" s="12">
        <v>250</v>
      </c>
    </row>
    <row r="3" spans="1:5" x14ac:dyDescent="0.35">
      <c r="A3" t="s">
        <v>12</v>
      </c>
      <c r="B3" t="s">
        <v>15</v>
      </c>
      <c r="D3" t="s">
        <v>19</v>
      </c>
      <c r="E3" t="s">
        <v>21</v>
      </c>
    </row>
    <row r="4" spans="1:5" x14ac:dyDescent="0.35">
      <c r="A4" s="9">
        <v>44986</v>
      </c>
      <c r="B4" s="10">
        <v>3951.39</v>
      </c>
      <c r="D4">
        <v>1</v>
      </c>
      <c r="E4" t="s">
        <v>22</v>
      </c>
    </row>
    <row r="5" spans="1:5" x14ac:dyDescent="0.35">
      <c r="A5" s="4">
        <v>44987</v>
      </c>
      <c r="B5" s="2">
        <v>3981.35</v>
      </c>
      <c r="C5" s="3"/>
      <c r="D5">
        <f>D4+1</f>
        <v>2</v>
      </c>
      <c r="E5">
        <f>(B5-B4)/B4</f>
        <v>7.5821419804170277E-3</v>
      </c>
    </row>
    <row r="6" spans="1:5" x14ac:dyDescent="0.35">
      <c r="A6" s="4">
        <v>44988</v>
      </c>
      <c r="B6" s="2">
        <v>4045.64</v>
      </c>
      <c r="C6" s="3"/>
      <c r="D6">
        <f t="shared" ref="D6:D26" si="0">D5+1</f>
        <v>3</v>
      </c>
      <c r="E6">
        <f t="shared" ref="E6:E26" si="1">(B6-B5)/B5</f>
        <v>1.6147789066522655E-2</v>
      </c>
    </row>
    <row r="7" spans="1:5" x14ac:dyDescent="0.35">
      <c r="A7" s="4">
        <v>44991</v>
      </c>
      <c r="B7" s="2">
        <v>4048.42</v>
      </c>
      <c r="C7" s="3"/>
      <c r="D7">
        <f t="shared" si="0"/>
        <v>4</v>
      </c>
      <c r="E7">
        <f t="shared" si="1"/>
        <v>6.8715950999105211E-4</v>
      </c>
    </row>
    <row r="8" spans="1:5" x14ac:dyDescent="0.35">
      <c r="A8" s="4">
        <v>44992</v>
      </c>
      <c r="B8" s="2">
        <v>3986.37</v>
      </c>
      <c r="C8" s="3"/>
      <c r="D8">
        <f t="shared" si="0"/>
        <v>5</v>
      </c>
      <c r="E8">
        <f t="shared" si="1"/>
        <v>-1.532696706369403E-2</v>
      </c>
    </row>
    <row r="9" spans="1:5" x14ac:dyDescent="0.35">
      <c r="A9" s="4">
        <v>44993</v>
      </c>
      <c r="B9" s="2">
        <v>3992.01</v>
      </c>
      <c r="C9" s="3"/>
      <c r="D9">
        <f t="shared" si="0"/>
        <v>6</v>
      </c>
      <c r="E9">
        <f t="shared" si="1"/>
        <v>1.4148210025663266E-3</v>
      </c>
    </row>
    <row r="10" spans="1:5" x14ac:dyDescent="0.35">
      <c r="A10" s="4">
        <v>44994</v>
      </c>
      <c r="B10" s="2">
        <v>3918.32</v>
      </c>
      <c r="C10" s="3"/>
      <c r="D10">
        <f t="shared" si="0"/>
        <v>7</v>
      </c>
      <c r="E10">
        <f t="shared" si="1"/>
        <v>-1.8459372596762044E-2</v>
      </c>
    </row>
    <row r="11" spans="1:5" x14ac:dyDescent="0.35">
      <c r="A11" s="4">
        <v>44995</v>
      </c>
      <c r="B11" s="2">
        <v>3861.59</v>
      </c>
      <c r="C11" s="3"/>
      <c r="D11">
        <f t="shared" si="0"/>
        <v>8</v>
      </c>
      <c r="E11">
        <f t="shared" si="1"/>
        <v>-1.447814369423631E-2</v>
      </c>
    </row>
    <row r="12" spans="1:5" x14ac:dyDescent="0.35">
      <c r="A12" s="4">
        <v>44998</v>
      </c>
      <c r="B12" s="2">
        <v>3855.76</v>
      </c>
      <c r="C12" s="3"/>
      <c r="D12">
        <f t="shared" si="0"/>
        <v>9</v>
      </c>
      <c r="E12">
        <f t="shared" si="1"/>
        <v>-1.5097408062481846E-3</v>
      </c>
    </row>
    <row r="13" spans="1:5" x14ac:dyDescent="0.35">
      <c r="A13" s="4">
        <v>44999</v>
      </c>
      <c r="B13" s="2">
        <v>3919.29</v>
      </c>
      <c r="C13" s="3"/>
      <c r="D13">
        <f t="shared" si="0"/>
        <v>10</v>
      </c>
      <c r="E13">
        <f t="shared" si="1"/>
        <v>1.6476647924144588E-2</v>
      </c>
    </row>
    <row r="14" spans="1:5" x14ac:dyDescent="0.35">
      <c r="A14" s="4">
        <v>45000</v>
      </c>
      <c r="B14" s="2">
        <v>3891.93</v>
      </c>
      <c r="C14" s="3"/>
      <c r="D14">
        <f t="shared" si="0"/>
        <v>11</v>
      </c>
      <c r="E14">
        <f t="shared" si="1"/>
        <v>-6.9808562265104464E-3</v>
      </c>
    </row>
    <row r="15" spans="1:5" x14ac:dyDescent="0.35">
      <c r="A15" s="4">
        <v>45001</v>
      </c>
      <c r="B15" s="2">
        <v>3960.28</v>
      </c>
      <c r="C15" s="3"/>
      <c r="D15">
        <f t="shared" si="0"/>
        <v>12</v>
      </c>
      <c r="E15">
        <f t="shared" si="1"/>
        <v>1.7561980816715707E-2</v>
      </c>
    </row>
    <row r="16" spans="1:5" x14ac:dyDescent="0.35">
      <c r="A16" s="4">
        <v>45002</v>
      </c>
      <c r="B16" s="2">
        <v>3916.64</v>
      </c>
      <c r="C16" s="3"/>
      <c r="D16">
        <f t="shared" si="0"/>
        <v>13</v>
      </c>
      <c r="E16">
        <f t="shared" si="1"/>
        <v>-1.1019422869090146E-2</v>
      </c>
    </row>
    <row r="17" spans="1:8" x14ac:dyDescent="0.35">
      <c r="A17" s="4">
        <v>45005</v>
      </c>
      <c r="B17" s="2">
        <v>3951.57</v>
      </c>
      <c r="C17" s="3"/>
      <c r="D17">
        <f t="shared" si="0"/>
        <v>14</v>
      </c>
      <c r="E17">
        <f t="shared" si="1"/>
        <v>8.9183585930798573E-3</v>
      </c>
      <c r="F17" s="4"/>
      <c r="G17" s="2"/>
      <c r="H17" s="3"/>
    </row>
    <row r="18" spans="1:8" x14ac:dyDescent="0.35">
      <c r="A18" s="4">
        <v>45006</v>
      </c>
      <c r="B18" s="2">
        <v>4002.87</v>
      </c>
      <c r="C18" s="3"/>
      <c r="D18">
        <f t="shared" si="0"/>
        <v>15</v>
      </c>
      <c r="E18">
        <f t="shared" si="1"/>
        <v>1.2982181765728488E-2</v>
      </c>
      <c r="F18" s="4"/>
      <c r="G18" s="2"/>
      <c r="H18" s="3"/>
    </row>
    <row r="19" spans="1:8" x14ac:dyDescent="0.35">
      <c r="A19" s="4">
        <v>45007</v>
      </c>
      <c r="B19" s="2">
        <v>3936.97</v>
      </c>
      <c r="C19" s="3"/>
      <c r="D19">
        <f t="shared" si="0"/>
        <v>16</v>
      </c>
      <c r="E19">
        <f t="shared" si="1"/>
        <v>-1.6463187662851927E-2</v>
      </c>
      <c r="F19" s="4"/>
      <c r="G19" s="2"/>
      <c r="H19" s="3"/>
    </row>
    <row r="20" spans="1:8" x14ac:dyDescent="0.35">
      <c r="A20" s="4">
        <v>45008</v>
      </c>
      <c r="B20" s="2">
        <v>3948.72</v>
      </c>
      <c r="C20" s="3"/>
      <c r="D20">
        <f t="shared" si="0"/>
        <v>17</v>
      </c>
      <c r="E20">
        <f t="shared" si="1"/>
        <v>2.9845287111662016E-3</v>
      </c>
      <c r="F20" s="4"/>
      <c r="G20" s="2"/>
      <c r="H20" s="3"/>
    </row>
    <row r="21" spans="1:8" x14ac:dyDescent="0.35">
      <c r="A21" s="4">
        <v>45009</v>
      </c>
      <c r="B21" s="2">
        <v>3970.99</v>
      </c>
      <c r="C21" s="3"/>
      <c r="D21">
        <f t="shared" si="0"/>
        <v>18</v>
      </c>
      <c r="E21">
        <f t="shared" si="1"/>
        <v>5.6398022650377801E-3</v>
      </c>
      <c r="F21" s="4"/>
      <c r="G21" s="2"/>
      <c r="H21" s="3"/>
    </row>
    <row r="22" spans="1:8" x14ac:dyDescent="0.35">
      <c r="A22" s="4">
        <v>45012</v>
      </c>
      <c r="B22" s="2">
        <v>3977.53</v>
      </c>
      <c r="C22" s="3"/>
      <c r="D22">
        <f t="shared" si="0"/>
        <v>19</v>
      </c>
      <c r="E22">
        <f t="shared" si="1"/>
        <v>1.6469444647305631E-3</v>
      </c>
      <c r="F22" s="4"/>
      <c r="G22" s="2"/>
      <c r="H22" s="3"/>
    </row>
    <row r="23" spans="1:8" x14ac:dyDescent="0.35">
      <c r="A23" s="4">
        <v>45013</v>
      </c>
      <c r="B23" s="2">
        <v>3971.27</v>
      </c>
      <c r="C23" s="3"/>
      <c r="D23">
        <f t="shared" si="0"/>
        <v>20</v>
      </c>
      <c r="E23">
        <f t="shared" si="1"/>
        <v>-1.5738410521102841E-3</v>
      </c>
      <c r="F23" s="4"/>
      <c r="G23" s="2"/>
      <c r="H23" s="3"/>
    </row>
    <row r="24" spans="1:8" x14ac:dyDescent="0.35">
      <c r="A24" s="4">
        <v>45014</v>
      </c>
      <c r="B24" s="2">
        <v>4027.81</v>
      </c>
      <c r="C24" s="3"/>
      <c r="D24">
        <f t="shared" si="0"/>
        <v>21</v>
      </c>
      <c r="E24">
        <f t="shared" si="1"/>
        <v>1.4237259113583303E-2</v>
      </c>
      <c r="F24" s="4"/>
      <c r="G24" s="2"/>
      <c r="H24" s="3"/>
    </row>
    <row r="25" spans="1:8" x14ac:dyDescent="0.35">
      <c r="A25" s="4">
        <v>45015</v>
      </c>
      <c r="B25" s="2">
        <v>4050.83</v>
      </c>
      <c r="C25" s="3"/>
      <c r="D25">
        <f t="shared" si="0"/>
        <v>22</v>
      </c>
      <c r="E25">
        <f t="shared" si="1"/>
        <v>5.7152646227106004E-3</v>
      </c>
      <c r="F25" s="4"/>
      <c r="G25" s="2"/>
      <c r="H25" s="3"/>
    </row>
    <row r="26" spans="1:8" x14ac:dyDescent="0.35">
      <c r="A26" s="4">
        <v>45016</v>
      </c>
      <c r="B26" s="2">
        <v>4109.3100000000004</v>
      </c>
      <c r="D26">
        <v>23</v>
      </c>
      <c r="E26">
        <f t="shared" si="1"/>
        <v>1.4436547571732329E-2</v>
      </c>
      <c r="F26" s="4"/>
      <c r="G26" s="2"/>
      <c r="H26" s="3"/>
    </row>
    <row r="27" spans="1:8" x14ac:dyDescent="0.35">
      <c r="A27" s="4">
        <v>45019</v>
      </c>
      <c r="B27" s="2">
        <v>4124.51</v>
      </c>
      <c r="F27" s="4"/>
      <c r="G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3DD0-2C37-44DB-AF58-EEFE7DF3AA9C}">
  <dimension ref="A2:C7"/>
  <sheetViews>
    <sheetView tabSelected="1" workbookViewId="0">
      <selection activeCell="C8" sqref="C8"/>
    </sheetView>
  </sheetViews>
  <sheetFormatPr defaultRowHeight="14.5" x14ac:dyDescent="0.35"/>
  <cols>
    <col min="1" max="1" width="16.36328125" customWidth="1"/>
    <col min="2" max="2" width="11.1796875" customWidth="1"/>
  </cols>
  <sheetData>
    <row r="2" spans="1:3" x14ac:dyDescent="0.35">
      <c r="A2" t="s">
        <v>24</v>
      </c>
      <c r="B2">
        <f>SLOPE('ETF Prices'!N4:N25,'s&amp;P500 FUTURESS'!E5:E26)</f>
        <v>-23.128733493290571</v>
      </c>
    </row>
    <row r="3" spans="1:3" x14ac:dyDescent="0.35">
      <c r="A3" t="s">
        <v>25</v>
      </c>
      <c r="B3">
        <f>'ETF Portfolio'!E7</f>
        <v>299909.27949400002</v>
      </c>
    </row>
    <row r="4" spans="1:3" x14ac:dyDescent="0.35">
      <c r="A4" t="s">
        <v>26</v>
      </c>
      <c r="B4">
        <f>'s&amp;P500 FUTURESS'!B27*250</f>
        <v>1031127.5</v>
      </c>
    </row>
    <row r="5" spans="1:3" x14ac:dyDescent="0.35">
      <c r="A5" t="s">
        <v>27</v>
      </c>
      <c r="B5">
        <f>(B2*B3)/B4</f>
        <v>-6.7271232680551352</v>
      </c>
    </row>
    <row r="6" spans="1:3" x14ac:dyDescent="0.35">
      <c r="B6">
        <f>ROUND(B5,5)</f>
        <v>-6.7271200000000002</v>
      </c>
    </row>
    <row r="7" spans="1:3" x14ac:dyDescent="0.35">
      <c r="B7">
        <v>7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Portfolio</vt:lpstr>
      <vt:lpstr>ETF Prices</vt:lpstr>
      <vt:lpstr>s&amp;P500 FUTURESS</vt:lpstr>
      <vt:lpstr>Hedging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Div43</dc:creator>
  <cp:lastModifiedBy>Divyaraj Parihar</cp:lastModifiedBy>
  <dcterms:created xsi:type="dcterms:W3CDTF">2023-05-12T16:44:10Z</dcterms:created>
  <dcterms:modified xsi:type="dcterms:W3CDTF">2023-05-12T18:23:44Z</dcterms:modified>
</cp:coreProperties>
</file>