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tashv\Desktop\CF\"/>
    </mc:Choice>
  </mc:AlternateContent>
  <xr:revisionPtr revIDLastSave="0" documentId="13_ncr:1_{53133CC2-2DB7-40B4-8F7C-D86CD57BB5A3}" xr6:coauthVersionLast="47" xr6:coauthVersionMax="47" xr10:uidLastSave="{00000000-0000-0000-0000-000000000000}"/>
  <bookViews>
    <workbookView xWindow="-110" yWindow="-110" windowWidth="19420" windowHeight="10300" activeTab="3" xr2:uid="{9743224B-057C-4B4D-BAB7-E21EA01AEA7F}"/>
  </bookViews>
  <sheets>
    <sheet name="FS Historical" sheetId="1" r:id="rId1"/>
    <sheet name="Projections" sheetId="2" r:id="rId2"/>
    <sheet name="DCF Q1" sheetId="3" r:id="rId3"/>
    <sheet name="Q2,3,4" sheetId="5" r:id="rId4"/>
  </sheets>
  <externalReferences>
    <externalReference r:id="rId5"/>
  </externalReferences>
  <definedNames>
    <definedName name="Company_Name">[1]Start!$B$7</definedName>
    <definedName name="_xlnm.Print_Area" localSheetId="0">'FS Historical'!$A$5:$J$154</definedName>
    <definedName name="_xlnm.Print_Area" localSheetId="1">Projections!$A$5:$H$59</definedName>
    <definedName name="_xlnm.Print_Titles" localSheetId="0">'FS Historical'!$1:$4</definedName>
    <definedName name="_xlnm.Print_Titles" localSheetId="1">Projections!$1:$4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3" i="3" l="1"/>
  <c r="D25" i="3"/>
  <c r="F71" i="3" s="1"/>
  <c r="G71" i="3"/>
  <c r="H71" i="3"/>
  <c r="I71" i="3"/>
  <c r="E71" i="3"/>
  <c r="I65" i="3"/>
  <c r="E54" i="3"/>
  <c r="E55" i="3"/>
  <c r="M7" i="3"/>
  <c r="K7" i="3"/>
  <c r="N7" i="3" s="1"/>
  <c r="H10" i="3" s="1"/>
  <c r="J7" i="3"/>
  <c r="D83" i="3"/>
  <c r="D46" i="2"/>
  <c r="H46" i="2"/>
  <c r="P40" i="3"/>
  <c r="Q33" i="3"/>
  <c r="Q34" i="3" s="1"/>
  <c r="P37" i="3"/>
  <c r="R33" i="3"/>
  <c r="R34" i="3" s="1"/>
  <c r="S33" i="3"/>
  <c r="T33" i="3"/>
  <c r="U33" i="3"/>
  <c r="P34" i="3"/>
  <c r="E21" i="1"/>
  <c r="F21" i="1"/>
  <c r="G21" i="1"/>
  <c r="D21" i="1"/>
  <c r="F60" i="1"/>
  <c r="G60" i="1"/>
  <c r="E60" i="1"/>
  <c r="D19" i="1"/>
  <c r="M60" i="1"/>
  <c r="D84" i="3"/>
  <c r="I55" i="3"/>
  <c r="H55" i="3"/>
  <c r="G55" i="3"/>
  <c r="F55" i="3"/>
  <c r="H54" i="3"/>
  <c r="G54" i="3"/>
  <c r="F54" i="3"/>
  <c r="D31" i="2"/>
  <c r="E51" i="3" s="1"/>
  <c r="P43" i="3" l="1"/>
  <c r="S34" i="3"/>
  <c r="T34" i="3" s="1"/>
  <c r="U34" i="3"/>
  <c r="D51" i="2"/>
  <c r="I45" i="3"/>
  <c r="H45" i="3"/>
  <c r="G45" i="3"/>
  <c r="F45" i="3"/>
  <c r="E45" i="3"/>
  <c r="D45" i="3"/>
  <c r="C49" i="3" l="1"/>
  <c r="D17" i="3"/>
  <c r="C62" i="3" s="1"/>
  <c r="C58" i="2" l="1"/>
  <c r="D55" i="3" s="1"/>
  <c r="H51" i="2"/>
  <c r="G51" i="2"/>
  <c r="F51" i="2"/>
  <c r="E51" i="2"/>
  <c r="C51" i="2"/>
  <c r="C46" i="2"/>
  <c r="C42" i="2"/>
  <c r="C41" i="2"/>
  <c r="H31" i="2"/>
  <c r="G31" i="2"/>
  <c r="F31" i="2"/>
  <c r="E31" i="2"/>
  <c r="D32" i="2"/>
  <c r="C29" i="2"/>
  <c r="C18" i="2"/>
  <c r="H13" i="2"/>
  <c r="I49" i="3" s="1"/>
  <c r="G13" i="2"/>
  <c r="F13" i="2"/>
  <c r="G49" i="3" s="1"/>
  <c r="E13" i="2"/>
  <c r="D13" i="2"/>
  <c r="E49" i="3" s="1"/>
  <c r="C13" i="2"/>
  <c r="D49" i="3" s="1"/>
  <c r="H11" i="2"/>
  <c r="I47" i="3" s="1"/>
  <c r="G11" i="2"/>
  <c r="H47" i="3" s="1"/>
  <c r="F11" i="2"/>
  <c r="G47" i="3" s="1"/>
  <c r="E11" i="2"/>
  <c r="F47" i="3" s="1"/>
  <c r="C10" i="2"/>
  <c r="A5" i="2"/>
  <c r="A1" i="2"/>
  <c r="G168" i="1"/>
  <c r="F168" i="1"/>
  <c r="E168" i="1"/>
  <c r="D168" i="1"/>
  <c r="G165" i="1"/>
  <c r="F165" i="1"/>
  <c r="E165" i="1"/>
  <c r="D165" i="1"/>
  <c r="G162" i="1"/>
  <c r="A162" i="1"/>
  <c r="G148" i="1"/>
  <c r="F148" i="1"/>
  <c r="E148" i="1"/>
  <c r="D148" i="1"/>
  <c r="C148" i="1"/>
  <c r="B148" i="1"/>
  <c r="E139" i="1"/>
  <c r="D139" i="1"/>
  <c r="C139" i="1"/>
  <c r="B139" i="1"/>
  <c r="G99" i="1"/>
  <c r="G139" i="1" s="1"/>
  <c r="F99" i="1"/>
  <c r="F139" i="1" s="1"/>
  <c r="C96" i="1"/>
  <c r="B96" i="1"/>
  <c r="G94" i="1"/>
  <c r="G96" i="1" s="1"/>
  <c r="F94" i="1"/>
  <c r="F96" i="1" s="1"/>
  <c r="E94" i="1"/>
  <c r="E96" i="1" s="1"/>
  <c r="D94" i="1"/>
  <c r="D96" i="1" s="1"/>
  <c r="D141" i="1" s="1"/>
  <c r="G90" i="1"/>
  <c r="A90" i="1"/>
  <c r="G83" i="1"/>
  <c r="F83" i="1"/>
  <c r="E83" i="1"/>
  <c r="D83" i="1"/>
  <c r="C83" i="1"/>
  <c r="B83" i="1"/>
  <c r="C75" i="1"/>
  <c r="B75" i="1"/>
  <c r="G73" i="1"/>
  <c r="G75" i="1" s="1"/>
  <c r="F73" i="1"/>
  <c r="F75" i="1" s="1"/>
  <c r="E73" i="1"/>
  <c r="E75" i="1" s="1"/>
  <c r="D73" i="1"/>
  <c r="D75" i="1" s="1"/>
  <c r="C65" i="1"/>
  <c r="B65" i="1"/>
  <c r="G64" i="1"/>
  <c r="G65" i="1" s="1"/>
  <c r="F64" i="1"/>
  <c r="E64" i="1"/>
  <c r="D64" i="1"/>
  <c r="D65" i="1" s="1"/>
  <c r="G58" i="1"/>
  <c r="F58" i="1"/>
  <c r="E58" i="1"/>
  <c r="D58" i="1"/>
  <c r="C58" i="1"/>
  <c r="B58" i="1"/>
  <c r="G47" i="1"/>
  <c r="A47" i="1"/>
  <c r="G36" i="1"/>
  <c r="G38" i="1" s="1"/>
  <c r="F36" i="1"/>
  <c r="F38" i="1" s="1"/>
  <c r="E36" i="1"/>
  <c r="E38" i="1" s="1"/>
  <c r="D36" i="1"/>
  <c r="D38" i="1" s="1"/>
  <c r="C36" i="1"/>
  <c r="C38" i="1" s="1"/>
  <c r="B36" i="1"/>
  <c r="B38" i="1" s="1"/>
  <c r="C28" i="1"/>
  <c r="C30" i="1" s="1"/>
  <c r="C81" i="1" s="1"/>
  <c r="B28" i="1"/>
  <c r="B30" i="1" s="1"/>
  <c r="B81" i="1" s="1"/>
  <c r="G26" i="1"/>
  <c r="F26" i="1"/>
  <c r="E26" i="1"/>
  <c r="D26" i="1"/>
  <c r="G25" i="1"/>
  <c r="F25" i="1"/>
  <c r="E25" i="1"/>
  <c r="D25" i="1"/>
  <c r="G24" i="1"/>
  <c r="F24" i="1"/>
  <c r="E24" i="1"/>
  <c r="D24" i="1"/>
  <c r="G19" i="1"/>
  <c r="F19" i="1"/>
  <c r="E19" i="1"/>
  <c r="C19" i="1"/>
  <c r="B19" i="1"/>
  <c r="F7" i="1"/>
  <c r="E7" i="1" s="1"/>
  <c r="G1" i="1"/>
  <c r="A158" i="1"/>
  <c r="Q39" i="3" l="1"/>
  <c r="Q40" i="3" s="1"/>
  <c r="Q36" i="3"/>
  <c r="Q37" i="3" s="1"/>
  <c r="Q43" i="3" s="1"/>
  <c r="E56" i="3" s="1"/>
  <c r="V36" i="3"/>
  <c r="V39" i="3"/>
  <c r="R39" i="3"/>
  <c r="R40" i="3" s="1"/>
  <c r="R36" i="3"/>
  <c r="R37" i="3" s="1"/>
  <c r="T36" i="3"/>
  <c r="T39" i="3"/>
  <c r="D11" i="2"/>
  <c r="E47" i="3" s="1"/>
  <c r="D46" i="3"/>
  <c r="G32" i="2"/>
  <c r="H51" i="3"/>
  <c r="H32" i="2"/>
  <c r="I51" i="3"/>
  <c r="G16" i="2"/>
  <c r="G34" i="2" s="1"/>
  <c r="G38" i="2" s="1"/>
  <c r="H49" i="3"/>
  <c r="F51" i="3"/>
  <c r="E32" i="2"/>
  <c r="E16" i="2"/>
  <c r="F49" i="3"/>
  <c r="F32" i="2"/>
  <c r="G51" i="3"/>
  <c r="D150" i="1"/>
  <c r="D154" i="1" s="1"/>
  <c r="D164" i="1" s="1"/>
  <c r="D169" i="1" s="1"/>
  <c r="G141" i="1"/>
  <c r="G156" i="1" s="1"/>
  <c r="B141" i="1"/>
  <c r="B150" i="1" s="1"/>
  <c r="B154" i="1" s="1"/>
  <c r="B156" i="1" s="1"/>
  <c r="G28" i="1"/>
  <c r="G30" i="1" s="1"/>
  <c r="G40" i="1" s="1"/>
  <c r="C141" i="1"/>
  <c r="C150" i="1" s="1"/>
  <c r="C154" i="1" s="1"/>
  <c r="C156" i="1" s="1"/>
  <c r="D77" i="1"/>
  <c r="G77" i="1"/>
  <c r="C77" i="1"/>
  <c r="E28" i="1"/>
  <c r="E30" i="1" s="1"/>
  <c r="E81" i="1" s="1"/>
  <c r="F28" i="1"/>
  <c r="F30" i="1" s="1"/>
  <c r="F81" i="1" s="1"/>
  <c r="D28" i="1"/>
  <c r="D30" i="1" s="1"/>
  <c r="D81" i="1" s="1"/>
  <c r="B40" i="1"/>
  <c r="E141" i="1"/>
  <c r="E156" i="1" s="1"/>
  <c r="C40" i="1"/>
  <c r="B77" i="1"/>
  <c r="F141" i="1"/>
  <c r="F156" i="1" s="1"/>
  <c r="C31" i="2"/>
  <c r="C16" i="2"/>
  <c r="H16" i="2"/>
  <c r="H34" i="2" s="1"/>
  <c r="C14" i="2"/>
  <c r="E34" i="2"/>
  <c r="D16" i="2"/>
  <c r="F16" i="2"/>
  <c r="D7" i="1"/>
  <c r="E90" i="1"/>
  <c r="E47" i="1"/>
  <c r="E162" i="1"/>
  <c r="F162" i="1"/>
  <c r="A43" i="1"/>
  <c r="E65" i="1"/>
  <c r="E67" i="1" s="1"/>
  <c r="F47" i="1"/>
  <c r="F65" i="1"/>
  <c r="F77" i="1" s="1"/>
  <c r="A86" i="1"/>
  <c r="B67" i="1"/>
  <c r="B82" i="1" s="1"/>
  <c r="C67" i="1"/>
  <c r="C82" i="1" s="1"/>
  <c r="D67" i="1"/>
  <c r="D156" i="1"/>
  <c r="G67" i="1"/>
  <c r="F90" i="1"/>
  <c r="C34" i="2" l="1"/>
  <c r="R43" i="3"/>
  <c r="F56" i="3" s="1"/>
  <c r="U36" i="3"/>
  <c r="U39" i="3"/>
  <c r="S39" i="3"/>
  <c r="S40" i="3" s="1"/>
  <c r="T40" i="3" s="1"/>
  <c r="U40" i="3" s="1"/>
  <c r="V40" i="3" s="1"/>
  <c r="S36" i="3"/>
  <c r="S37" i="3" s="1"/>
  <c r="C32" i="2"/>
  <c r="D51" i="3"/>
  <c r="D52" i="3" s="1"/>
  <c r="E46" i="3"/>
  <c r="E52" i="3" s="1"/>
  <c r="E82" i="1"/>
  <c r="G150" i="1"/>
  <c r="G154" i="1" s="1"/>
  <c r="G164" i="1" s="1"/>
  <c r="G169" i="1" s="1"/>
  <c r="D82" i="1"/>
  <c r="G81" i="1"/>
  <c r="G82" i="1" s="1"/>
  <c r="C79" i="1"/>
  <c r="G79" i="1"/>
  <c r="B79" i="1"/>
  <c r="F67" i="1"/>
  <c r="F82" i="1" s="1"/>
  <c r="E40" i="1"/>
  <c r="F150" i="1"/>
  <c r="F154" i="1" s="1"/>
  <c r="F164" i="1" s="1"/>
  <c r="F169" i="1" s="1"/>
  <c r="E150" i="1"/>
  <c r="E154" i="1" s="1"/>
  <c r="E164" i="1" s="1"/>
  <c r="E169" i="1" s="1"/>
  <c r="F40" i="1"/>
  <c r="F79" i="1" s="1"/>
  <c r="D40" i="1"/>
  <c r="D79" i="1" s="1"/>
  <c r="H38" i="2"/>
  <c r="C38" i="2"/>
  <c r="E38" i="2"/>
  <c r="F34" i="2"/>
  <c r="D34" i="2"/>
  <c r="G53" i="2"/>
  <c r="G44" i="2"/>
  <c r="G39" i="2"/>
  <c r="C7" i="1"/>
  <c r="D90" i="1"/>
  <c r="D47" i="1"/>
  <c r="D162" i="1"/>
  <c r="E77" i="1"/>
  <c r="E79" i="1" s="1"/>
  <c r="D53" i="3" l="1"/>
  <c r="D57" i="3" s="1"/>
  <c r="E53" i="3"/>
  <c r="E57" i="3"/>
  <c r="S43" i="3"/>
  <c r="T37" i="3"/>
  <c r="T43" i="3" s="1"/>
  <c r="D59" i="3"/>
  <c r="F46" i="3"/>
  <c r="C53" i="2"/>
  <c r="C39" i="2"/>
  <c r="C44" i="2"/>
  <c r="C47" i="2" s="1"/>
  <c r="H53" i="2"/>
  <c r="H44" i="2"/>
  <c r="H39" i="2"/>
  <c r="E39" i="2"/>
  <c r="E53" i="2"/>
  <c r="E44" i="2"/>
  <c r="D38" i="2"/>
  <c r="F38" i="2"/>
  <c r="G46" i="2"/>
  <c r="B7" i="1"/>
  <c r="C90" i="1"/>
  <c r="C162" i="1"/>
  <c r="C47" i="1"/>
  <c r="U37" i="3" l="1"/>
  <c r="V37" i="3" s="1"/>
  <c r="H56" i="3"/>
  <c r="G56" i="3"/>
  <c r="U43" i="3"/>
  <c r="F52" i="3"/>
  <c r="G46" i="3"/>
  <c r="E59" i="3"/>
  <c r="E69" i="3"/>
  <c r="G49" i="2"/>
  <c r="H49" i="2"/>
  <c r="C49" i="2"/>
  <c r="D39" i="2"/>
  <c r="D53" i="2"/>
  <c r="D44" i="2"/>
  <c r="E46" i="2"/>
  <c r="E49" i="2" s="1"/>
  <c r="F53" i="2"/>
  <c r="F44" i="2"/>
  <c r="F39" i="2"/>
  <c r="B90" i="1"/>
  <c r="B47" i="1"/>
  <c r="F53" i="3" l="1"/>
  <c r="F57" i="3" s="1"/>
  <c r="I56" i="3"/>
  <c r="G52" i="3"/>
  <c r="G53" i="3" s="1"/>
  <c r="H46" i="3"/>
  <c r="F59" i="3"/>
  <c r="D49" i="2"/>
  <c r="F46" i="2"/>
  <c r="F49" i="2" s="1"/>
  <c r="G57" i="3" l="1"/>
  <c r="F69" i="3"/>
  <c r="H52" i="3"/>
  <c r="I46" i="3"/>
  <c r="G59" i="3"/>
  <c r="H53" i="3" l="1"/>
  <c r="H57" i="3"/>
  <c r="G69" i="3"/>
  <c r="D76" i="3" s="1"/>
  <c r="I52" i="3"/>
  <c r="J46" i="3"/>
  <c r="V30" i="3" s="1"/>
  <c r="V33" i="3" s="1"/>
  <c r="V34" i="3" s="1"/>
  <c r="V43" i="3" s="1"/>
  <c r="J56" i="3" s="1"/>
  <c r="H59" i="3"/>
  <c r="D74" i="3"/>
  <c r="D75" i="3"/>
  <c r="I53" i="3" l="1"/>
  <c r="I57" i="3" s="1"/>
  <c r="I59" i="3"/>
  <c r="I62" i="3" s="1"/>
  <c r="H69" i="3"/>
  <c r="D77" i="3" s="1"/>
  <c r="J55" i="3"/>
  <c r="J49" i="3"/>
  <c r="J51" i="3"/>
  <c r="J52" i="3" l="1"/>
  <c r="J53" i="3" l="1"/>
  <c r="J57" i="3"/>
  <c r="I63" i="3"/>
  <c r="I64" i="3" s="1"/>
  <c r="I67" i="3" s="1"/>
  <c r="I69" i="3" s="1"/>
  <c r="J59" i="3"/>
  <c r="D78" i="3" l="1"/>
  <c r="D79" i="3" l="1"/>
  <c r="D82" i="3" s="1"/>
  <c r="D85" i="3" s="1"/>
  <c r="E85" i="3" l="1"/>
</calcChain>
</file>

<file path=xl/sharedStrings.xml><?xml version="1.0" encoding="utf-8"?>
<sst xmlns="http://schemas.openxmlformats.org/spreadsheetml/2006/main" count="293" uniqueCount="195">
  <si>
    <t>Historical Financial Statements</t>
  </si>
  <si>
    <t>Historical Balance Sheet</t>
  </si>
  <si>
    <t>For Years Ending December 31 (in $ millions)</t>
  </si>
  <si>
    <t>ASSETS</t>
  </si>
  <si>
    <t>Current Assets</t>
  </si>
  <si>
    <t xml:space="preserve">   Cash &amp; Equivalents</t>
  </si>
  <si>
    <t xml:space="preserve">   Accounts Receivable</t>
  </si>
  <si>
    <t xml:space="preserve">   Other Receivables</t>
  </si>
  <si>
    <t xml:space="preserve">   Investments</t>
  </si>
  <si>
    <t xml:space="preserve">   Inventory</t>
  </si>
  <si>
    <t xml:space="preserve">   Prepaid Expenses</t>
  </si>
  <si>
    <t xml:space="preserve">   Other Current Assets</t>
  </si>
  <si>
    <t xml:space="preserve">      Total Current Assets</t>
  </si>
  <si>
    <t>Fixed Assets</t>
  </si>
  <si>
    <t xml:space="preserve">   Land</t>
  </si>
  <si>
    <t xml:space="preserve">   Buildings &amp; Leasehold Improvements</t>
  </si>
  <si>
    <t xml:space="preserve">   Equipment</t>
  </si>
  <si>
    <t xml:space="preserve">   Furniture &amp; Fixtures</t>
  </si>
  <si>
    <t xml:space="preserve">   Vehicles</t>
  </si>
  <si>
    <t xml:space="preserve">      Total Fixed Assets</t>
  </si>
  <si>
    <t xml:space="preserve">      Less: Accumulated Depreciation</t>
  </si>
  <si>
    <t xml:space="preserve">         Net Fixed Assets</t>
  </si>
  <si>
    <t>Other Assets</t>
  </si>
  <si>
    <t xml:space="preserve">   Goodwill</t>
  </si>
  <si>
    <t xml:space="preserve">   Other Intangible Assets</t>
  </si>
  <si>
    <t xml:space="preserve">   Accumulated Amortization</t>
  </si>
  <si>
    <t xml:space="preserve">   Intangible Assets, Net</t>
  </si>
  <si>
    <t xml:space="preserve">   Other Assets</t>
  </si>
  <si>
    <t xml:space="preserve">      Total Other Assets</t>
  </si>
  <si>
    <t>TOTAL ASSETS</t>
  </si>
  <si>
    <t>LIABILITIES &amp; EQUITY</t>
  </si>
  <si>
    <t>Current Liabilities</t>
  </si>
  <si>
    <t xml:space="preserve">   Line of Credit</t>
  </si>
  <si>
    <t xml:space="preserve">   Accounts Payable</t>
  </si>
  <si>
    <t xml:space="preserve">   Other Payables</t>
  </si>
  <si>
    <t xml:space="preserve">   Accrued Liabilities</t>
  </si>
  <si>
    <t xml:space="preserve">   Notes Payable</t>
  </si>
  <si>
    <t xml:space="preserve">   Other Current Liabilities</t>
  </si>
  <si>
    <t xml:space="preserve">      Total Current Liabilities</t>
  </si>
  <si>
    <t>Long-Term Liabilities</t>
  </si>
  <si>
    <t xml:space="preserve">   Long-Term Debt</t>
  </si>
  <si>
    <t xml:space="preserve">   Capital Leases</t>
  </si>
  <si>
    <t xml:space="preserve">   Other Liabilities</t>
  </si>
  <si>
    <t xml:space="preserve">      Total Long-Term Liabilities</t>
  </si>
  <si>
    <t>Total Liabilities</t>
  </si>
  <si>
    <t>Stockholders' Equity</t>
  </si>
  <si>
    <t xml:space="preserve">   Preferred Stock</t>
  </si>
  <si>
    <t xml:space="preserve">   Common Equity</t>
  </si>
  <si>
    <t xml:space="preserve">   Additional Paid-in Capital</t>
  </si>
  <si>
    <t xml:space="preserve">   Retained Earnings</t>
  </si>
  <si>
    <t xml:space="preserve">   Treasury Stock</t>
  </si>
  <si>
    <t xml:space="preserve">      Total Stockholders' Equity</t>
  </si>
  <si>
    <t>TOTAL LIABILITIES &amp; EQUITY</t>
  </si>
  <si>
    <t>Check</t>
  </si>
  <si>
    <t>Tangible Assets</t>
  </si>
  <si>
    <t>Tangible Net Worth</t>
  </si>
  <si>
    <t>Total Debt</t>
  </si>
  <si>
    <t>Historical Income Statement</t>
  </si>
  <si>
    <t>Total Revenues</t>
  </si>
  <si>
    <t>Cost of Sales</t>
  </si>
  <si>
    <t xml:space="preserve">   Gross Profit</t>
  </si>
  <si>
    <t>General &amp; Administrative Expense</t>
  </si>
  <si>
    <t>Other Expense</t>
  </si>
  <si>
    <t>Depreciation &amp; Amortization</t>
  </si>
  <si>
    <t>Total Operating Expenses</t>
  </si>
  <si>
    <t xml:space="preserve">   Operating Income</t>
  </si>
  <si>
    <t>Other Income / (Expense)</t>
  </si>
  <si>
    <t xml:space="preserve">   Gain / (Loss) on Sale of Assets</t>
  </si>
  <si>
    <t xml:space="preserve">   Other Income (Expense)</t>
  </si>
  <si>
    <t xml:space="preserve">   Interest Income (Expense)</t>
  </si>
  <si>
    <t xml:space="preserve">      Total Other Income / (Expense)</t>
  </si>
  <si>
    <t>Earnings Before Taxes</t>
  </si>
  <si>
    <t xml:space="preserve">   Income Tax Expense</t>
  </si>
  <si>
    <t>Net Income / (Loss)</t>
  </si>
  <si>
    <t>EBITDA</t>
  </si>
  <si>
    <t>Historical Cash Flow Statement</t>
  </si>
  <si>
    <t>Net Income</t>
  </si>
  <si>
    <t>Stock-Based Compensation</t>
  </si>
  <si>
    <t>Share Based Compensation</t>
  </si>
  <si>
    <t>Change in Working Capital</t>
  </si>
  <si>
    <t xml:space="preserve">  Total Operating Cash Flow</t>
  </si>
  <si>
    <t>Capital Expenditures</t>
  </si>
  <si>
    <t>Projected Cash Flows</t>
  </si>
  <si>
    <t>(Actual)</t>
  </si>
  <si>
    <t>(Forecast)</t>
  </si>
  <si>
    <t>(Projected)</t>
  </si>
  <si>
    <t>INCOME STATEMENT</t>
  </si>
  <si>
    <t>Growth YoY</t>
  </si>
  <si>
    <t>Gross Profit</t>
  </si>
  <si>
    <t>Operating Expenses</t>
  </si>
  <si>
    <t>EBIT</t>
  </si>
  <si>
    <t xml:space="preserve">  Adjustments</t>
  </si>
  <si>
    <t>EBIT (Adjusted)</t>
  </si>
  <si>
    <t xml:space="preserve">  Other Income (Expense)</t>
  </si>
  <si>
    <t xml:space="preserve">  Interest Expense (Income)</t>
  </si>
  <si>
    <t>Pre-Tax Income</t>
  </si>
  <si>
    <t>Income Tax Expense</t>
  </si>
  <si>
    <t>CASH FLOW</t>
  </si>
  <si>
    <t>Panera Bread</t>
  </si>
  <si>
    <t>Calculations</t>
  </si>
  <si>
    <t>Company</t>
  </si>
  <si>
    <t>Chipotle</t>
  </si>
  <si>
    <t>Shake Shack</t>
  </si>
  <si>
    <t>Wingstop</t>
  </si>
  <si>
    <t>Potbelly</t>
  </si>
  <si>
    <t>Zoe's Kitchen</t>
  </si>
  <si>
    <t>Habit Restraunts</t>
  </si>
  <si>
    <t>Freshii</t>
  </si>
  <si>
    <t>Noodles &amp; Company</t>
  </si>
  <si>
    <t xml:space="preserve"> </t>
  </si>
  <si>
    <t>EV / EBITDA</t>
  </si>
  <si>
    <t>Average</t>
  </si>
  <si>
    <t>Historical Market Premium =</t>
  </si>
  <si>
    <t>Historical Tax Rate =</t>
  </si>
  <si>
    <t>Risk Free Rate(10year )</t>
  </si>
  <si>
    <t>beta</t>
  </si>
  <si>
    <t xml:space="preserve">  year (n) =</t>
  </si>
  <si>
    <t>Discout Cash Flow Valuation Analysis</t>
  </si>
  <si>
    <t>Projected</t>
  </si>
  <si>
    <t>Input Actual</t>
  </si>
  <si>
    <t>EXIT YEAR</t>
  </si>
  <si>
    <t>Assumptions</t>
  </si>
  <si>
    <t>Revenues</t>
  </si>
  <si>
    <t xml:space="preserve">  Revenue Growth Assumptions</t>
  </si>
  <si>
    <t>Cost of Revenues (CoGS)</t>
  </si>
  <si>
    <t xml:space="preserve"> EBIT</t>
  </si>
  <si>
    <t>Less Taxes / % of EBIT</t>
  </si>
  <si>
    <t>Plus Depreciation</t>
  </si>
  <si>
    <t xml:space="preserve">Less Capex </t>
  </si>
  <si>
    <t>F Cash Flow</t>
  </si>
  <si>
    <t>Terminal Value</t>
  </si>
  <si>
    <t xml:space="preserve">  EBITDA Multiple Method</t>
  </si>
  <si>
    <t>(EBITDA x Market EBITDA Multiple)</t>
  </si>
  <si>
    <t xml:space="preserve">  Perpetuity Method </t>
  </si>
  <si>
    <t>Next Yr Cash Flow / (WACC - Next Yr Rev Growth)</t>
  </si>
  <si>
    <t>Less Debt Outstanding (at Exit)</t>
  </si>
  <si>
    <t>Plus Cash (at Exit)</t>
  </si>
  <si>
    <t>Equity Value at Terminal</t>
  </si>
  <si>
    <t>Equity Cash Flows</t>
  </si>
  <si>
    <t>x</t>
  </si>
  <si>
    <t>PV Table</t>
  </si>
  <si>
    <t>or ( 1 / [ ( 1 + i ) ^ n ]</t>
  </si>
  <si>
    <t>=</t>
  </si>
  <si>
    <t>PV (1) =</t>
  </si>
  <si>
    <t>PV (2) =</t>
  </si>
  <si>
    <t>PV (3) =</t>
  </si>
  <si>
    <t>PV (4) =</t>
  </si>
  <si>
    <t>PV (5) =</t>
  </si>
  <si>
    <t>PV=</t>
  </si>
  <si>
    <t>at Discount Rate using Average of Purchase Multiple and Perpetuity Method</t>
  </si>
  <si>
    <t>Enteprise Value =</t>
  </si>
  <si>
    <t>PV of Equity + PV of Debt</t>
  </si>
  <si>
    <t xml:space="preserve">PV of Equity = </t>
  </si>
  <si>
    <t>Stock Price</t>
  </si>
  <si>
    <t>SP</t>
  </si>
  <si>
    <t>SO</t>
  </si>
  <si>
    <t>SP * SO = EQ</t>
  </si>
  <si>
    <t>D</t>
  </si>
  <si>
    <t>C</t>
  </si>
  <si>
    <t>EQ + D - C = EV</t>
  </si>
  <si>
    <t>Symbol</t>
  </si>
  <si>
    <t>Equity Value
 ($000)</t>
  </si>
  <si>
    <t>Debt (ST&amp;LT)
($000)</t>
  </si>
  <si>
    <t>Cash
 ($000)</t>
  </si>
  <si>
    <t>Enterprise Value 
($000)</t>
  </si>
  <si>
    <t>Qcom's EV</t>
  </si>
  <si>
    <t>a)</t>
  </si>
  <si>
    <t>Analyzing Silver Capital Partner's investment strategy</t>
  </si>
  <si>
    <t>b)</t>
  </si>
  <si>
    <t>Track record of Silver Capital Partner</t>
  </si>
  <si>
    <t>c)</t>
  </si>
  <si>
    <t>Financial metrics of the deal</t>
  </si>
  <si>
    <t xml:space="preserve">Stocks Outstanding </t>
  </si>
  <si>
    <t xml:space="preserve">Stock Price 
</t>
  </si>
  <si>
    <t>Working Capital Projections</t>
  </si>
  <si>
    <t xml:space="preserve">Days Receivable </t>
  </si>
  <si>
    <t>Inventory days</t>
  </si>
  <si>
    <t>Days Payable</t>
  </si>
  <si>
    <t>Average Accounts Receivable</t>
  </si>
  <si>
    <t>Accounts Receivable</t>
  </si>
  <si>
    <t>Average Inventory</t>
  </si>
  <si>
    <t>Inventory</t>
  </si>
  <si>
    <t>Average Accounts Payable</t>
  </si>
  <si>
    <t>Accounts Payable</t>
  </si>
  <si>
    <t xml:space="preserve">ANS 2 - </t>
  </si>
  <si>
    <t xml:space="preserve">ANS 3 - </t>
  </si>
  <si>
    <t xml:space="preserve">ANS 4- </t>
  </si>
  <si>
    <t>Equity value</t>
  </si>
  <si>
    <t xml:space="preserve">- PV of Debt = </t>
  </si>
  <si>
    <t xml:space="preserve">+ Less Cash  = </t>
  </si>
  <si>
    <t>Change in WC</t>
  </si>
  <si>
    <t>Cost of Equity</t>
  </si>
  <si>
    <t>Comparable EBITDA Calculation</t>
  </si>
  <si>
    <t>Enterprise Value Calculation 2016</t>
  </si>
  <si>
    <t>Discounted Cash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</si>
</sst>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quot;-&quot;_);_(@_)"/>
    <numFmt numFmtId="165" formatCode="_(* #,##0.000_);_(* \(#,##0.000\);_(* &quot;-&quot;??_);_(@_)"/>
    <numFmt numFmtId="166" formatCode="_(* #,##0.00000_);_(* \(#,##0.00000\);_(* &quot;-&quot;??_);_(@_)"/>
    <numFmt numFmtId="167" formatCode="_(* #,##0.0_);_(* \(#,##0.0\);_(* &quot;-&quot;??_);_(@_)"/>
    <numFmt numFmtId="168" formatCode="0.0%"/>
    <numFmt numFmtId="169" formatCode="&quot;$&quot;#,##0.0_);\(&quot;$&quot;#,##0.0\)"/>
    <numFmt numFmtId="170" formatCode="_(&quot;$&quot;* #,##0.0_);_(&quot;$&quot;* \(#,##0.0\);_(&quot;$&quot;* &quot;-&quot;_);_(@_)"/>
    <numFmt numFmtId="171" formatCode="_(* #,##0_);_(* \(#,##0\);_(* &quot;-&quot;??_);_(@_)"/>
    <numFmt numFmtId="172" formatCode="0.00\x"/>
    <numFmt numFmtId="173" formatCode="_(0.0%_);\(0.0%\);_(&quot;–&quot;_)_%;_(@_)_%"/>
    <numFmt numFmtId="174" formatCode="_(#,##0.00_)_%;\(#,##0.00\)_%;_(&quot;–&quot;_)_%;_(@_)_%"/>
    <numFmt numFmtId="175" formatCode="_(&quot;$&quot;* #,##0_);_(&quot;$&quot;* \(#,##0\);_(&quot;$&quot;* &quot;-&quot;?_);_(@_)"/>
    <numFmt numFmtId="176" formatCode="0.0\x"/>
    <numFmt numFmtId="177" formatCode="0.000%"/>
    <numFmt numFmtId="178" formatCode="_(* #,##0.0000000_);_(* \(#,##0.0000000\);_(* &quot;-&quot;??_);_(@_)"/>
    <numFmt numFmtId="179" formatCode="_(&quot;$&quot;* #,##0_);_(&quot;$&quot;* \(#,##0\);_(&quot;$&quot;* &quot;-&quot;??_);_(@_)"/>
    <numFmt numFmtId="180" formatCode="_(* #,##0.00_);_(* \(#,##0.00\);_(* &quot;-&quot;_);_(@_)"/>
  </numFmts>
  <fonts count="42">
    <font>
      <sz val="10"/>
      <color theme="1"/>
      <name val="Arial"/>
      <family val="2"/>
    </font>
    <font>
      <sz val="11"/>
      <color theme="1"/>
      <name val="Calibri"/>
      <family val="2"/>
      <scheme val="minor"/>
    </font>
    <font>
      <sz val="10"/>
      <color theme="1"/>
      <name val="Arial"/>
      <family val="2"/>
    </font>
    <font>
      <b/>
      <u/>
      <sz val="10"/>
      <color theme="1"/>
      <name val="Arial"/>
      <family val="2"/>
    </font>
    <font>
      <b/>
      <sz val="10"/>
      <color rgb="FFFF0000"/>
      <name val="Arial"/>
      <family val="2"/>
    </font>
    <font>
      <b/>
      <sz val="10"/>
      <color theme="0"/>
      <name val="Arial"/>
      <family val="2"/>
    </font>
    <font>
      <u/>
      <sz val="10"/>
      <color theme="1"/>
      <name val="Arial"/>
      <family val="2"/>
    </font>
    <font>
      <i/>
      <sz val="8"/>
      <color theme="1"/>
      <name val="Arial"/>
      <family val="2"/>
    </font>
    <font>
      <sz val="10"/>
      <name val="Arial"/>
      <family val="2"/>
    </font>
    <font>
      <sz val="10"/>
      <color rgb="FF0070C0"/>
      <name val="Arial"/>
      <family val="2"/>
    </font>
    <font>
      <i/>
      <sz val="9"/>
      <color theme="1"/>
      <name val="Arial"/>
      <family val="2"/>
    </font>
    <font>
      <i/>
      <sz val="9"/>
      <color rgb="FF0070C0"/>
      <name val="Arial"/>
      <family val="2"/>
    </font>
    <font>
      <b/>
      <sz val="10"/>
      <name val="Arial"/>
      <family val="2"/>
    </font>
    <font>
      <b/>
      <sz val="8"/>
      <name val="Times New Roman"/>
      <family val="1"/>
    </font>
    <font>
      <b/>
      <sz val="11"/>
      <name val="Times New Roman"/>
      <family val="1"/>
    </font>
    <font>
      <sz val="11"/>
      <color theme="1"/>
      <name val="Calibri"/>
      <family val="2"/>
    </font>
    <font>
      <sz val="11"/>
      <color rgb="FF0000FF"/>
      <name val="Calibri"/>
      <family val="2"/>
    </font>
    <font>
      <sz val="8"/>
      <color indexed="8"/>
      <name val="Arial"/>
      <family val="2"/>
    </font>
    <font>
      <sz val="12"/>
      <color rgb="FF000000"/>
      <name val="Calibri"/>
      <family val="2"/>
      <scheme val="minor"/>
    </font>
    <font>
      <b/>
      <sz val="16"/>
      <name val="Arial"/>
      <family val="2"/>
    </font>
    <font>
      <i/>
      <sz val="8"/>
      <name val="Arial"/>
      <family val="2"/>
    </font>
    <font>
      <b/>
      <sz val="10"/>
      <color indexed="48"/>
      <name val="Arial"/>
      <family val="2"/>
    </font>
    <font>
      <sz val="8"/>
      <name val="Arial"/>
      <family val="2"/>
    </font>
    <font>
      <sz val="10"/>
      <color indexed="12"/>
      <name val="Arial"/>
      <family val="2"/>
    </font>
    <font>
      <b/>
      <i/>
      <sz val="10"/>
      <name val="Arial"/>
      <family val="2"/>
    </font>
    <font>
      <b/>
      <u val="singleAccounting"/>
      <sz val="10"/>
      <name val="Arial"/>
      <family val="2"/>
    </font>
    <font>
      <b/>
      <u/>
      <sz val="10"/>
      <name val="Arial"/>
      <family val="2"/>
    </font>
    <font>
      <b/>
      <sz val="12"/>
      <name val="Calibri"/>
      <family val="2"/>
      <scheme val="minor"/>
    </font>
    <font>
      <b/>
      <sz val="8"/>
      <name val="Arial"/>
      <family val="2"/>
    </font>
    <font>
      <u/>
      <sz val="10"/>
      <name val="Arial"/>
      <family val="2"/>
    </font>
    <font>
      <sz val="10"/>
      <color theme="0"/>
      <name val="Arial"/>
      <family val="2"/>
    </font>
    <font>
      <b/>
      <sz val="10"/>
      <color theme="1"/>
      <name val="Arial"/>
      <family val="2"/>
    </font>
    <font>
      <b/>
      <sz val="12"/>
      <color theme="1"/>
      <name val="Arial"/>
      <family val="2"/>
    </font>
    <font>
      <sz val="14"/>
      <color theme="1"/>
      <name val="Arial"/>
      <family val="2"/>
    </font>
    <font>
      <sz val="14"/>
      <name val="Arial"/>
      <family val="2"/>
    </font>
    <font>
      <b/>
      <sz val="14"/>
      <name val="Arial"/>
      <family val="2"/>
    </font>
    <font>
      <b/>
      <sz val="11"/>
      <name val="Ari\"/>
    </font>
    <font>
      <sz val="11"/>
      <color theme="1"/>
      <name val="Arial"/>
      <family val="2"/>
    </font>
    <font>
      <b/>
      <sz val="11"/>
      <name val="Arial"/>
      <family val="2"/>
    </font>
    <font>
      <b/>
      <sz val="12"/>
      <name val="Arial"/>
      <family val="2"/>
    </font>
    <font>
      <b/>
      <sz val="11"/>
      <color theme="1"/>
      <name val="Arial"/>
      <family val="2"/>
    </font>
    <font>
      <b/>
      <sz val="9"/>
      <color theme="9" tint="-0.249977111117893"/>
      <name val="Arial"/>
      <family val="2"/>
    </font>
  </fonts>
  <fills count="6">
    <fill>
      <patternFill patternType="none"/>
    </fill>
    <fill>
      <patternFill patternType="gray125"/>
    </fill>
    <fill>
      <patternFill patternType="solid">
        <fgColor theme="4" tint="-0.499984740745262"/>
        <bgColor indexed="64"/>
      </patternFill>
    </fill>
    <fill>
      <patternFill patternType="solid">
        <fgColor rgb="FFFFFF99"/>
        <bgColor indexed="64"/>
      </patternFill>
    </fill>
    <fill>
      <patternFill patternType="solid">
        <fgColor theme="9" tint="0.59999389629810485"/>
        <bgColor indexed="64"/>
      </patternFill>
    </fill>
    <fill>
      <patternFill patternType="solid">
        <fgColor rgb="FFFFFF00"/>
        <bgColor indexed="64"/>
      </patternFill>
    </fill>
  </fills>
  <borders count="3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style="hair">
        <color auto="1"/>
      </top>
      <bottom/>
      <diagonal/>
    </border>
    <border>
      <left/>
      <right/>
      <top style="thin">
        <color indexed="64"/>
      </top>
      <bottom style="double">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22">
    <xf numFmtId="0" fontId="0" fillId="0" borderId="0"/>
    <xf numFmtId="43"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15" fillId="0" borderId="0"/>
    <xf numFmtId="0" fontId="16" fillId="3" borderId="6" applyNumberFormat="0" applyAlignment="0" applyProtection="0"/>
    <xf numFmtId="0" fontId="8" fillId="0" borderId="0"/>
    <xf numFmtId="0" fontId="1" fillId="0" borderId="0"/>
    <xf numFmtId="0" fontId="1" fillId="0" borderId="0"/>
    <xf numFmtId="0" fontId="17" fillId="0" borderId="0" applyAlignment="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44" fontId="2" fillId="0" borderId="0" applyFont="0" applyFill="0" applyBorder="0" applyAlignment="0" applyProtection="0"/>
  </cellStyleXfs>
  <cellXfs count="188">
    <xf numFmtId="0" fontId="0" fillId="0" borderId="0" xfId="0"/>
    <xf numFmtId="0" fontId="3" fillId="0" borderId="0" xfId="0" applyFont="1"/>
    <xf numFmtId="0" fontId="4" fillId="0" borderId="0" xfId="0" applyFont="1" applyAlignment="1">
      <alignment horizontal="center"/>
    </xf>
    <xf numFmtId="0" fontId="5" fillId="2" borderId="1" xfId="0" applyFont="1" applyFill="1" applyBorder="1" applyAlignment="1">
      <alignment horizontal="left"/>
    </xf>
    <xf numFmtId="0" fontId="5" fillId="2" borderId="2" xfId="0" applyFont="1" applyFill="1" applyBorder="1" applyAlignment="1">
      <alignment horizontal="left"/>
    </xf>
    <xf numFmtId="0" fontId="6" fillId="0" borderId="0" xfId="0" applyFont="1"/>
    <xf numFmtId="0" fontId="6" fillId="0" borderId="0" xfId="0" applyFont="1" applyAlignment="1">
      <alignment horizontal="center" wrapText="1"/>
    </xf>
    <xf numFmtId="164" fontId="0" fillId="0" borderId="0" xfId="0" applyNumberFormat="1"/>
    <xf numFmtId="164" fontId="0" fillId="0" borderId="3" xfId="0" applyNumberFormat="1" applyBorder="1"/>
    <xf numFmtId="165" fontId="0" fillId="0" borderId="0" xfId="0" applyNumberFormat="1"/>
    <xf numFmtId="164" fontId="0" fillId="0" borderId="4" xfId="0" applyNumberFormat="1" applyBorder="1"/>
    <xf numFmtId="164" fontId="0" fillId="0" borderId="5" xfId="0" applyNumberFormat="1" applyBorder="1"/>
    <xf numFmtId="41" fontId="0" fillId="0" borderId="0" xfId="0" applyNumberFormat="1"/>
    <xf numFmtId="43" fontId="0" fillId="0" borderId="0" xfId="0" applyNumberFormat="1"/>
    <xf numFmtId="0" fontId="7" fillId="0" borderId="0" xfId="0" applyFont="1" applyAlignment="1">
      <alignment horizontal="right"/>
    </xf>
    <xf numFmtId="41" fontId="7" fillId="0" borderId="0" xfId="0" applyNumberFormat="1" applyFont="1"/>
    <xf numFmtId="166" fontId="0" fillId="0" borderId="0" xfId="0" applyNumberFormat="1"/>
    <xf numFmtId="167" fontId="0" fillId="0" borderId="0" xfId="1" applyNumberFormat="1" applyFont="1"/>
    <xf numFmtId="167" fontId="0" fillId="0" borderId="3" xfId="1" applyNumberFormat="1" applyFont="1" applyBorder="1"/>
    <xf numFmtId="0" fontId="2" fillId="0" borderId="0" xfId="0" applyFont="1"/>
    <xf numFmtId="0" fontId="2"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2" fillId="0" borderId="0" xfId="0" applyFont="1" applyAlignment="1">
      <alignment horizontal="left"/>
    </xf>
    <xf numFmtId="169" fontId="8" fillId="0" borderId="0" xfId="1" applyNumberFormat="1" applyFont="1"/>
    <xf numFmtId="169" fontId="9" fillId="0" borderId="0" xfId="1" applyNumberFormat="1" applyFont="1"/>
    <xf numFmtId="0" fontId="10" fillId="0" borderId="0" xfId="0" applyFont="1" applyAlignment="1">
      <alignment horizontal="right"/>
    </xf>
    <xf numFmtId="168" fontId="10" fillId="0" borderId="0" xfId="2" applyNumberFormat="1" applyFont="1"/>
    <xf numFmtId="168" fontId="10" fillId="0" borderId="0" xfId="2" applyNumberFormat="1" applyFont="1" applyAlignment="1">
      <alignment horizontal="right"/>
    </xf>
    <xf numFmtId="0" fontId="2" fillId="0" borderId="0" xfId="0" applyFont="1" applyAlignment="1">
      <alignment horizontal="right"/>
    </xf>
    <xf numFmtId="170" fontId="2" fillId="0" borderId="0" xfId="2" applyNumberFormat="1"/>
    <xf numFmtId="169" fontId="2" fillId="0" borderId="0" xfId="1" applyNumberFormat="1" applyFont="1"/>
    <xf numFmtId="168" fontId="11" fillId="0" borderId="0" xfId="2" applyNumberFormat="1" applyFont="1" applyFill="1"/>
    <xf numFmtId="169" fontId="2" fillId="0" borderId="3" xfId="2" applyNumberFormat="1" applyBorder="1"/>
    <xf numFmtId="169" fontId="2" fillId="0" borderId="0" xfId="2" applyNumberFormat="1"/>
    <xf numFmtId="0" fontId="0" fillId="0" borderId="0" xfId="0" applyAlignment="1">
      <alignment horizontal="left"/>
    </xf>
    <xf numFmtId="169" fontId="2" fillId="0" borderId="0" xfId="3" applyNumberFormat="1"/>
    <xf numFmtId="169" fontId="8" fillId="0" borderId="3" xfId="3" applyNumberFormat="1" applyFont="1" applyBorder="1"/>
    <xf numFmtId="169" fontId="9" fillId="0" borderId="0" xfId="0" applyNumberFormat="1" applyFont="1"/>
    <xf numFmtId="170" fontId="2" fillId="0" borderId="0" xfId="1" applyNumberFormat="1"/>
    <xf numFmtId="169" fontId="2" fillId="0" borderId="3" xfId="1" applyNumberFormat="1" applyBorder="1"/>
    <xf numFmtId="169" fontId="2" fillId="0" borderId="0" xfId="1" applyNumberFormat="1"/>
    <xf numFmtId="7" fontId="8" fillId="0" borderId="0" xfId="1" applyNumberFormat="1" applyFont="1"/>
    <xf numFmtId="168" fontId="11" fillId="0" borderId="0" xfId="2" applyNumberFormat="1" applyFont="1"/>
    <xf numFmtId="170" fontId="9" fillId="0" borderId="0" xfId="2" applyNumberFormat="1" applyFont="1"/>
    <xf numFmtId="169" fontId="2" fillId="0" borderId="5" xfId="1" applyNumberFormat="1" applyBorder="1"/>
    <xf numFmtId="170" fontId="2" fillId="0" borderId="0" xfId="0" applyNumberFormat="1" applyFont="1"/>
    <xf numFmtId="5" fontId="9" fillId="0" borderId="0" xfId="1" applyNumberFormat="1" applyFont="1" applyFill="1"/>
    <xf numFmtId="0" fontId="13" fillId="0" borderId="8" xfId="0" applyFont="1" applyBorder="1" applyAlignment="1">
      <alignment horizontal="left" vertical="center" wrapText="1"/>
    </xf>
    <xf numFmtId="0" fontId="12" fillId="0" borderId="0" xfId="0" applyFont="1"/>
    <xf numFmtId="0" fontId="8" fillId="0" borderId="0" xfId="0" applyFont="1"/>
    <xf numFmtId="10" fontId="8" fillId="0" borderId="0" xfId="0" applyNumberFormat="1" applyFont="1"/>
    <xf numFmtId="9" fontId="0" fillId="0" borderId="0" xfId="0" applyNumberFormat="1"/>
    <xf numFmtId="0" fontId="8" fillId="0" borderId="0" xfId="0" quotePrefix="1" applyFont="1"/>
    <xf numFmtId="0" fontId="15" fillId="0" borderId="0" xfId="4"/>
    <xf numFmtId="43" fontId="18" fillId="0" borderId="0" xfId="6" applyNumberFormat="1" applyFont="1"/>
    <xf numFmtId="10" fontId="0" fillId="0" borderId="0" xfId="0" applyNumberFormat="1"/>
    <xf numFmtId="0" fontId="19" fillId="0" borderId="0" xfId="0" applyFont="1"/>
    <xf numFmtId="0" fontId="20" fillId="0" borderId="0" xfId="0" applyFont="1" applyAlignment="1">
      <alignment horizontal="right"/>
    </xf>
    <xf numFmtId="0" fontId="20" fillId="0" borderId="0" xfId="0" applyFont="1" applyAlignment="1">
      <alignment horizontal="center"/>
    </xf>
    <xf numFmtId="171" fontId="0" fillId="0" borderId="0" xfId="1" applyNumberFormat="1" applyFont="1" applyBorder="1"/>
    <xf numFmtId="171" fontId="0" fillId="0" borderId="18" xfId="1" applyNumberFormat="1" applyFont="1" applyBorder="1"/>
    <xf numFmtId="168" fontId="0" fillId="0" borderId="0" xfId="0" applyNumberFormat="1"/>
    <xf numFmtId="168" fontId="22" fillId="0" borderId="18" xfId="2" applyNumberFormat="1" applyFont="1" applyBorder="1"/>
    <xf numFmtId="168" fontId="23" fillId="0" borderId="0" xfId="0" applyNumberFormat="1" applyFont="1"/>
    <xf numFmtId="171" fontId="12" fillId="0" borderId="0" xfId="0" applyNumberFormat="1" applyFont="1"/>
    <xf numFmtId="0" fontId="0" fillId="0" borderId="18" xfId="0" applyBorder="1"/>
    <xf numFmtId="0" fontId="24" fillId="0" borderId="0" xfId="0" applyFont="1"/>
    <xf numFmtId="0" fontId="12" fillId="0" borderId="17" xfId="0" applyFont="1" applyBorder="1" applyAlignment="1">
      <alignment horizontal="right"/>
    </xf>
    <xf numFmtId="172" fontId="0" fillId="0" borderId="0" xfId="0" applyNumberFormat="1"/>
    <xf numFmtId="176" fontId="0" fillId="0" borderId="0" xfId="0" applyNumberFormat="1"/>
    <xf numFmtId="171" fontId="0" fillId="0" borderId="18" xfId="0" applyNumberFormat="1" applyBorder="1"/>
    <xf numFmtId="10" fontId="23" fillId="0" borderId="0" xfId="0" applyNumberFormat="1" applyFont="1"/>
    <xf numFmtId="177" fontId="0" fillId="0" borderId="0" xfId="0" applyNumberFormat="1"/>
    <xf numFmtId="171" fontId="0" fillId="0" borderId="19" xfId="1" applyNumberFormat="1" applyFont="1" applyBorder="1"/>
    <xf numFmtId="171" fontId="0" fillId="0" borderId="0" xfId="0" applyNumberFormat="1"/>
    <xf numFmtId="171" fontId="0" fillId="0" borderId="10" xfId="0" applyNumberFormat="1" applyBorder="1"/>
    <xf numFmtId="178" fontId="12" fillId="0" borderId="0" xfId="1" applyNumberFormat="1" applyFont="1" applyBorder="1" applyAlignment="1">
      <alignment horizontal="center"/>
    </xf>
    <xf numFmtId="178" fontId="12" fillId="0" borderId="18" xfId="1" applyNumberFormat="1" applyFont="1" applyBorder="1" applyAlignment="1">
      <alignment horizontal="center"/>
    </xf>
    <xf numFmtId="0" fontId="12" fillId="0" borderId="0" xfId="0" applyFont="1" applyAlignment="1">
      <alignment horizontal="right"/>
    </xf>
    <xf numFmtId="0" fontId="12" fillId="0" borderId="0" xfId="0" quotePrefix="1" applyFont="1" applyAlignment="1">
      <alignment horizontal="left"/>
    </xf>
    <xf numFmtId="178" fontId="25" fillId="0" borderId="0" xfId="1" applyNumberFormat="1" applyFont="1" applyBorder="1"/>
    <xf numFmtId="6" fontId="12" fillId="0" borderId="0" xfId="0" applyNumberFormat="1" applyFont="1"/>
    <xf numFmtId="0" fontId="0" fillId="0" borderId="0" xfId="0" quotePrefix="1"/>
    <xf numFmtId="0" fontId="26" fillId="0" borderId="0" xfId="0" applyFont="1" applyAlignment="1">
      <alignment horizontal="right"/>
    </xf>
    <xf numFmtId="6" fontId="26" fillId="0" borderId="0" xfId="0" applyNumberFormat="1" applyFont="1"/>
    <xf numFmtId="0" fontId="26" fillId="0" borderId="0" xfId="0" applyFont="1"/>
    <xf numFmtId="0" fontId="0" fillId="0" borderId="0" xfId="0" applyAlignment="1">
      <alignment horizontal="right"/>
    </xf>
    <xf numFmtId="0" fontId="0" fillId="0" borderId="0" xfId="0" quotePrefix="1" applyAlignment="1">
      <alignment horizontal="right"/>
    </xf>
    <xf numFmtId="44" fontId="8" fillId="0" borderId="18" xfId="21" applyFont="1" applyBorder="1"/>
    <xf numFmtId="9" fontId="0" fillId="0" borderId="0" xfId="2" applyFont="1"/>
    <xf numFmtId="0" fontId="12" fillId="4" borderId="7" xfId="0" applyFont="1" applyFill="1" applyBorder="1"/>
    <xf numFmtId="0" fontId="14" fillId="4" borderId="11" xfId="0" applyFont="1" applyFill="1" applyBorder="1" applyAlignment="1">
      <alignment horizontal="left" vertical="center" wrapText="1"/>
    </xf>
    <xf numFmtId="0" fontId="12" fillId="4" borderId="0" xfId="0" applyFont="1" applyFill="1" applyAlignment="1">
      <alignment horizontal="center"/>
    </xf>
    <xf numFmtId="0" fontId="12" fillId="4" borderId="17" xfId="0" applyFont="1" applyFill="1" applyBorder="1" applyAlignment="1">
      <alignment horizontal="center" wrapText="1"/>
    </xf>
    <xf numFmtId="44" fontId="12" fillId="0" borderId="0" xfId="21" applyFont="1"/>
    <xf numFmtId="44" fontId="12" fillId="0" borderId="18" xfId="21" applyFont="1" applyBorder="1"/>
    <xf numFmtId="168" fontId="2" fillId="0" borderId="0" xfId="0" applyNumberFormat="1" applyFont="1"/>
    <xf numFmtId="9" fontId="2" fillId="0" borderId="0" xfId="2" applyFont="1"/>
    <xf numFmtId="0" fontId="0" fillId="0" borderId="0" xfId="0" quotePrefix="1" applyAlignment="1">
      <alignment horizontal="left"/>
    </xf>
    <xf numFmtId="0" fontId="22" fillId="0" borderId="26" xfId="0" applyFont="1" applyBorder="1"/>
    <xf numFmtId="44" fontId="22" fillId="0" borderId="26" xfId="21" applyFont="1" applyBorder="1"/>
    <xf numFmtId="165" fontId="22" fillId="0" borderId="26" xfId="1" applyNumberFormat="1" applyFont="1" applyBorder="1"/>
    <xf numFmtId="43" fontId="22" fillId="0" borderId="26" xfId="1" applyFont="1" applyBorder="1"/>
    <xf numFmtId="43" fontId="22" fillId="0" borderId="27" xfId="1" applyFont="1" applyBorder="1"/>
    <xf numFmtId="43" fontId="22" fillId="0" borderId="9" xfId="1" applyFont="1" applyBorder="1"/>
    <xf numFmtId="179" fontId="8" fillId="0" borderId="18" xfId="21" applyNumberFormat="1" applyFont="1" applyBorder="1"/>
    <xf numFmtId="179" fontId="8" fillId="0" borderId="10" xfId="21" applyNumberFormat="1" applyFont="1" applyBorder="1"/>
    <xf numFmtId="6" fontId="0" fillId="0" borderId="0" xfId="0" applyNumberFormat="1"/>
    <xf numFmtId="168" fontId="0" fillId="0" borderId="0" xfId="2" applyNumberFormat="1" applyFont="1"/>
    <xf numFmtId="0" fontId="12" fillId="4" borderId="22" xfId="0" applyFont="1" applyFill="1" applyBorder="1"/>
    <xf numFmtId="0" fontId="12" fillId="4" borderId="22" xfId="0" applyFont="1" applyFill="1" applyBorder="1" applyAlignment="1">
      <alignment horizontal="center" wrapText="1"/>
    </xf>
    <xf numFmtId="0" fontId="12" fillId="4" borderId="23" xfId="0" applyFont="1" applyFill="1" applyBorder="1" applyAlignment="1">
      <alignment horizontal="center" wrapText="1"/>
    </xf>
    <xf numFmtId="0" fontId="12" fillId="4" borderId="24" xfId="0" applyFont="1" applyFill="1" applyBorder="1" applyAlignment="1">
      <alignment horizontal="center" wrapText="1"/>
    </xf>
    <xf numFmtId="0" fontId="12" fillId="4" borderId="25" xfId="0" applyFont="1" applyFill="1" applyBorder="1" applyAlignment="1">
      <alignment horizontal="center" wrapText="1"/>
    </xf>
    <xf numFmtId="171" fontId="12" fillId="4" borderId="12" xfId="0" applyNumberFormat="1" applyFont="1" applyFill="1" applyBorder="1"/>
    <xf numFmtId="43" fontId="12" fillId="4" borderId="12" xfId="0" applyNumberFormat="1" applyFont="1" applyFill="1" applyBorder="1"/>
    <xf numFmtId="43" fontId="28" fillId="0" borderId="10" xfId="1" applyFont="1" applyFill="1" applyBorder="1"/>
    <xf numFmtId="0" fontId="0" fillId="4" borderId="14" xfId="0" applyFill="1" applyBorder="1"/>
    <xf numFmtId="0" fontId="0" fillId="4" borderId="0" xfId="0" applyFill="1"/>
    <xf numFmtId="164" fontId="0" fillId="5" borderId="0" xfId="0" applyNumberFormat="1" applyFill="1"/>
    <xf numFmtId="180" fontId="0" fillId="0" borderId="0" xfId="0" applyNumberFormat="1"/>
    <xf numFmtId="0" fontId="29" fillId="0" borderId="0" xfId="0" applyFont="1" applyAlignment="1">
      <alignment horizontal="center"/>
    </xf>
    <xf numFmtId="0" fontId="27" fillId="0" borderId="0" xfId="6" applyFont="1"/>
    <xf numFmtId="0" fontId="27" fillId="0" borderId="0" xfId="6" applyFont="1" applyAlignment="1">
      <alignment horizontal="center"/>
    </xf>
    <xf numFmtId="0" fontId="18" fillId="0" borderId="0" xfId="6" applyFont="1"/>
    <xf numFmtId="174" fontId="18" fillId="0" borderId="0" xfId="6" applyNumberFormat="1" applyFont="1"/>
    <xf numFmtId="175" fontId="18" fillId="0" borderId="0" xfId="6" applyNumberFormat="1" applyFont="1"/>
    <xf numFmtId="173" fontId="18" fillId="0" borderId="0" xfId="6" applyNumberFormat="1" applyFont="1"/>
    <xf numFmtId="168" fontId="18" fillId="0" borderId="0" xfId="6" applyNumberFormat="1" applyFont="1"/>
    <xf numFmtId="0" fontId="30" fillId="0" borderId="0" xfId="0" applyFont="1"/>
    <xf numFmtId="8" fontId="0" fillId="5" borderId="0" xfId="0" applyNumberFormat="1" applyFill="1"/>
    <xf numFmtId="0" fontId="0" fillId="5" borderId="0" xfId="0" applyFill="1"/>
    <xf numFmtId="0" fontId="12" fillId="4" borderId="28" xfId="0" applyFont="1" applyFill="1" applyBorder="1" applyAlignment="1">
      <alignment horizontal="center"/>
    </xf>
    <xf numFmtId="1" fontId="12" fillId="4" borderId="25" xfId="0" applyNumberFormat="1" applyFont="1" applyFill="1" applyBorder="1" applyAlignment="1">
      <alignment horizontal="center"/>
    </xf>
    <xf numFmtId="44" fontId="0" fillId="0" borderId="15" xfId="21" applyFont="1" applyBorder="1"/>
    <xf numFmtId="44" fontId="12" fillId="0" borderId="20" xfId="21" applyFont="1" applyBorder="1"/>
    <xf numFmtId="1" fontId="21" fillId="4" borderId="28" xfId="0" applyNumberFormat="1" applyFont="1" applyFill="1" applyBorder="1" applyAlignment="1">
      <alignment horizontal="center"/>
    </xf>
    <xf numFmtId="179" fontId="0" fillId="0" borderId="28" xfId="21" applyNumberFormat="1" applyFont="1" applyBorder="1"/>
    <xf numFmtId="171" fontId="0" fillId="0" borderId="28" xfId="0" applyNumberFormat="1" applyBorder="1"/>
    <xf numFmtId="179" fontId="12" fillId="0" borderId="18" xfId="21" applyNumberFormat="1" applyFont="1" applyBorder="1"/>
    <xf numFmtId="168" fontId="23" fillId="0" borderId="18" xfId="0" applyNumberFormat="1" applyFont="1" applyBorder="1"/>
    <xf numFmtId="44" fontId="0" fillId="0" borderId="18" xfId="21" applyFont="1" applyBorder="1"/>
    <xf numFmtId="44" fontId="0" fillId="0" borderId="10" xfId="21" applyFont="1" applyBorder="1"/>
    <xf numFmtId="0" fontId="31" fillId="4" borderId="0" xfId="0" applyFont="1" applyFill="1" applyAlignment="1">
      <alignment horizontal="center"/>
    </xf>
    <xf numFmtId="0" fontId="31" fillId="4" borderId="0" xfId="0" applyFont="1" applyFill="1"/>
    <xf numFmtId="0" fontId="3" fillId="4" borderId="0" xfId="0" applyFont="1" applyFill="1" applyAlignment="1">
      <alignment horizontal="center"/>
    </xf>
    <xf numFmtId="0" fontId="31" fillId="0" borderId="25" xfId="0" applyFont="1" applyBorder="1"/>
    <xf numFmtId="0" fontId="31" fillId="0" borderId="28" xfId="0" applyFont="1" applyBorder="1" applyAlignment="1">
      <alignment horizontal="left"/>
    </xf>
    <xf numFmtId="0" fontId="31" fillId="0" borderId="18" xfId="0" applyFont="1" applyBorder="1"/>
    <xf numFmtId="44" fontId="8" fillId="0" borderId="13" xfId="21" applyFont="1" applyBorder="1"/>
    <xf numFmtId="44" fontId="9" fillId="0" borderId="28" xfId="21" applyFont="1" applyBorder="1"/>
    <xf numFmtId="44" fontId="2" fillId="0" borderId="15" xfId="21" applyFont="1" applyBorder="1"/>
    <xf numFmtId="44" fontId="2" fillId="0" borderId="18" xfId="21" applyFont="1" applyBorder="1"/>
    <xf numFmtId="44" fontId="8" fillId="0" borderId="15" xfId="21" applyFont="1" applyBorder="1"/>
    <xf numFmtId="44" fontId="0" fillId="0" borderId="11" xfId="21" applyFont="1" applyBorder="1"/>
    <xf numFmtId="44" fontId="0" fillId="0" borderId="25" xfId="21" applyFont="1" applyBorder="1"/>
    <xf numFmtId="6" fontId="12" fillId="0" borderId="5" xfId="21" applyNumberFormat="1" applyFont="1" applyBorder="1"/>
    <xf numFmtId="0" fontId="32" fillId="0" borderId="12" xfId="0" applyFont="1" applyBorder="1"/>
    <xf numFmtId="0" fontId="0" fillId="0" borderId="12" xfId="0" applyBorder="1"/>
    <xf numFmtId="0" fontId="32" fillId="0" borderId="11" xfId="0" applyFont="1" applyBorder="1" applyAlignment="1">
      <alignment horizontal="left"/>
    </xf>
    <xf numFmtId="0" fontId="33" fillId="0" borderId="13" xfId="0" applyFont="1" applyBorder="1"/>
    <xf numFmtId="9" fontId="34" fillId="0" borderId="29" xfId="2" applyFont="1" applyBorder="1" applyAlignment="1"/>
    <xf numFmtId="0" fontId="34" fillId="0" borderId="15" xfId="0" applyFont="1" applyBorder="1"/>
    <xf numFmtId="0" fontId="34" fillId="0" borderId="30" xfId="0" applyFont="1" applyBorder="1"/>
    <xf numFmtId="10" fontId="34" fillId="0" borderId="30" xfId="0" applyNumberFormat="1" applyFont="1" applyBorder="1"/>
    <xf numFmtId="2" fontId="34" fillId="0" borderId="30" xfId="0" applyNumberFormat="1" applyFont="1" applyBorder="1"/>
    <xf numFmtId="0" fontId="35" fillId="0" borderId="16" xfId="0" applyFont="1" applyBorder="1"/>
    <xf numFmtId="0" fontId="34" fillId="0" borderId="31" xfId="0" applyFont="1" applyBorder="1"/>
    <xf numFmtId="0" fontId="14" fillId="0" borderId="8" xfId="0" applyFont="1" applyBorder="1" applyAlignment="1">
      <alignment horizontal="left" vertical="center" wrapText="1"/>
    </xf>
    <xf numFmtId="172" fontId="36" fillId="0" borderId="10" xfId="1" applyNumberFormat="1" applyFont="1" applyFill="1" applyBorder="1"/>
    <xf numFmtId="0" fontId="37" fillId="0" borderId="0" xfId="0" applyFont="1"/>
    <xf numFmtId="167" fontId="38" fillId="4" borderId="12" xfId="0" applyNumberFormat="1" applyFont="1" applyFill="1" applyBorder="1"/>
    <xf numFmtId="0" fontId="39" fillId="4" borderId="7" xfId="0" applyFont="1" applyFill="1" applyBorder="1"/>
    <xf numFmtId="0" fontId="37" fillId="0" borderId="13" xfId="0" applyFont="1" applyBorder="1"/>
    <xf numFmtId="0" fontId="37" fillId="0" borderId="15" xfId="0" applyFont="1" applyBorder="1"/>
    <xf numFmtId="0" fontId="37" fillId="0" borderId="16" xfId="0" applyFont="1" applyBorder="1"/>
    <xf numFmtId="0" fontId="40" fillId="0" borderId="29" xfId="0" applyFont="1" applyBorder="1"/>
    <xf numFmtId="0" fontId="40" fillId="0" borderId="30" xfId="0" applyFont="1" applyBorder="1"/>
    <xf numFmtId="0" fontId="40" fillId="0" borderId="31" xfId="0" applyFont="1" applyBorder="1"/>
    <xf numFmtId="0" fontId="41" fillId="0" borderId="21" xfId="0" applyFont="1" applyBorder="1" applyAlignment="1">
      <alignment horizontal="center" vertical="center"/>
    </xf>
    <xf numFmtId="0" fontId="41" fillId="0" borderId="21" xfId="0" quotePrefix="1" applyFont="1" applyBorder="1" applyAlignment="1">
      <alignment horizontal="center" vertical="center"/>
    </xf>
    <xf numFmtId="2" fontId="0" fillId="0" borderId="0" xfId="2" applyNumberFormat="1" applyFont="1" applyAlignment="1">
      <alignment horizontal="center" wrapText="1"/>
    </xf>
    <xf numFmtId="0" fontId="32" fillId="0" borderId="11" xfId="0" applyFont="1" applyBorder="1" applyAlignment="1">
      <alignment horizontal="center"/>
    </xf>
    <xf numFmtId="0" fontId="32" fillId="0" borderId="12" xfId="0" applyFont="1" applyBorder="1" applyAlignment="1">
      <alignment horizontal="center"/>
    </xf>
    <xf numFmtId="0" fontId="27" fillId="0" borderId="0" xfId="6" applyFont="1" applyAlignment="1">
      <alignment horizontal="center" wrapText="1"/>
    </xf>
    <xf numFmtId="0" fontId="33" fillId="4" borderId="11" xfId="0" applyFont="1" applyFill="1" applyBorder="1" applyAlignment="1">
      <alignment horizontal="center"/>
    </xf>
    <xf numFmtId="0" fontId="33" fillId="4" borderId="12" xfId="0" applyFont="1" applyFill="1" applyBorder="1" applyAlignment="1">
      <alignment horizontal="center"/>
    </xf>
  </cellXfs>
  <cellStyles count="22">
    <cellStyle name="Comma" xfId="1" builtinId="3"/>
    <cellStyle name="Currency" xfId="21" builtinId="4"/>
    <cellStyle name="Currency 2" xfId="3" xr:uid="{5F6F7753-7A78-426F-BEE5-AA5A254FB950}"/>
    <cellStyle name="Normal" xfId="0" builtinId="0"/>
    <cellStyle name="Normal 2" xfId="6" xr:uid="{AD5F7B36-B521-4BE2-B6E8-F4FF08640AAD}"/>
    <cellStyle name="Normal 2 2 2" xfId="20" xr:uid="{E6C20AC2-C429-4B58-B0BD-5179D18E683A}"/>
    <cellStyle name="Normal 3" xfId="7" xr:uid="{C0C2AE68-25EB-4104-B62A-A173DCF809E5}"/>
    <cellStyle name="Normal 3 2" xfId="11" xr:uid="{CDFE0E44-3EDC-4E51-84BA-2C8DE7B19E78}"/>
    <cellStyle name="Normal 3 2 2" xfId="17" xr:uid="{53126B93-94AF-470F-B54A-1049F60CA89D}"/>
    <cellStyle name="Normal 3 3" xfId="13" xr:uid="{5D9D4041-496F-43E4-A8FE-00C528A21E1C}"/>
    <cellStyle name="Normal 3 3 2" xfId="19" xr:uid="{2970D7C7-1B2A-48EC-87C8-3EEB7EC2A73F}"/>
    <cellStyle name="Normal 3 4" xfId="14" xr:uid="{B9BB810E-A5EC-4CD3-ADBB-6D56175F53D2}"/>
    <cellStyle name="Normal 4" xfId="8" xr:uid="{F24BC73F-4B6E-46DF-8529-DE1C09AC7206}"/>
    <cellStyle name="Normal 4 2" xfId="12" xr:uid="{FCC6CA3E-7D57-49DB-949F-B5EA53B8EA09}"/>
    <cellStyle name="Normal 4 2 2" xfId="18" xr:uid="{3F705FB4-B5DB-42FD-87B4-83703D3A080D}"/>
    <cellStyle name="Normal 4 3" xfId="16" xr:uid="{FF188E03-34DE-4A48-B88F-5316CEE4AA8D}"/>
    <cellStyle name="Normal 5" xfId="10" xr:uid="{4815162B-C74A-4C13-AAF3-605688560965}"/>
    <cellStyle name="Normal 5 2" xfId="15" xr:uid="{4CCA3386-5B8E-41C6-98AB-1C4E7D56C185}"/>
    <cellStyle name="Normal 6" xfId="4" xr:uid="{5933829F-BFCA-4D16-AA15-7B36B7FABD47}"/>
    <cellStyle name="Note 2" xfId="5" xr:uid="{202DDF42-459F-44D5-8337-8B3B356F1FA3}"/>
    <cellStyle name="Percent" xfId="2" builtinId="5"/>
    <cellStyle name="TextNormal" xfId="9" xr:uid="{87477988-40EE-48C7-8516-F9DD127B181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762000</xdr:colOff>
      <xdr:row>4</xdr:row>
      <xdr:rowOff>190500</xdr:rowOff>
    </xdr:from>
    <xdr:to>
      <xdr:col>3</xdr:col>
      <xdr:colOff>523875</xdr:colOff>
      <xdr:row>4</xdr:row>
      <xdr:rowOff>190500</xdr:rowOff>
    </xdr:to>
    <xdr:sp macro="" textlink="">
      <xdr:nvSpPr>
        <xdr:cNvPr id="4" name="Line 14">
          <a:extLst>
            <a:ext uri="{FF2B5EF4-FFF2-40B4-BE49-F238E27FC236}">
              <a16:creationId xmlns:a16="http://schemas.microsoft.com/office/drawing/2014/main" id="{C998BC08-4EF0-4BC6-A278-D5B967E1FE53}"/>
            </a:ext>
          </a:extLst>
        </xdr:cNvPr>
        <xdr:cNvSpPr>
          <a:spLocks noChangeShapeType="1"/>
        </xdr:cNvSpPr>
      </xdr:nvSpPr>
      <xdr:spPr bwMode="auto">
        <a:xfrm>
          <a:off x="1022350" y="1352550"/>
          <a:ext cx="2044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400050</xdr:colOff>
      <xdr:row>72</xdr:row>
      <xdr:rowOff>9525</xdr:rowOff>
    </xdr:from>
    <xdr:to>
      <xdr:col>5</xdr:col>
      <xdr:colOff>400050</xdr:colOff>
      <xdr:row>74</xdr:row>
      <xdr:rowOff>95250</xdr:rowOff>
    </xdr:to>
    <xdr:sp macro="" textlink="">
      <xdr:nvSpPr>
        <xdr:cNvPr id="2" name="Line 1">
          <a:extLst>
            <a:ext uri="{FF2B5EF4-FFF2-40B4-BE49-F238E27FC236}">
              <a16:creationId xmlns:a16="http://schemas.microsoft.com/office/drawing/2014/main" id="{CBA7CE94-A2F0-4BAC-998B-3C032C26C3E2}"/>
            </a:ext>
          </a:extLst>
        </xdr:cNvPr>
        <xdr:cNvSpPr>
          <a:spLocks noChangeShapeType="1"/>
        </xdr:cNvSpPr>
      </xdr:nvSpPr>
      <xdr:spPr bwMode="auto">
        <a:xfrm>
          <a:off x="6845300" y="20627975"/>
          <a:ext cx="0" cy="4159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352425</xdr:colOff>
      <xdr:row>72</xdr:row>
      <xdr:rowOff>19050</xdr:rowOff>
    </xdr:from>
    <xdr:to>
      <xdr:col>6</xdr:col>
      <xdr:colOff>352425</xdr:colOff>
      <xdr:row>75</xdr:row>
      <xdr:rowOff>104775</xdr:rowOff>
    </xdr:to>
    <xdr:sp macro="" textlink="">
      <xdr:nvSpPr>
        <xdr:cNvPr id="3" name="Line 2">
          <a:extLst>
            <a:ext uri="{FF2B5EF4-FFF2-40B4-BE49-F238E27FC236}">
              <a16:creationId xmlns:a16="http://schemas.microsoft.com/office/drawing/2014/main" id="{852CA134-3E3E-4464-A327-324F7078DE79}"/>
            </a:ext>
          </a:extLst>
        </xdr:cNvPr>
        <xdr:cNvSpPr>
          <a:spLocks noChangeShapeType="1"/>
        </xdr:cNvSpPr>
      </xdr:nvSpPr>
      <xdr:spPr bwMode="auto">
        <a:xfrm>
          <a:off x="7915275" y="20637500"/>
          <a:ext cx="0" cy="5810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400050</xdr:colOff>
      <xdr:row>72</xdr:row>
      <xdr:rowOff>19050</xdr:rowOff>
    </xdr:from>
    <xdr:to>
      <xdr:col>7</xdr:col>
      <xdr:colOff>400050</xdr:colOff>
      <xdr:row>76</xdr:row>
      <xdr:rowOff>76200</xdr:rowOff>
    </xdr:to>
    <xdr:sp macro="" textlink="">
      <xdr:nvSpPr>
        <xdr:cNvPr id="5" name="Line 3">
          <a:extLst>
            <a:ext uri="{FF2B5EF4-FFF2-40B4-BE49-F238E27FC236}">
              <a16:creationId xmlns:a16="http://schemas.microsoft.com/office/drawing/2014/main" id="{86A96581-C0AA-4AC9-AAD3-02A9766B12CB}"/>
            </a:ext>
          </a:extLst>
        </xdr:cNvPr>
        <xdr:cNvSpPr>
          <a:spLocks noChangeShapeType="1"/>
        </xdr:cNvSpPr>
      </xdr:nvSpPr>
      <xdr:spPr bwMode="auto">
        <a:xfrm>
          <a:off x="8883650" y="20637500"/>
          <a:ext cx="0" cy="717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400050</xdr:colOff>
      <xdr:row>72</xdr:row>
      <xdr:rowOff>38100</xdr:rowOff>
    </xdr:from>
    <xdr:to>
      <xdr:col>8</xdr:col>
      <xdr:colOff>400050</xdr:colOff>
      <xdr:row>77</xdr:row>
      <xdr:rowOff>95250</xdr:rowOff>
    </xdr:to>
    <xdr:sp macro="" textlink="">
      <xdr:nvSpPr>
        <xdr:cNvPr id="6" name="Line 4">
          <a:extLst>
            <a:ext uri="{FF2B5EF4-FFF2-40B4-BE49-F238E27FC236}">
              <a16:creationId xmlns:a16="http://schemas.microsoft.com/office/drawing/2014/main" id="{55AFCC15-6F48-4C64-8697-EBAFAB4D8ED5}"/>
            </a:ext>
          </a:extLst>
        </xdr:cNvPr>
        <xdr:cNvSpPr>
          <a:spLocks noChangeShapeType="1"/>
        </xdr:cNvSpPr>
      </xdr:nvSpPr>
      <xdr:spPr bwMode="auto">
        <a:xfrm>
          <a:off x="9988550" y="20656550"/>
          <a:ext cx="0" cy="882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73</xdr:row>
      <xdr:rowOff>57150</xdr:rowOff>
    </xdr:from>
    <xdr:to>
      <xdr:col>4</xdr:col>
      <xdr:colOff>476250</xdr:colOff>
      <xdr:row>73</xdr:row>
      <xdr:rowOff>57150</xdr:rowOff>
    </xdr:to>
    <xdr:sp macro="" textlink="">
      <xdr:nvSpPr>
        <xdr:cNvPr id="7" name="Line 6">
          <a:extLst>
            <a:ext uri="{FF2B5EF4-FFF2-40B4-BE49-F238E27FC236}">
              <a16:creationId xmlns:a16="http://schemas.microsoft.com/office/drawing/2014/main" id="{9D3B37BE-AB33-4422-AC58-531A010B4FF7}"/>
            </a:ext>
          </a:extLst>
        </xdr:cNvPr>
        <xdr:cNvSpPr>
          <a:spLocks noChangeShapeType="1"/>
        </xdr:cNvSpPr>
      </xdr:nvSpPr>
      <xdr:spPr bwMode="auto">
        <a:xfrm flipH="1">
          <a:off x="5505450" y="20840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74</xdr:row>
      <xdr:rowOff>95250</xdr:rowOff>
    </xdr:from>
    <xdr:to>
      <xdr:col>5</xdr:col>
      <xdr:colOff>400050</xdr:colOff>
      <xdr:row>74</xdr:row>
      <xdr:rowOff>95250</xdr:rowOff>
    </xdr:to>
    <xdr:sp macro="" textlink="">
      <xdr:nvSpPr>
        <xdr:cNvPr id="8" name="Line 7">
          <a:extLst>
            <a:ext uri="{FF2B5EF4-FFF2-40B4-BE49-F238E27FC236}">
              <a16:creationId xmlns:a16="http://schemas.microsoft.com/office/drawing/2014/main" id="{28EAE422-22D9-49AF-8B0F-FB6686EF6241}"/>
            </a:ext>
          </a:extLst>
        </xdr:cNvPr>
        <xdr:cNvSpPr>
          <a:spLocks noChangeShapeType="1"/>
        </xdr:cNvSpPr>
      </xdr:nvSpPr>
      <xdr:spPr bwMode="auto">
        <a:xfrm flipH="1">
          <a:off x="5505450" y="21043900"/>
          <a:ext cx="1339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75</xdr:row>
      <xdr:rowOff>95250</xdr:rowOff>
    </xdr:from>
    <xdr:to>
      <xdr:col>6</xdr:col>
      <xdr:colOff>352425</xdr:colOff>
      <xdr:row>75</xdr:row>
      <xdr:rowOff>95250</xdr:rowOff>
    </xdr:to>
    <xdr:sp macro="" textlink="">
      <xdr:nvSpPr>
        <xdr:cNvPr id="9" name="Line 8">
          <a:extLst>
            <a:ext uri="{FF2B5EF4-FFF2-40B4-BE49-F238E27FC236}">
              <a16:creationId xmlns:a16="http://schemas.microsoft.com/office/drawing/2014/main" id="{4EB35AFC-A166-4A6D-8938-C31F792A8B6C}"/>
            </a:ext>
          </a:extLst>
        </xdr:cNvPr>
        <xdr:cNvSpPr>
          <a:spLocks noChangeShapeType="1"/>
        </xdr:cNvSpPr>
      </xdr:nvSpPr>
      <xdr:spPr bwMode="auto">
        <a:xfrm flipH="1">
          <a:off x="5505450" y="21209000"/>
          <a:ext cx="24098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76</xdr:row>
      <xdr:rowOff>66675</xdr:rowOff>
    </xdr:from>
    <xdr:to>
      <xdr:col>7</xdr:col>
      <xdr:colOff>400050</xdr:colOff>
      <xdr:row>76</xdr:row>
      <xdr:rowOff>66675</xdr:rowOff>
    </xdr:to>
    <xdr:sp macro="" textlink="">
      <xdr:nvSpPr>
        <xdr:cNvPr id="10" name="Line 9">
          <a:extLst>
            <a:ext uri="{FF2B5EF4-FFF2-40B4-BE49-F238E27FC236}">
              <a16:creationId xmlns:a16="http://schemas.microsoft.com/office/drawing/2014/main" id="{730C6C1F-4DA6-40C0-8802-B0B7FA10943E}"/>
            </a:ext>
          </a:extLst>
        </xdr:cNvPr>
        <xdr:cNvSpPr>
          <a:spLocks noChangeShapeType="1"/>
        </xdr:cNvSpPr>
      </xdr:nvSpPr>
      <xdr:spPr bwMode="auto">
        <a:xfrm flipH="1">
          <a:off x="5505450" y="21345525"/>
          <a:ext cx="33782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77</xdr:row>
      <xdr:rowOff>85725</xdr:rowOff>
    </xdr:from>
    <xdr:to>
      <xdr:col>8</xdr:col>
      <xdr:colOff>409575</xdr:colOff>
      <xdr:row>77</xdr:row>
      <xdr:rowOff>85725</xdr:rowOff>
    </xdr:to>
    <xdr:sp macro="" textlink="">
      <xdr:nvSpPr>
        <xdr:cNvPr id="11" name="Line 10">
          <a:extLst>
            <a:ext uri="{FF2B5EF4-FFF2-40B4-BE49-F238E27FC236}">
              <a16:creationId xmlns:a16="http://schemas.microsoft.com/office/drawing/2014/main" id="{371BFD3C-615B-459E-8A8D-125EF0B06D53}"/>
            </a:ext>
          </a:extLst>
        </xdr:cNvPr>
        <xdr:cNvSpPr>
          <a:spLocks noChangeShapeType="1"/>
        </xdr:cNvSpPr>
      </xdr:nvSpPr>
      <xdr:spPr bwMode="auto">
        <a:xfrm flipH="1">
          <a:off x="5505450" y="21529675"/>
          <a:ext cx="4492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466725</xdr:colOff>
      <xdr:row>72</xdr:row>
      <xdr:rowOff>0</xdr:rowOff>
    </xdr:from>
    <xdr:to>
      <xdr:col>4</xdr:col>
      <xdr:colOff>466725</xdr:colOff>
      <xdr:row>73</xdr:row>
      <xdr:rowOff>57150</xdr:rowOff>
    </xdr:to>
    <xdr:sp macro="" textlink="">
      <xdr:nvSpPr>
        <xdr:cNvPr id="12" name="Line 12">
          <a:extLst>
            <a:ext uri="{FF2B5EF4-FFF2-40B4-BE49-F238E27FC236}">
              <a16:creationId xmlns:a16="http://schemas.microsoft.com/office/drawing/2014/main" id="{BFF08FF4-1C02-4372-8ECE-9AC559C96EB9}"/>
            </a:ext>
          </a:extLst>
        </xdr:cNvPr>
        <xdr:cNvSpPr>
          <a:spLocks noChangeShapeType="1"/>
        </xdr:cNvSpPr>
      </xdr:nvSpPr>
      <xdr:spPr bwMode="auto">
        <a:xfrm>
          <a:off x="5972175" y="20618450"/>
          <a:ext cx="0" cy="222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361950</xdr:colOff>
      <xdr:row>70</xdr:row>
      <xdr:rowOff>76200</xdr:rowOff>
    </xdr:from>
    <xdr:to>
      <xdr:col>4</xdr:col>
      <xdr:colOff>47625</xdr:colOff>
      <xdr:row>70</xdr:row>
      <xdr:rowOff>76200</xdr:rowOff>
    </xdr:to>
    <xdr:sp macro="" textlink="">
      <xdr:nvSpPr>
        <xdr:cNvPr id="13" name="Line 24">
          <a:extLst>
            <a:ext uri="{FF2B5EF4-FFF2-40B4-BE49-F238E27FC236}">
              <a16:creationId xmlns:a16="http://schemas.microsoft.com/office/drawing/2014/main" id="{C6B2EACD-1F66-401A-A2EA-4C11CF33CEC8}"/>
            </a:ext>
          </a:extLst>
        </xdr:cNvPr>
        <xdr:cNvSpPr>
          <a:spLocks noChangeShapeType="1"/>
        </xdr:cNvSpPr>
      </xdr:nvSpPr>
      <xdr:spPr bwMode="auto">
        <a:xfrm>
          <a:off x="4552950" y="20320000"/>
          <a:ext cx="1000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762000</xdr:colOff>
      <xdr:row>3</xdr:row>
      <xdr:rowOff>190500</xdr:rowOff>
    </xdr:from>
    <xdr:to>
      <xdr:col>7</xdr:col>
      <xdr:colOff>523875</xdr:colOff>
      <xdr:row>3</xdr:row>
      <xdr:rowOff>190500</xdr:rowOff>
    </xdr:to>
    <xdr:sp macro="" textlink="">
      <xdr:nvSpPr>
        <xdr:cNvPr id="16" name="Line 14">
          <a:extLst>
            <a:ext uri="{FF2B5EF4-FFF2-40B4-BE49-F238E27FC236}">
              <a16:creationId xmlns:a16="http://schemas.microsoft.com/office/drawing/2014/main" id="{9D384BF7-FA47-44A4-BE1A-9929AB3237A1}"/>
            </a:ext>
          </a:extLst>
        </xdr:cNvPr>
        <xdr:cNvSpPr>
          <a:spLocks noChangeShapeType="1"/>
        </xdr:cNvSpPr>
      </xdr:nvSpPr>
      <xdr:spPr bwMode="auto">
        <a:xfrm>
          <a:off x="1028700" y="1327150"/>
          <a:ext cx="21494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590550</xdr:colOff>
      <xdr:row>3</xdr:row>
      <xdr:rowOff>107950</xdr:rowOff>
    </xdr:from>
    <xdr:to>
      <xdr:col>15</xdr:col>
      <xdr:colOff>63500</xdr:colOff>
      <xdr:row>7</xdr:row>
      <xdr:rowOff>127000</xdr:rowOff>
    </xdr:to>
    <xdr:sp macro="" textlink="">
      <xdr:nvSpPr>
        <xdr:cNvPr id="2" name="TextBox 1">
          <a:extLst>
            <a:ext uri="{FF2B5EF4-FFF2-40B4-BE49-F238E27FC236}">
              <a16:creationId xmlns:a16="http://schemas.microsoft.com/office/drawing/2014/main" id="{8D00AE24-34FE-53F7-665F-A01ED295844F}"/>
            </a:ext>
          </a:extLst>
        </xdr:cNvPr>
        <xdr:cNvSpPr txBox="1"/>
      </xdr:nvSpPr>
      <xdr:spPr>
        <a:xfrm>
          <a:off x="1200150" y="584200"/>
          <a:ext cx="8007350" cy="65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Understand the investment thesis, as well as the investment's strategic reason. Aligning with this concept is critical to ensuring a common vision and goals for a long-term effective, mutually beneficial partnership.</a:t>
          </a:r>
        </a:p>
      </xdr:txBody>
    </xdr:sp>
    <xdr:clientData/>
  </xdr:twoCellAnchor>
  <xdr:twoCellAnchor>
    <xdr:from>
      <xdr:col>2</xdr:col>
      <xdr:colOff>6350</xdr:colOff>
      <xdr:row>11</xdr:row>
      <xdr:rowOff>44450</xdr:rowOff>
    </xdr:from>
    <xdr:to>
      <xdr:col>15</xdr:col>
      <xdr:colOff>88900</xdr:colOff>
      <xdr:row>15</xdr:row>
      <xdr:rowOff>63500</xdr:rowOff>
    </xdr:to>
    <xdr:sp macro="" textlink="">
      <xdr:nvSpPr>
        <xdr:cNvPr id="3" name="TextBox 2">
          <a:extLst>
            <a:ext uri="{FF2B5EF4-FFF2-40B4-BE49-F238E27FC236}">
              <a16:creationId xmlns:a16="http://schemas.microsoft.com/office/drawing/2014/main" id="{8039FA01-DED0-4694-9688-6B69E81556B4}"/>
            </a:ext>
          </a:extLst>
        </xdr:cNvPr>
        <xdr:cNvSpPr txBox="1"/>
      </xdr:nvSpPr>
      <xdr:spPr>
        <a:xfrm>
          <a:off x="1225550" y="1790700"/>
          <a:ext cx="8007350" cy="65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Evaluate the track record, focusing on their proficiency in managing investments of comparable duration. Scrutinize industry expertise and overall performance to gauge their ability to deliver consistent success, providing confidence in their capability to enhance and sustain the firm's performance over time.</a:t>
          </a:r>
        </a:p>
      </xdr:txBody>
    </xdr:sp>
    <xdr:clientData/>
  </xdr:twoCellAnchor>
  <xdr:twoCellAnchor>
    <xdr:from>
      <xdr:col>2</xdr:col>
      <xdr:colOff>0</xdr:colOff>
      <xdr:row>19</xdr:row>
      <xdr:rowOff>0</xdr:rowOff>
    </xdr:from>
    <xdr:to>
      <xdr:col>15</xdr:col>
      <xdr:colOff>82550</xdr:colOff>
      <xdr:row>24</xdr:row>
      <xdr:rowOff>57150</xdr:rowOff>
    </xdr:to>
    <xdr:sp macro="" textlink="">
      <xdr:nvSpPr>
        <xdr:cNvPr id="4" name="TextBox 3">
          <a:extLst>
            <a:ext uri="{FF2B5EF4-FFF2-40B4-BE49-F238E27FC236}">
              <a16:creationId xmlns:a16="http://schemas.microsoft.com/office/drawing/2014/main" id="{AB7379EA-8A4B-43EE-A894-220C04C28DD2}"/>
            </a:ext>
          </a:extLst>
        </xdr:cNvPr>
        <xdr:cNvSpPr txBox="1"/>
      </xdr:nvSpPr>
      <xdr:spPr>
        <a:xfrm>
          <a:off x="1219200" y="3016250"/>
          <a:ext cx="8007350" cy="85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Thoroughly analyze the financial terms of the deal, encompassing aspects such as valuation, equity stake, and performance-based incentives. Careful evaluation ensures a clear understanding of the economic implications, risks, and potential rewards. This scrutiny is essential for making informed decisions, aligning financial interests, and fostering a mutually beneficial arrangement that supports the firm's growth while meeting the expectations of both parties involved in the transaction.</a:t>
          </a:r>
          <a:endParaRPr lang="en-US" sz="1100"/>
        </a:p>
      </xdr:txBody>
    </xdr:sp>
    <xdr:clientData/>
  </xdr:twoCellAnchor>
  <xdr:twoCellAnchor>
    <xdr:from>
      <xdr:col>2</xdr:col>
      <xdr:colOff>0</xdr:colOff>
      <xdr:row>26</xdr:row>
      <xdr:rowOff>0</xdr:rowOff>
    </xdr:from>
    <xdr:to>
      <xdr:col>15</xdr:col>
      <xdr:colOff>82550</xdr:colOff>
      <xdr:row>30</xdr:row>
      <xdr:rowOff>66675</xdr:rowOff>
    </xdr:to>
    <xdr:sp macro="" textlink="">
      <xdr:nvSpPr>
        <xdr:cNvPr id="5" name="TextBox 4">
          <a:extLst>
            <a:ext uri="{FF2B5EF4-FFF2-40B4-BE49-F238E27FC236}">
              <a16:creationId xmlns:a16="http://schemas.microsoft.com/office/drawing/2014/main" id="{116DC453-1DDA-45A8-AD27-60D1AB778EF1}"/>
            </a:ext>
          </a:extLst>
        </xdr:cNvPr>
        <xdr:cNvSpPr txBox="1"/>
      </xdr:nvSpPr>
      <xdr:spPr>
        <a:xfrm>
          <a:off x="1219200" y="4210050"/>
          <a:ext cx="8007350" cy="71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The</a:t>
          </a:r>
          <a:r>
            <a:rPr lang="en-US" sz="1100" b="0" i="0" baseline="0">
              <a:solidFill>
                <a:schemeClr val="dk1"/>
              </a:solidFill>
              <a:effectLst/>
              <a:latin typeface="+mn-lt"/>
              <a:ea typeface="+mn-ea"/>
              <a:cs typeface="+mn-cs"/>
            </a:rPr>
            <a:t> board shpuld not accept the offer as Silver Capital partners have low valuation value and have made an offer at $300 but the actual valuation (DCF) done has evaluated Panera at $433.Thus , the difference between the offer price and the fair price is a major factor due to which the offer is rejected.</a:t>
          </a:r>
          <a:endParaRPr lang="en-US" sz="1100"/>
        </a:p>
      </xdr:txBody>
    </xdr:sp>
    <xdr:clientData/>
  </xdr:twoCellAnchor>
  <xdr:twoCellAnchor>
    <xdr:from>
      <xdr:col>2</xdr:col>
      <xdr:colOff>0</xdr:colOff>
      <xdr:row>32</xdr:row>
      <xdr:rowOff>0</xdr:rowOff>
    </xdr:from>
    <xdr:to>
      <xdr:col>15</xdr:col>
      <xdr:colOff>82550</xdr:colOff>
      <xdr:row>36</xdr:row>
      <xdr:rowOff>66675</xdr:rowOff>
    </xdr:to>
    <xdr:sp macro="" textlink="">
      <xdr:nvSpPr>
        <xdr:cNvPr id="6" name="TextBox 5">
          <a:extLst>
            <a:ext uri="{FF2B5EF4-FFF2-40B4-BE49-F238E27FC236}">
              <a16:creationId xmlns:a16="http://schemas.microsoft.com/office/drawing/2014/main" id="{8D0496D9-8EF9-4FC6-B70D-BD1A5F307C42}"/>
            </a:ext>
          </a:extLst>
        </xdr:cNvPr>
        <xdr:cNvSpPr txBox="1"/>
      </xdr:nvSpPr>
      <xdr:spPr>
        <a:xfrm>
          <a:off x="1219200" y="5181600"/>
          <a:ext cx="8007350" cy="71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If</a:t>
          </a:r>
          <a:r>
            <a:rPr lang="en-US" sz="1100" b="0" i="0" baseline="0">
              <a:solidFill>
                <a:schemeClr val="dk1"/>
              </a:solidFill>
              <a:effectLst/>
              <a:latin typeface="+mn-lt"/>
              <a:ea typeface="+mn-ea"/>
              <a:cs typeface="+mn-cs"/>
            </a:rPr>
            <a:t> the management prepared the projections with 19% more EBITDA than the consensus estimate , we would need to evaluate the model again which could change the decision as if teh fair price calculated through dcf would be more than the offer price then the offer would be rejected but if the offer price becomes more than the fair price after changing the forecast , the offer would be accepted.</a:t>
          </a:r>
          <a:endParaRPr lang="en-US"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gutha\Dropbox\Stevens%20Institute\638A%202023%20Fall\Case%20Study\Panera%20Bread%20Financial%20Data.xlsx" TargetMode="External"/><Relationship Id="rId1" Type="http://schemas.openxmlformats.org/officeDocument/2006/relationships/externalLinkPath" Target="/Users/gutha/Dropbox/Stevens%20Institute/638A%202023%20Fall/Case%20Study/Panera%20Bread%20Financial%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art"/>
      <sheetName val="FS Historical"/>
      <sheetName val="FS Common"/>
      <sheetName val="Comparative Analysis"/>
      <sheetName val="Ratio Analysis"/>
      <sheetName val="Projections2"/>
      <sheetName val="Exit"/>
      <sheetName val="Sources-Uses"/>
      <sheetName val="Comparables"/>
      <sheetName val="WACC"/>
      <sheetName val="Projections"/>
      <sheetName val="DCF"/>
      <sheetName val="Continuation"/>
      <sheetName val="Reconcile2"/>
      <sheetName val="Publics - Descriptions"/>
      <sheetName val="Publics - Multiples"/>
      <sheetName val="Guideline Publics"/>
      <sheetName val="Transaction Multiples"/>
      <sheetName val="Transaction Comps"/>
      <sheetName val="Actual Transactions"/>
      <sheetName val="Discounts"/>
    </sheetNames>
    <sheetDataSet>
      <sheetData sheetId="0">
        <row r="7">
          <cell r="B7" t="str">
            <v>Panera Bread</v>
          </cell>
        </row>
        <row r="32">
          <cell r="B32">
            <v>42735</v>
          </cell>
        </row>
      </sheetData>
      <sheetData sheetId="1">
        <row r="1">
          <cell r="A1" t="str">
            <v>Panera Bread</v>
          </cell>
        </row>
        <row r="91">
          <cell r="G91">
            <v>2795.3649999999998</v>
          </cell>
        </row>
        <row r="93">
          <cell r="G93">
            <v>2205.4</v>
          </cell>
        </row>
        <row r="97">
          <cell r="G97">
            <v>179.876</v>
          </cell>
        </row>
        <row r="98">
          <cell r="G98">
            <v>15.971</v>
          </cell>
        </row>
        <row r="137">
          <cell r="G137">
            <v>154.35499999999999</v>
          </cell>
        </row>
        <row r="145">
          <cell r="G145">
            <v>-1.38</v>
          </cell>
        </row>
        <row r="146">
          <cell r="G146">
            <v>-8.8840000000000003</v>
          </cell>
        </row>
        <row r="151">
          <cell r="G151">
            <v>84.257999999999996</v>
          </cell>
        </row>
        <row r="170">
          <cell r="G170">
            <v>200.06299999999999</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3486D-2558-483C-9B17-22AFCB8DF8CF}">
  <dimension ref="A1:P170"/>
  <sheetViews>
    <sheetView showGridLines="0" topLeftCell="A176" zoomScale="90" zoomScaleNormal="90" zoomScaleSheetLayoutView="90" workbookViewId="0">
      <selection activeCell="H75" sqref="H19:H75"/>
    </sheetView>
  </sheetViews>
  <sheetFormatPr defaultRowHeight="12.5"/>
  <cols>
    <col min="1" max="1" width="45.26953125" customWidth="1"/>
    <col min="2" max="3" width="9.7265625" hidden="1" customWidth="1"/>
    <col min="4" max="8" width="9.7265625" customWidth="1"/>
    <col min="9" max="9" width="11.26953125" bestFit="1" customWidth="1"/>
    <col min="10" max="10" width="11" customWidth="1"/>
    <col min="13" max="13" width="13.54296875" customWidth="1"/>
  </cols>
  <sheetData>
    <row r="1" spans="1:11" ht="13">
      <c r="A1" s="1" t="s">
        <v>98</v>
      </c>
      <c r="G1" s="2" t="str">
        <f>IF([1]Start!$B$1="","",[1]Start!$B$1)</f>
        <v/>
      </c>
    </row>
    <row r="3" spans="1:11" ht="13">
      <c r="A3" s="3" t="s">
        <v>0</v>
      </c>
      <c r="B3" s="4"/>
      <c r="C3" s="4"/>
      <c r="D3" s="4"/>
      <c r="E3" s="4"/>
      <c r="F3" s="4"/>
      <c r="G3" s="4"/>
      <c r="H3" s="4"/>
      <c r="I3" s="4"/>
      <c r="J3" s="4"/>
      <c r="K3" s="4"/>
    </row>
    <row r="5" spans="1:11">
      <c r="A5" s="5" t="s">
        <v>1</v>
      </c>
    </row>
    <row r="7" spans="1:11">
      <c r="A7" t="s">
        <v>2</v>
      </c>
      <c r="B7" s="6">
        <f>C7-1</f>
        <v>2011</v>
      </c>
      <c r="C7" s="6">
        <f>D7-1</f>
        <v>2012</v>
      </c>
      <c r="D7" s="6">
        <f>E7-1</f>
        <v>2013</v>
      </c>
      <c r="E7" s="6">
        <f>F7-1</f>
        <v>2014</v>
      </c>
      <c r="F7" s="6">
        <f>G7-1</f>
        <v>2015</v>
      </c>
      <c r="G7" s="6">
        <v>2016</v>
      </c>
    </row>
    <row r="8" spans="1:11" ht="6" customHeight="1"/>
    <row r="9" spans="1:11">
      <c r="A9" t="s">
        <v>3</v>
      </c>
    </row>
    <row r="10" spans="1:11" ht="6" customHeight="1"/>
    <row r="11" spans="1:11">
      <c r="A11" t="s">
        <v>4</v>
      </c>
    </row>
    <row r="12" spans="1:11">
      <c r="A12" t="s">
        <v>5</v>
      </c>
      <c r="B12" s="7">
        <v>0</v>
      </c>
      <c r="C12" s="7">
        <v>0</v>
      </c>
      <c r="D12" s="7">
        <v>125.245</v>
      </c>
      <c r="E12" s="7">
        <v>196.49299999999999</v>
      </c>
      <c r="F12" s="7">
        <v>241.886</v>
      </c>
      <c r="G12" s="7">
        <v>105.529</v>
      </c>
    </row>
    <row r="13" spans="1:11">
      <c r="A13" t="s">
        <v>6</v>
      </c>
      <c r="B13" s="7">
        <v>0</v>
      </c>
      <c r="C13" s="7">
        <v>0</v>
      </c>
      <c r="D13" s="120">
        <v>32.965000000000003</v>
      </c>
      <c r="E13" s="120">
        <v>36.584000000000003</v>
      </c>
      <c r="F13" s="120">
        <v>38.210999999999999</v>
      </c>
      <c r="G13" s="120">
        <v>53.518999999999998</v>
      </c>
      <c r="H13" s="182"/>
    </row>
    <row r="14" spans="1:11">
      <c r="A14" t="s">
        <v>7</v>
      </c>
      <c r="B14" s="7">
        <v>0</v>
      </c>
      <c r="C14" s="7">
        <v>0</v>
      </c>
      <c r="D14" s="120">
        <v>51.637</v>
      </c>
      <c r="E14" s="120">
        <v>70.069000000000003</v>
      </c>
      <c r="F14" s="120">
        <v>77.575000000000003</v>
      </c>
      <c r="G14" s="120">
        <v>59.404000000000003</v>
      </c>
      <c r="H14" s="182"/>
    </row>
    <row r="15" spans="1:11">
      <c r="A15" t="s">
        <v>8</v>
      </c>
      <c r="B15" s="7">
        <v>0</v>
      </c>
      <c r="C15" s="7">
        <v>0</v>
      </c>
      <c r="D15" s="7">
        <v>0</v>
      </c>
      <c r="E15" s="7">
        <v>0</v>
      </c>
      <c r="F15" s="7">
        <v>0</v>
      </c>
      <c r="G15" s="7">
        <v>0</v>
      </c>
    </row>
    <row r="16" spans="1:11">
      <c r="A16" t="s">
        <v>9</v>
      </c>
      <c r="B16" s="7">
        <v>0</v>
      </c>
      <c r="C16" s="7">
        <v>0</v>
      </c>
      <c r="D16" s="120">
        <v>21.916</v>
      </c>
      <c r="E16" s="120">
        <v>22.811</v>
      </c>
      <c r="F16" s="120">
        <v>22.481999999999999</v>
      </c>
      <c r="G16" s="120">
        <v>23.774999999999999</v>
      </c>
    </row>
    <row r="17" spans="1:16">
      <c r="A17" t="s">
        <v>10</v>
      </c>
      <c r="B17" s="7">
        <v>0</v>
      </c>
      <c r="C17" s="7">
        <v>0</v>
      </c>
      <c r="D17" s="7">
        <v>43.064</v>
      </c>
      <c r="E17" s="7">
        <v>51.588000000000001</v>
      </c>
      <c r="F17" s="7">
        <v>59.457000000000001</v>
      </c>
      <c r="G17" s="7">
        <v>69.194999999999993</v>
      </c>
    </row>
    <row r="18" spans="1:16">
      <c r="A18" t="s">
        <v>11</v>
      </c>
      <c r="B18" s="7">
        <v>0</v>
      </c>
      <c r="C18" s="7">
        <v>0</v>
      </c>
      <c r="D18" s="7">
        <v>27.888999999999999</v>
      </c>
      <c r="E18" s="7">
        <v>28.620999999999999</v>
      </c>
      <c r="F18" s="7">
        <v>28.699000000000002</v>
      </c>
      <c r="G18" s="7">
        <v>0</v>
      </c>
      <c r="J18" s="7"/>
      <c r="P18" t="s">
        <v>109</v>
      </c>
    </row>
    <row r="19" spans="1:16">
      <c r="A19" t="s">
        <v>12</v>
      </c>
      <c r="B19" s="8">
        <f t="shared" ref="B19:G19" si="0">SUM(B12:B18)</f>
        <v>0</v>
      </c>
      <c r="C19" s="8">
        <f t="shared" si="0"/>
        <v>0</v>
      </c>
      <c r="D19" s="8">
        <f t="shared" si="0"/>
        <v>302.71600000000001</v>
      </c>
      <c r="E19" s="8">
        <f t="shared" si="0"/>
        <v>406.166</v>
      </c>
      <c r="F19" s="8">
        <f t="shared" si="0"/>
        <v>468.31</v>
      </c>
      <c r="G19" s="8">
        <f t="shared" si="0"/>
        <v>311.42200000000003</v>
      </c>
    </row>
    <row r="20" spans="1:16" ht="6" customHeight="1">
      <c r="B20" s="7"/>
      <c r="C20" s="7"/>
      <c r="D20" s="7"/>
      <c r="E20" s="7"/>
      <c r="F20" s="7"/>
      <c r="G20" s="7"/>
    </row>
    <row r="21" spans="1:16">
      <c r="B21" s="7"/>
      <c r="C21" s="7"/>
      <c r="D21" s="121">
        <f>D13/D92*365</f>
        <v>5.0449538407095682</v>
      </c>
      <c r="E21" s="121">
        <f>E13/E92*365</f>
        <v>5.2796087292597047</v>
      </c>
      <c r="F21" s="121">
        <f>F13/F92*365</f>
        <v>5.2010437876177473</v>
      </c>
      <c r="G21" s="121">
        <f>G13/G92*365</f>
        <v>6.988151815594744</v>
      </c>
    </row>
    <row r="22" spans="1:16">
      <c r="A22" t="s">
        <v>13</v>
      </c>
      <c r="B22" s="7"/>
      <c r="C22" s="7"/>
      <c r="D22" s="7"/>
      <c r="E22" s="7"/>
      <c r="F22" s="7"/>
      <c r="G22" s="7"/>
    </row>
    <row r="23" spans="1:16">
      <c r="A23" t="s">
        <v>14</v>
      </c>
      <c r="B23" s="7">
        <v>0</v>
      </c>
      <c r="C23" s="7">
        <v>0</v>
      </c>
      <c r="D23" s="7">
        <v>2.8559999999999999</v>
      </c>
      <c r="E23" s="7">
        <v>2.06</v>
      </c>
      <c r="F23" s="7">
        <v>1.6040000000000001</v>
      </c>
      <c r="G23" s="7">
        <v>5.601</v>
      </c>
    </row>
    <row r="24" spans="1:16">
      <c r="A24" t="s">
        <v>15</v>
      </c>
      <c r="B24" s="7">
        <v>0</v>
      </c>
      <c r="C24" s="7">
        <v>0</v>
      </c>
      <c r="D24" s="7">
        <f>607.472+80.108</f>
        <v>687.57999999999993</v>
      </c>
      <c r="E24" s="7">
        <f>693.503+99.255</f>
        <v>792.75800000000004</v>
      </c>
      <c r="F24" s="7">
        <f>683.296+97.416</f>
        <v>780.71199999999999</v>
      </c>
      <c r="G24" s="7">
        <f>66.29+753.827</f>
        <v>820.11699999999996</v>
      </c>
    </row>
    <row r="25" spans="1:16">
      <c r="A25" t="s">
        <v>16</v>
      </c>
      <c r="B25" s="7">
        <v>0</v>
      </c>
      <c r="C25" s="7">
        <v>0</v>
      </c>
      <c r="D25" s="7">
        <f>305.06+87.316</f>
        <v>392.37599999999998</v>
      </c>
      <c r="E25" s="7">
        <f>340.854+137.663</f>
        <v>478.517</v>
      </c>
      <c r="F25" s="7">
        <f>338.5+192.521</f>
        <v>531.02099999999996</v>
      </c>
      <c r="G25" s="7">
        <f>365.207+252.95</f>
        <v>618.15699999999993</v>
      </c>
    </row>
    <row r="26" spans="1:16">
      <c r="A26" t="s">
        <v>17</v>
      </c>
      <c r="B26" s="7">
        <v>0</v>
      </c>
      <c r="C26" s="7">
        <v>0</v>
      </c>
      <c r="D26" s="7">
        <f>149.445+27.031</f>
        <v>176.476</v>
      </c>
      <c r="E26" s="7">
        <f>167.383+29.841</f>
        <v>197.22400000000002</v>
      </c>
      <c r="F26" s="7">
        <f>159.653+29.056</f>
        <v>188.709</v>
      </c>
      <c r="G26" s="7">
        <f>170.692+33.91</f>
        <v>204.602</v>
      </c>
      <c r="J26" s="13"/>
    </row>
    <row r="27" spans="1:16">
      <c r="A27" t="s">
        <v>18</v>
      </c>
      <c r="B27" s="7"/>
      <c r="C27" s="7">
        <v>0</v>
      </c>
      <c r="D27" s="7">
        <v>0</v>
      </c>
      <c r="E27" s="7">
        <v>0</v>
      </c>
      <c r="F27" s="7">
        <v>0</v>
      </c>
      <c r="G27" s="7">
        <v>0</v>
      </c>
    </row>
    <row r="28" spans="1:16">
      <c r="A28" t="s">
        <v>19</v>
      </c>
      <c r="B28" s="8">
        <f>SUM(B23:B26)</f>
        <v>0</v>
      </c>
      <c r="C28" s="8">
        <f>SUM(C23:C27)</f>
        <v>0</v>
      </c>
      <c r="D28" s="8">
        <f>SUM(D23:D27)</f>
        <v>1259.288</v>
      </c>
      <c r="E28" s="8">
        <f>SUM(E23:E27)</f>
        <v>1470.559</v>
      </c>
      <c r="F28" s="8">
        <f>SUM(F23:F27)</f>
        <v>1502.046</v>
      </c>
      <c r="G28" s="8">
        <f>SUM(G23:G27)</f>
        <v>1648.4770000000001</v>
      </c>
      <c r="I28" s="9"/>
    </row>
    <row r="29" spans="1:16">
      <c r="A29" t="s">
        <v>20</v>
      </c>
      <c r="B29" s="7">
        <v>0</v>
      </c>
      <c r="C29" s="7">
        <v>0</v>
      </c>
      <c r="D29" s="7">
        <v>-589.87900000000002</v>
      </c>
      <c r="E29" s="7">
        <v>-683.26499999999999</v>
      </c>
      <c r="F29" s="7">
        <v>-725.798</v>
      </c>
      <c r="G29" s="7">
        <v>-845.71799999999996</v>
      </c>
    </row>
    <row r="30" spans="1:16">
      <c r="A30" t="s">
        <v>21</v>
      </c>
      <c r="B30" s="8">
        <f>SUM(B28:B29)</f>
        <v>0</v>
      </c>
      <c r="C30" s="8">
        <f>C28+C29</f>
        <v>0</v>
      </c>
      <c r="D30" s="8">
        <f>D28+D29</f>
        <v>669.40899999999999</v>
      </c>
      <c r="E30" s="8">
        <f>E28+E29</f>
        <v>787.29399999999998</v>
      </c>
      <c r="F30" s="8">
        <f>F28+F29</f>
        <v>776.24800000000005</v>
      </c>
      <c r="G30" s="8">
        <f>G28+G29</f>
        <v>802.75900000000013</v>
      </c>
    </row>
    <row r="31" spans="1:16" ht="6" customHeight="1">
      <c r="B31" s="7"/>
      <c r="C31" s="7"/>
      <c r="D31" s="7"/>
      <c r="E31" s="7"/>
      <c r="F31" s="7"/>
      <c r="G31" s="7"/>
    </row>
    <row r="32" spans="1:16">
      <c r="A32" t="s">
        <v>22</v>
      </c>
      <c r="B32" s="7"/>
      <c r="C32" s="7"/>
      <c r="D32" s="7"/>
      <c r="E32" s="7"/>
      <c r="F32" s="7"/>
      <c r="G32" s="7"/>
    </row>
    <row r="33" spans="1:13">
      <c r="A33" t="s">
        <v>23</v>
      </c>
      <c r="B33" s="7">
        <v>0</v>
      </c>
      <c r="C33" s="7">
        <v>0</v>
      </c>
      <c r="D33" s="7">
        <v>123.01300000000001</v>
      </c>
      <c r="E33" s="7">
        <v>120.77800000000001</v>
      </c>
      <c r="F33" s="7">
        <v>121.791</v>
      </c>
      <c r="G33" s="7">
        <v>122.377</v>
      </c>
    </row>
    <row r="34" spans="1:13">
      <c r="A34" t="s">
        <v>24</v>
      </c>
      <c r="B34" s="7">
        <v>0</v>
      </c>
      <c r="C34" s="7">
        <v>0</v>
      </c>
      <c r="D34" s="7">
        <v>79.769000000000005</v>
      </c>
      <c r="E34" s="7">
        <v>70.94</v>
      </c>
      <c r="F34" s="7">
        <v>63.877000000000002</v>
      </c>
      <c r="G34" s="7">
        <v>54.819000000000003</v>
      </c>
      <c r="M34">
        <v>365</v>
      </c>
    </row>
    <row r="35" spans="1:13">
      <c r="A35" t="s">
        <v>25</v>
      </c>
      <c r="B35" s="7">
        <v>0</v>
      </c>
      <c r="C35" s="7">
        <v>0</v>
      </c>
      <c r="D35" s="7">
        <v>0</v>
      </c>
      <c r="E35" s="7">
        <v>0</v>
      </c>
      <c r="F35" s="7">
        <v>0</v>
      </c>
      <c r="G35" s="7">
        <v>0</v>
      </c>
    </row>
    <row r="36" spans="1:13">
      <c r="A36" t="s">
        <v>26</v>
      </c>
      <c r="B36" s="10">
        <f t="shared" ref="B36:G36" si="1">SUM(B33:B35)</f>
        <v>0</v>
      </c>
      <c r="C36" s="10">
        <f t="shared" si="1"/>
        <v>0</v>
      </c>
      <c r="D36" s="10">
        <f t="shared" si="1"/>
        <v>202.78200000000001</v>
      </c>
      <c r="E36" s="10">
        <f t="shared" si="1"/>
        <v>191.71800000000002</v>
      </c>
      <c r="F36" s="10">
        <f t="shared" si="1"/>
        <v>185.66800000000001</v>
      </c>
      <c r="G36" s="10">
        <f t="shared" si="1"/>
        <v>177.196</v>
      </c>
    </row>
    <row r="37" spans="1:13">
      <c r="A37" t="s">
        <v>27</v>
      </c>
      <c r="B37" s="7">
        <v>0</v>
      </c>
      <c r="C37" s="7">
        <v>0</v>
      </c>
      <c r="D37" s="7">
        <v>5.9560000000000004</v>
      </c>
      <c r="E37" s="7">
        <v>5.7240000000000002</v>
      </c>
      <c r="F37" s="7">
        <v>10.613</v>
      </c>
      <c r="G37" s="7">
        <v>10.234999999999999</v>
      </c>
      <c r="J37" s="7"/>
    </row>
    <row r="38" spans="1:13">
      <c r="A38" t="s">
        <v>28</v>
      </c>
      <c r="B38" s="8">
        <f t="shared" ref="B38:G38" si="2">SUM(B36:B37)</f>
        <v>0</v>
      </c>
      <c r="C38" s="8">
        <f t="shared" si="2"/>
        <v>0</v>
      </c>
      <c r="D38" s="8">
        <f t="shared" si="2"/>
        <v>208.738</v>
      </c>
      <c r="E38" s="8">
        <f t="shared" si="2"/>
        <v>197.44200000000001</v>
      </c>
      <c r="F38" s="8">
        <f t="shared" si="2"/>
        <v>196.28100000000001</v>
      </c>
      <c r="G38" s="8">
        <f t="shared" si="2"/>
        <v>187.43099999999998</v>
      </c>
    </row>
    <row r="39" spans="1:13">
      <c r="B39" s="7"/>
      <c r="C39" s="7"/>
      <c r="D39" s="7"/>
      <c r="E39" s="7"/>
      <c r="F39" s="7"/>
      <c r="G39" s="7"/>
    </row>
    <row r="40" spans="1:13" ht="13" thickBot="1">
      <c r="A40" t="s">
        <v>29</v>
      </c>
      <c r="B40" s="11">
        <f t="shared" ref="B40:G40" si="3">B19+B30+B38</f>
        <v>0</v>
      </c>
      <c r="C40" s="11">
        <f t="shared" si="3"/>
        <v>0</v>
      </c>
      <c r="D40" s="11">
        <f t="shared" si="3"/>
        <v>1180.8630000000001</v>
      </c>
      <c r="E40" s="11">
        <f t="shared" si="3"/>
        <v>1390.902</v>
      </c>
      <c r="F40" s="11">
        <f t="shared" si="3"/>
        <v>1440.8389999999999</v>
      </c>
      <c r="G40" s="11">
        <f t="shared" si="3"/>
        <v>1301.6120000000001</v>
      </c>
    </row>
    <row r="41" spans="1:13" ht="13" thickTop="1">
      <c r="B41" s="12"/>
      <c r="C41" s="12"/>
      <c r="D41" s="12"/>
      <c r="E41" s="12"/>
      <c r="F41" s="12"/>
      <c r="G41" s="12"/>
    </row>
    <row r="42" spans="1:13">
      <c r="B42" s="12"/>
      <c r="C42" s="12"/>
      <c r="D42" s="12"/>
      <c r="E42" s="12"/>
      <c r="F42" s="12"/>
      <c r="G42" s="12"/>
    </row>
    <row r="43" spans="1:13" ht="13" hidden="1">
      <c r="A43" s="1" t="str">
        <f>A1</f>
        <v>Panera Bread</v>
      </c>
    </row>
    <row r="44" spans="1:13" hidden="1"/>
    <row r="45" spans="1:13">
      <c r="A45" s="5" t="s">
        <v>1</v>
      </c>
    </row>
    <row r="47" spans="1:13">
      <c r="A47" t="str">
        <f t="shared" ref="A47:G47" si="4">A7</f>
        <v>For Years Ending December 31 (in $ millions)</v>
      </c>
      <c r="B47" s="6">
        <f t="shared" si="4"/>
        <v>2011</v>
      </c>
      <c r="C47" s="6">
        <f t="shared" si="4"/>
        <v>2012</v>
      </c>
      <c r="D47" s="6">
        <f t="shared" si="4"/>
        <v>2013</v>
      </c>
      <c r="E47" s="6">
        <f t="shared" si="4"/>
        <v>2014</v>
      </c>
      <c r="F47" s="6">
        <f t="shared" si="4"/>
        <v>2015</v>
      </c>
      <c r="G47" s="6">
        <f t="shared" si="4"/>
        <v>2016</v>
      </c>
    </row>
    <row r="48" spans="1:13" ht="6" customHeight="1">
      <c r="B48" s="12"/>
      <c r="C48" s="12"/>
      <c r="D48" s="12"/>
      <c r="E48" s="12"/>
      <c r="F48" s="12"/>
      <c r="G48" s="12"/>
    </row>
    <row r="49" spans="1:13">
      <c r="A49" t="s">
        <v>30</v>
      </c>
      <c r="B49" s="12"/>
      <c r="C49" s="12"/>
      <c r="D49" s="12"/>
      <c r="E49" s="12"/>
      <c r="F49" s="12"/>
      <c r="G49" s="12"/>
    </row>
    <row r="50" spans="1:13" ht="6" customHeight="1">
      <c r="B50" s="12"/>
      <c r="C50" s="12"/>
      <c r="D50" s="12"/>
      <c r="E50" s="12"/>
      <c r="F50" s="12"/>
      <c r="G50" s="12"/>
    </row>
    <row r="51" spans="1:13">
      <c r="A51" t="s">
        <v>31</v>
      </c>
      <c r="B51" s="12"/>
      <c r="C51" s="12"/>
      <c r="D51" s="12"/>
      <c r="E51" s="12"/>
      <c r="F51" s="12"/>
      <c r="G51" s="12"/>
    </row>
    <row r="52" spans="1:13">
      <c r="A52" t="s">
        <v>32</v>
      </c>
      <c r="B52" s="7">
        <v>0</v>
      </c>
      <c r="C52" s="7">
        <v>0</v>
      </c>
      <c r="D52" s="7">
        <v>0</v>
      </c>
      <c r="E52" s="7">
        <v>0</v>
      </c>
      <c r="F52" s="7">
        <v>0</v>
      </c>
      <c r="G52" s="7">
        <v>0</v>
      </c>
    </row>
    <row r="53" spans="1:13">
      <c r="A53" t="s">
        <v>33</v>
      </c>
      <c r="B53" s="7">
        <v>0</v>
      </c>
      <c r="C53" s="7">
        <v>0</v>
      </c>
      <c r="D53" s="120">
        <v>17.533000000000001</v>
      </c>
      <c r="E53" s="120">
        <v>19.510999999999999</v>
      </c>
      <c r="F53" s="120">
        <v>19.805</v>
      </c>
      <c r="G53" s="120">
        <v>22.454999999999998</v>
      </c>
    </row>
    <row r="54" spans="1:13">
      <c r="A54" t="s">
        <v>34</v>
      </c>
      <c r="B54" s="7">
        <v>0</v>
      </c>
      <c r="C54" s="7">
        <v>0</v>
      </c>
      <c r="D54" s="7">
        <v>0</v>
      </c>
      <c r="E54" s="7">
        <v>0</v>
      </c>
      <c r="F54" s="7">
        <v>0</v>
      </c>
      <c r="G54" s="7">
        <v>0</v>
      </c>
    </row>
    <row r="55" spans="1:13">
      <c r="A55" t="s">
        <v>35</v>
      </c>
      <c r="B55" s="7">
        <v>0</v>
      </c>
      <c r="C55" s="7">
        <v>0</v>
      </c>
      <c r="D55" s="7">
        <v>285.79199999999997</v>
      </c>
      <c r="E55" s="7">
        <v>333.20100000000002</v>
      </c>
      <c r="F55" s="7">
        <v>359.464</v>
      </c>
      <c r="G55" s="7">
        <v>408.637</v>
      </c>
      <c r="I55" s="90"/>
    </row>
    <row r="56" spans="1:13">
      <c r="A56" t="s">
        <v>36</v>
      </c>
      <c r="B56" s="7">
        <v>0</v>
      </c>
      <c r="C56" s="7">
        <v>0</v>
      </c>
      <c r="D56" s="7">
        <v>0</v>
      </c>
      <c r="E56" s="7">
        <v>0</v>
      </c>
      <c r="F56" s="7">
        <v>17.228999999999999</v>
      </c>
      <c r="G56" s="7">
        <v>17.228999999999999</v>
      </c>
      <c r="I56" s="109"/>
    </row>
    <row r="57" spans="1:13">
      <c r="A57" t="s">
        <v>37</v>
      </c>
      <c r="B57" s="7">
        <v>0</v>
      </c>
      <c r="C57" s="7">
        <v>0</v>
      </c>
      <c r="D57" s="7">
        <v>0</v>
      </c>
      <c r="E57" s="7">
        <v>0</v>
      </c>
      <c r="F57" s="7">
        <v>2.9449999999999998</v>
      </c>
      <c r="G57" s="7">
        <v>0</v>
      </c>
    </row>
    <row r="58" spans="1:13">
      <c r="A58" t="s">
        <v>38</v>
      </c>
      <c r="B58" s="8">
        <f t="shared" ref="B58:G58" si="5">SUM(B52:B57)</f>
        <v>0</v>
      </c>
      <c r="C58" s="8">
        <f t="shared" si="5"/>
        <v>0</v>
      </c>
      <c r="D58" s="8">
        <f t="shared" si="5"/>
        <v>303.32499999999999</v>
      </c>
      <c r="E58" s="8">
        <f t="shared" si="5"/>
        <v>352.71200000000005</v>
      </c>
      <c r="F58" s="8">
        <f t="shared" si="5"/>
        <v>399.44299999999998</v>
      </c>
      <c r="G58" s="8">
        <f t="shared" si="5"/>
        <v>448.32099999999997</v>
      </c>
    </row>
    <row r="59" spans="1:13" ht="6" customHeight="1">
      <c r="B59" s="7"/>
      <c r="C59" s="7"/>
      <c r="D59" s="7"/>
      <c r="E59" s="7"/>
      <c r="F59" s="7"/>
      <c r="G59" s="7"/>
    </row>
    <row r="60" spans="1:13">
      <c r="A60" t="s">
        <v>39</v>
      </c>
      <c r="B60" s="7"/>
      <c r="C60" s="7"/>
      <c r="D60" s="7"/>
      <c r="E60" s="7">
        <f>$M$34/3</f>
        <v>121.66666666666667</v>
      </c>
      <c r="F60" s="7">
        <f>$M$34/3</f>
        <v>121.66666666666667</v>
      </c>
      <c r="G60" s="7">
        <f>$M$34/3</f>
        <v>121.66666666666667</v>
      </c>
      <c r="M60">
        <f>365/3</f>
        <v>121.66666666666667</v>
      </c>
    </row>
    <row r="61" spans="1:13">
      <c r="A61" t="s">
        <v>40</v>
      </c>
      <c r="B61" s="7">
        <v>0</v>
      </c>
      <c r="C61" s="7">
        <v>0</v>
      </c>
      <c r="D61" s="7">
        <v>0</v>
      </c>
      <c r="E61" s="7">
        <v>100</v>
      </c>
      <c r="F61" s="7">
        <v>388.971</v>
      </c>
      <c r="G61" s="7">
        <v>410.59399999999999</v>
      </c>
    </row>
    <row r="62" spans="1:13">
      <c r="A62" t="s">
        <v>41</v>
      </c>
      <c r="B62" s="7">
        <v>0</v>
      </c>
      <c r="C62" s="7">
        <v>0</v>
      </c>
      <c r="D62" s="7">
        <v>0</v>
      </c>
      <c r="E62" s="7">
        <v>0</v>
      </c>
      <c r="F62" s="7">
        <v>0</v>
      </c>
      <c r="G62" s="7">
        <v>0</v>
      </c>
    </row>
    <row r="63" spans="1:13">
      <c r="A63" t="s">
        <v>36</v>
      </c>
      <c r="B63" s="7">
        <v>0</v>
      </c>
      <c r="C63" s="7">
        <v>0</v>
      </c>
      <c r="D63" s="7">
        <v>0</v>
      </c>
      <c r="E63" s="7">
        <v>0</v>
      </c>
      <c r="F63" s="7">
        <v>0</v>
      </c>
      <c r="G63" s="7">
        <v>0</v>
      </c>
    </row>
    <row r="64" spans="1:13">
      <c r="A64" t="s">
        <v>42</v>
      </c>
      <c r="B64" s="7">
        <v>0</v>
      </c>
      <c r="C64" s="7">
        <v>0</v>
      </c>
      <c r="D64" s="7">
        <f>65.974+65.398+46.273</f>
        <v>177.64500000000001</v>
      </c>
      <c r="E64" s="7">
        <f>67.39+76.589+58.027</f>
        <v>202.00599999999997</v>
      </c>
      <c r="F64" s="7">
        <f>62.61+35.968+52.566+3.603</f>
        <v>154.74700000000001</v>
      </c>
      <c r="G64" s="7">
        <f>63.369+32.301+54.636+3.981</f>
        <v>154.28700000000001</v>
      </c>
    </row>
    <row r="65" spans="1:11">
      <c r="A65" t="s">
        <v>43</v>
      </c>
      <c r="B65" s="8">
        <f t="shared" ref="B65:G65" si="6">SUM(B61:B64)</f>
        <v>0</v>
      </c>
      <c r="C65" s="8">
        <f t="shared" si="6"/>
        <v>0</v>
      </c>
      <c r="D65" s="8">
        <f t="shared" si="6"/>
        <v>177.64500000000001</v>
      </c>
      <c r="E65" s="8">
        <f t="shared" si="6"/>
        <v>302.00599999999997</v>
      </c>
      <c r="F65" s="8">
        <f t="shared" si="6"/>
        <v>543.71800000000007</v>
      </c>
      <c r="G65" s="8">
        <f t="shared" si="6"/>
        <v>564.88099999999997</v>
      </c>
    </row>
    <row r="66" spans="1:11" ht="6" customHeight="1">
      <c r="B66" s="7"/>
      <c r="C66" s="7"/>
      <c r="D66" s="7"/>
      <c r="E66" s="7"/>
      <c r="F66" s="7"/>
      <c r="G66" s="7"/>
    </row>
    <row r="67" spans="1:11">
      <c r="A67" t="s">
        <v>44</v>
      </c>
      <c r="B67" s="8">
        <f t="shared" ref="B67:G67" si="7">B58+B65</f>
        <v>0</v>
      </c>
      <c r="C67" s="8">
        <f t="shared" si="7"/>
        <v>0</v>
      </c>
      <c r="D67" s="8">
        <f t="shared" si="7"/>
        <v>480.97</v>
      </c>
      <c r="E67" s="8">
        <f t="shared" si="7"/>
        <v>654.71800000000007</v>
      </c>
      <c r="F67" s="8">
        <f t="shared" si="7"/>
        <v>943.16100000000006</v>
      </c>
      <c r="G67" s="8">
        <f t="shared" si="7"/>
        <v>1013.202</v>
      </c>
    </row>
    <row r="68" spans="1:11" ht="6" customHeight="1">
      <c r="B68" s="7"/>
      <c r="C68" s="7"/>
      <c r="D68" s="7"/>
      <c r="E68" s="7"/>
      <c r="F68" s="7"/>
      <c r="G68" s="7"/>
    </row>
    <row r="69" spans="1:11">
      <c r="A69" t="s">
        <v>45</v>
      </c>
      <c r="B69" s="7"/>
      <c r="C69" s="7"/>
      <c r="D69" s="7"/>
      <c r="E69" s="7"/>
      <c r="F69" s="7"/>
      <c r="G69" s="7"/>
    </row>
    <row r="70" spans="1:11" hidden="1">
      <c r="A70" t="s">
        <v>46</v>
      </c>
      <c r="B70" s="7">
        <v>0</v>
      </c>
      <c r="C70" s="7">
        <v>0</v>
      </c>
      <c r="D70" s="7">
        <v>0</v>
      </c>
      <c r="E70" s="7">
        <v>0</v>
      </c>
      <c r="F70" s="7">
        <v>0</v>
      </c>
      <c r="G70" s="7">
        <v>0</v>
      </c>
    </row>
    <row r="71" spans="1:11">
      <c r="A71" t="s">
        <v>47</v>
      </c>
      <c r="B71" s="7">
        <v>0</v>
      </c>
      <c r="C71" s="7">
        <v>0</v>
      </c>
      <c r="D71" s="7">
        <v>3.0000000000000001E-3</v>
      </c>
      <c r="E71" s="7">
        <v>3.0000000000000001E-3</v>
      </c>
      <c r="F71" s="7">
        <v>3.0000000000000001E-3</v>
      </c>
      <c r="G71" s="7">
        <v>3.0000000000000001E-3</v>
      </c>
    </row>
    <row r="72" spans="1:11">
      <c r="A72" t="s">
        <v>48</v>
      </c>
      <c r="B72" s="7">
        <v>0</v>
      </c>
      <c r="C72" s="7">
        <v>0</v>
      </c>
      <c r="D72" s="7">
        <v>196.90799999999999</v>
      </c>
      <c r="E72" s="7">
        <v>214.43700000000001</v>
      </c>
      <c r="F72" s="7">
        <v>235.393</v>
      </c>
      <c r="G72" s="7">
        <v>257.59399999999999</v>
      </c>
    </row>
    <row r="73" spans="1:11">
      <c r="A73" t="s">
        <v>49</v>
      </c>
      <c r="B73" s="7">
        <v>0</v>
      </c>
      <c r="C73" s="7">
        <v>0</v>
      </c>
      <c r="D73" s="7">
        <f>1049.884-0.333</f>
        <v>1049.5509999999999</v>
      </c>
      <c r="E73" s="7">
        <f>1229.177-1.36</f>
        <v>1227.817</v>
      </c>
      <c r="F73" s="7">
        <f>1378.519-5.029</f>
        <v>1373.49</v>
      </c>
      <c r="G73" s="7">
        <f>1524.093-4.124</f>
        <v>1519.9690000000001</v>
      </c>
      <c r="J73" s="13"/>
      <c r="K73" s="13"/>
    </row>
    <row r="74" spans="1:11">
      <c r="A74" t="s">
        <v>50</v>
      </c>
      <c r="B74" s="7">
        <v>0</v>
      </c>
      <c r="C74" s="7">
        <v>0</v>
      </c>
      <c r="D74" s="7">
        <v>-546.57000000000005</v>
      </c>
      <c r="E74" s="7">
        <v>-706.07299999999998</v>
      </c>
      <c r="F74" s="7">
        <v>-1111.586</v>
      </c>
      <c r="G74" s="7">
        <v>-1488.779</v>
      </c>
      <c r="J74" s="13"/>
      <c r="K74" s="13"/>
    </row>
    <row r="75" spans="1:11">
      <c r="A75" t="s">
        <v>51</v>
      </c>
      <c r="B75" s="8">
        <f t="shared" ref="B75:G75" si="8">SUM(B70:B74)</f>
        <v>0</v>
      </c>
      <c r="C75" s="8">
        <f t="shared" si="8"/>
        <v>0</v>
      </c>
      <c r="D75" s="8">
        <f t="shared" si="8"/>
        <v>699.89199999999994</v>
      </c>
      <c r="E75" s="8">
        <f t="shared" si="8"/>
        <v>736.18400000000008</v>
      </c>
      <c r="F75" s="8">
        <f t="shared" si="8"/>
        <v>497.29999999999995</v>
      </c>
      <c r="G75" s="8">
        <f t="shared" si="8"/>
        <v>288.78700000000003</v>
      </c>
    </row>
    <row r="76" spans="1:11" ht="6" customHeight="1">
      <c r="B76" s="7"/>
      <c r="C76" s="7"/>
      <c r="D76" s="7"/>
      <c r="E76" s="7"/>
      <c r="F76" s="7"/>
      <c r="G76" s="7"/>
    </row>
    <row r="77" spans="1:11" ht="13" thickBot="1">
      <c r="A77" t="s">
        <v>52</v>
      </c>
      <c r="B77" s="11">
        <f t="shared" ref="B77:G77" si="9">B58+B65+B75</f>
        <v>0</v>
      </c>
      <c r="C77" s="11">
        <f t="shared" si="9"/>
        <v>0</v>
      </c>
      <c r="D77" s="11">
        <f t="shared" si="9"/>
        <v>1180.8620000000001</v>
      </c>
      <c r="E77" s="11">
        <f t="shared" si="9"/>
        <v>1390.902</v>
      </c>
      <c r="F77" s="11">
        <f t="shared" si="9"/>
        <v>1440.461</v>
      </c>
      <c r="G77" s="11">
        <f t="shared" si="9"/>
        <v>1301.989</v>
      </c>
    </row>
    <row r="78" spans="1:11" ht="6" customHeight="1" thickTop="1">
      <c r="B78" s="12"/>
      <c r="C78" s="12"/>
      <c r="D78" s="12"/>
      <c r="E78" s="12"/>
      <c r="F78" s="12"/>
      <c r="G78" s="12"/>
    </row>
    <row r="79" spans="1:11">
      <c r="A79" s="14" t="s">
        <v>53</v>
      </c>
      <c r="B79" s="15">
        <f t="shared" ref="B79:G79" si="10">ROUND(B40-B77,0)</f>
        <v>0</v>
      </c>
      <c r="C79" s="15">
        <f t="shared" si="10"/>
        <v>0</v>
      </c>
      <c r="D79" s="15">
        <f t="shared" si="10"/>
        <v>0</v>
      </c>
      <c r="E79" s="15">
        <f t="shared" si="10"/>
        <v>0</v>
      </c>
      <c r="F79" s="15">
        <f t="shared" si="10"/>
        <v>0</v>
      </c>
      <c r="G79" s="15">
        <f t="shared" si="10"/>
        <v>0</v>
      </c>
    </row>
    <row r="80" spans="1:11" ht="6.75" customHeight="1"/>
    <row r="81" spans="1:7">
      <c r="A81" t="s">
        <v>54</v>
      </c>
      <c r="B81" s="7">
        <f t="shared" ref="B81:G81" si="11">B12+B13+B14+B16+B30</f>
        <v>0</v>
      </c>
      <c r="C81" s="7">
        <f t="shared" si="11"/>
        <v>0</v>
      </c>
      <c r="D81" s="7">
        <f t="shared" si="11"/>
        <v>901.17200000000003</v>
      </c>
      <c r="E81" s="7">
        <f t="shared" si="11"/>
        <v>1113.251</v>
      </c>
      <c r="F81" s="7">
        <f t="shared" si="11"/>
        <v>1156.402</v>
      </c>
      <c r="G81" s="7">
        <f t="shared" si="11"/>
        <v>1044.9860000000001</v>
      </c>
    </row>
    <row r="82" spans="1:7">
      <c r="A82" t="s">
        <v>55</v>
      </c>
      <c r="B82" s="7">
        <f t="shared" ref="B82:G82" si="12">B81-B67</f>
        <v>0</v>
      </c>
      <c r="C82" s="7">
        <f t="shared" si="12"/>
        <v>0</v>
      </c>
      <c r="D82" s="7">
        <f t="shared" si="12"/>
        <v>420.202</v>
      </c>
      <c r="E82" s="7">
        <f t="shared" si="12"/>
        <v>458.5329999999999</v>
      </c>
      <c r="F82" s="7">
        <f t="shared" si="12"/>
        <v>213.24099999999999</v>
      </c>
      <c r="G82" s="7">
        <f t="shared" si="12"/>
        <v>31.784000000000106</v>
      </c>
    </row>
    <row r="83" spans="1:7">
      <c r="A83" t="s">
        <v>56</v>
      </c>
      <c r="B83" s="7">
        <f t="shared" ref="B83:G83" si="13">B52+B56+B61+B62+B63</f>
        <v>0</v>
      </c>
      <c r="C83" s="7">
        <f t="shared" si="13"/>
        <v>0</v>
      </c>
      <c r="D83" s="7">
        <f t="shared" si="13"/>
        <v>0</v>
      </c>
      <c r="E83" s="7">
        <f t="shared" si="13"/>
        <v>100</v>
      </c>
      <c r="F83" s="7">
        <f t="shared" si="13"/>
        <v>406.2</v>
      </c>
      <c r="G83" s="7">
        <f t="shared" si="13"/>
        <v>427.82299999999998</v>
      </c>
    </row>
    <row r="84" spans="1:7" ht="4.5" customHeight="1"/>
    <row r="86" spans="1:7" ht="13" hidden="1">
      <c r="A86" s="1" t="str">
        <f>A1</f>
        <v>Panera Bread</v>
      </c>
    </row>
    <row r="87" spans="1:7" hidden="1"/>
    <row r="88" spans="1:7">
      <c r="A88" s="5" t="s">
        <v>57</v>
      </c>
    </row>
    <row r="90" spans="1:7">
      <c r="A90" t="str">
        <f t="shared" ref="A90:G90" si="14">A7</f>
        <v>For Years Ending December 31 (in $ millions)</v>
      </c>
      <c r="B90" s="6">
        <f t="shared" si="14"/>
        <v>2011</v>
      </c>
      <c r="C90" s="6">
        <f t="shared" si="14"/>
        <v>2012</v>
      </c>
      <c r="D90" s="6">
        <f t="shared" si="14"/>
        <v>2013</v>
      </c>
      <c r="E90" s="6">
        <f t="shared" si="14"/>
        <v>2014</v>
      </c>
      <c r="F90" s="6">
        <f t="shared" si="14"/>
        <v>2015</v>
      </c>
      <c r="G90" s="6">
        <f t="shared" si="14"/>
        <v>2016</v>
      </c>
    </row>
    <row r="91" spans="1:7" ht="6" customHeight="1"/>
    <row r="92" spans="1:7">
      <c r="A92" t="s">
        <v>58</v>
      </c>
      <c r="B92" s="7">
        <v>0</v>
      </c>
      <c r="C92" s="7">
        <v>0</v>
      </c>
      <c r="D92" s="7">
        <v>2385.002</v>
      </c>
      <c r="E92" s="7">
        <v>2529.1950000000002</v>
      </c>
      <c r="F92" s="7">
        <v>2681.58</v>
      </c>
      <c r="G92" s="7">
        <v>2795.3649999999998</v>
      </c>
    </row>
    <row r="93" spans="1:7" ht="6" customHeight="1">
      <c r="B93" s="12"/>
      <c r="C93" s="12"/>
      <c r="D93" s="7"/>
      <c r="E93" s="7"/>
      <c r="F93" s="7"/>
      <c r="G93" s="7"/>
    </row>
    <row r="94" spans="1:7">
      <c r="A94" t="s">
        <v>59</v>
      </c>
      <c r="B94" s="7">
        <v>0</v>
      </c>
      <c r="C94" s="7">
        <v>0</v>
      </c>
      <c r="D94" s="7">
        <f>1695.434+142.16</f>
        <v>1837.5940000000001</v>
      </c>
      <c r="E94" s="7">
        <f>1830.109+152.267</f>
        <v>1982.376</v>
      </c>
      <c r="F94" s="7">
        <f>1974.781+160.706</f>
        <v>2135.4870000000001</v>
      </c>
      <c r="G94" s="7">
        <f>2026.815+178.585</f>
        <v>2205.4</v>
      </c>
    </row>
    <row r="95" spans="1:7" ht="6" customHeight="1">
      <c r="B95" s="12"/>
      <c r="C95" s="7"/>
      <c r="D95" s="7"/>
      <c r="E95" s="7"/>
      <c r="F95" s="7"/>
      <c r="G95" s="7"/>
    </row>
    <row r="96" spans="1:7">
      <c r="A96" t="s">
        <v>60</v>
      </c>
      <c r="B96" s="8">
        <f t="shared" ref="B96:G96" si="15">B92-B94</f>
        <v>0</v>
      </c>
      <c r="C96" s="8">
        <f t="shared" si="15"/>
        <v>0</v>
      </c>
      <c r="D96" s="8">
        <f t="shared" si="15"/>
        <v>547.4079999999999</v>
      </c>
      <c r="E96" s="8">
        <f t="shared" si="15"/>
        <v>546.81900000000019</v>
      </c>
      <c r="F96" s="8">
        <f t="shared" si="15"/>
        <v>546.09299999999985</v>
      </c>
      <c r="G96" s="8">
        <f t="shared" si="15"/>
        <v>589.96499999999969</v>
      </c>
    </row>
    <row r="97" spans="1:7" ht="6" customHeight="1">
      <c r="B97" s="12"/>
      <c r="C97" s="7"/>
      <c r="D97" s="7"/>
      <c r="E97" s="7"/>
      <c r="F97" s="7"/>
      <c r="G97" s="7"/>
    </row>
    <row r="98" spans="1:7">
      <c r="A98" t="s">
        <v>61</v>
      </c>
      <c r="B98" s="7"/>
      <c r="C98" s="7">
        <v>0</v>
      </c>
      <c r="D98" s="7">
        <v>123.33499999999999</v>
      </c>
      <c r="E98" s="7">
        <v>138.06</v>
      </c>
      <c r="F98" s="7">
        <v>142.904</v>
      </c>
      <c r="G98" s="7">
        <v>179.876</v>
      </c>
    </row>
    <row r="99" spans="1:7">
      <c r="A99" t="s">
        <v>62</v>
      </c>
      <c r="B99" s="7"/>
      <c r="C99" s="7">
        <v>0</v>
      </c>
      <c r="D99" s="7">
        <v>7.7949999999999999</v>
      </c>
      <c r="E99" s="7">
        <v>8.7070000000000007</v>
      </c>
      <c r="F99" s="7">
        <f>9.089+17.108</f>
        <v>26.197000000000003</v>
      </c>
      <c r="G99" s="7">
        <f>6.899+9.072</f>
        <v>15.971</v>
      </c>
    </row>
    <row r="100" spans="1:7" hidden="1">
      <c r="A100" t="s">
        <v>62</v>
      </c>
      <c r="B100" s="7"/>
      <c r="C100" s="7">
        <v>0</v>
      </c>
      <c r="D100" s="7">
        <v>0</v>
      </c>
      <c r="E100" s="7">
        <v>0</v>
      </c>
      <c r="F100" s="7">
        <v>0</v>
      </c>
      <c r="G100" s="7">
        <v>0</v>
      </c>
    </row>
    <row r="101" spans="1:7" hidden="1">
      <c r="A101" t="s">
        <v>62</v>
      </c>
      <c r="B101" s="7"/>
      <c r="C101" s="7">
        <v>0</v>
      </c>
      <c r="D101" s="7">
        <v>0</v>
      </c>
      <c r="E101" s="7">
        <v>0</v>
      </c>
      <c r="F101" s="7">
        <v>0</v>
      </c>
      <c r="G101" s="7">
        <v>0</v>
      </c>
    </row>
    <row r="102" spans="1:7" hidden="1">
      <c r="A102" t="s">
        <v>62</v>
      </c>
      <c r="B102" s="7"/>
      <c r="C102" s="7">
        <v>0</v>
      </c>
      <c r="D102" s="7">
        <v>0</v>
      </c>
      <c r="E102" s="7">
        <v>0</v>
      </c>
      <c r="F102" s="7">
        <v>0</v>
      </c>
      <c r="G102" s="7">
        <v>0</v>
      </c>
    </row>
    <row r="103" spans="1:7" hidden="1">
      <c r="A103" t="s">
        <v>62</v>
      </c>
      <c r="B103" s="7"/>
      <c r="C103" s="7">
        <v>0</v>
      </c>
      <c r="D103" s="7">
        <v>0</v>
      </c>
      <c r="E103" s="7">
        <v>0</v>
      </c>
      <c r="F103" s="7">
        <v>0</v>
      </c>
      <c r="G103" s="7">
        <v>0</v>
      </c>
    </row>
    <row r="104" spans="1:7" hidden="1">
      <c r="A104" t="s">
        <v>62</v>
      </c>
      <c r="B104" s="7"/>
      <c r="C104" s="7">
        <v>0</v>
      </c>
      <c r="D104" s="7">
        <v>0</v>
      </c>
      <c r="E104" s="7">
        <v>0</v>
      </c>
      <c r="F104" s="7">
        <v>0</v>
      </c>
      <c r="G104" s="7">
        <v>0</v>
      </c>
    </row>
    <row r="105" spans="1:7" hidden="1">
      <c r="A105" t="s">
        <v>62</v>
      </c>
      <c r="B105" s="7"/>
      <c r="C105" s="7">
        <v>0</v>
      </c>
      <c r="D105" s="7">
        <v>0</v>
      </c>
      <c r="E105" s="7">
        <v>0</v>
      </c>
      <c r="F105" s="7">
        <v>0</v>
      </c>
      <c r="G105" s="7">
        <v>0</v>
      </c>
    </row>
    <row r="106" spans="1:7" hidden="1">
      <c r="A106" t="s">
        <v>62</v>
      </c>
      <c r="B106" s="7"/>
      <c r="C106" s="7">
        <v>0</v>
      </c>
      <c r="D106" s="7">
        <v>0</v>
      </c>
      <c r="E106" s="7">
        <v>0</v>
      </c>
      <c r="F106" s="7">
        <v>0</v>
      </c>
      <c r="G106" s="7">
        <v>0</v>
      </c>
    </row>
    <row r="107" spans="1:7" hidden="1">
      <c r="A107" t="s">
        <v>62</v>
      </c>
      <c r="B107" s="7"/>
      <c r="C107" s="7">
        <v>0</v>
      </c>
      <c r="D107" s="7">
        <v>0</v>
      </c>
      <c r="E107" s="7">
        <v>0</v>
      </c>
      <c r="F107" s="7">
        <v>0</v>
      </c>
      <c r="G107" s="7">
        <v>0</v>
      </c>
    </row>
    <row r="108" spans="1:7" hidden="1">
      <c r="A108" t="s">
        <v>62</v>
      </c>
      <c r="B108" s="7"/>
      <c r="C108" s="7">
        <v>0</v>
      </c>
      <c r="D108" s="7">
        <v>0</v>
      </c>
      <c r="E108" s="7">
        <v>0</v>
      </c>
      <c r="F108" s="7">
        <v>0</v>
      </c>
      <c r="G108" s="7">
        <v>0</v>
      </c>
    </row>
    <row r="109" spans="1:7" hidden="1">
      <c r="A109" t="s">
        <v>62</v>
      </c>
      <c r="B109" s="7"/>
      <c r="C109" s="7">
        <v>0</v>
      </c>
      <c r="D109" s="7">
        <v>0</v>
      </c>
      <c r="E109" s="7">
        <v>0</v>
      </c>
      <c r="F109" s="7">
        <v>0</v>
      </c>
      <c r="G109" s="7">
        <v>0</v>
      </c>
    </row>
    <row r="110" spans="1:7" hidden="1">
      <c r="A110" t="s">
        <v>62</v>
      </c>
      <c r="B110" s="7"/>
      <c r="C110" s="7">
        <v>0</v>
      </c>
      <c r="D110" s="7">
        <v>0</v>
      </c>
      <c r="E110" s="7">
        <v>0</v>
      </c>
      <c r="F110" s="7">
        <v>0</v>
      </c>
      <c r="G110" s="7">
        <v>0</v>
      </c>
    </row>
    <row r="111" spans="1:7" hidden="1">
      <c r="A111" t="s">
        <v>62</v>
      </c>
      <c r="B111" s="7"/>
      <c r="C111" s="7">
        <v>0</v>
      </c>
      <c r="D111" s="7">
        <v>0</v>
      </c>
      <c r="E111" s="7">
        <v>0</v>
      </c>
      <c r="F111" s="7">
        <v>0</v>
      </c>
      <c r="G111" s="7">
        <v>0</v>
      </c>
    </row>
    <row r="112" spans="1:7" hidden="1">
      <c r="A112" t="s">
        <v>62</v>
      </c>
      <c r="B112" s="7"/>
      <c r="C112" s="7">
        <v>0</v>
      </c>
      <c r="D112" s="7">
        <v>0</v>
      </c>
      <c r="E112" s="7">
        <v>0</v>
      </c>
      <c r="F112" s="7">
        <v>0</v>
      </c>
      <c r="G112" s="7">
        <v>0</v>
      </c>
    </row>
    <row r="113" spans="1:7" hidden="1">
      <c r="A113" t="s">
        <v>62</v>
      </c>
      <c r="B113" s="7"/>
      <c r="C113" s="7">
        <v>0</v>
      </c>
      <c r="D113" s="7">
        <v>0</v>
      </c>
      <c r="E113" s="7">
        <v>0</v>
      </c>
      <c r="F113" s="7">
        <v>0</v>
      </c>
      <c r="G113" s="7">
        <v>0</v>
      </c>
    </row>
    <row r="114" spans="1:7" hidden="1">
      <c r="A114" t="s">
        <v>62</v>
      </c>
      <c r="B114" s="7"/>
      <c r="C114" s="7">
        <v>0</v>
      </c>
      <c r="D114" s="7">
        <v>0</v>
      </c>
      <c r="E114" s="7">
        <v>0</v>
      </c>
      <c r="F114" s="7">
        <v>0</v>
      </c>
      <c r="G114" s="7">
        <v>0</v>
      </c>
    </row>
    <row r="115" spans="1:7" hidden="1">
      <c r="A115" t="s">
        <v>62</v>
      </c>
      <c r="B115" s="7"/>
      <c r="C115" s="7">
        <v>0</v>
      </c>
      <c r="D115" s="7">
        <v>0</v>
      </c>
      <c r="E115" s="7">
        <v>0</v>
      </c>
      <c r="F115" s="7">
        <v>0</v>
      </c>
      <c r="G115" s="7">
        <v>0</v>
      </c>
    </row>
    <row r="116" spans="1:7" hidden="1">
      <c r="A116" t="s">
        <v>62</v>
      </c>
      <c r="B116" s="7"/>
      <c r="C116" s="7">
        <v>0</v>
      </c>
      <c r="D116" s="7">
        <v>0</v>
      </c>
      <c r="E116" s="7">
        <v>0</v>
      </c>
      <c r="F116" s="7">
        <v>0</v>
      </c>
      <c r="G116" s="7">
        <v>0</v>
      </c>
    </row>
    <row r="117" spans="1:7" hidden="1">
      <c r="A117" t="s">
        <v>62</v>
      </c>
      <c r="B117" s="7"/>
      <c r="C117" s="7">
        <v>0</v>
      </c>
      <c r="D117" s="7">
        <v>0</v>
      </c>
      <c r="E117" s="7">
        <v>0</v>
      </c>
      <c r="F117" s="7">
        <v>0</v>
      </c>
      <c r="G117" s="7">
        <v>0</v>
      </c>
    </row>
    <row r="118" spans="1:7" hidden="1">
      <c r="A118" t="s">
        <v>62</v>
      </c>
      <c r="B118" s="7"/>
      <c r="C118" s="7">
        <v>0</v>
      </c>
      <c r="D118" s="7">
        <v>0</v>
      </c>
      <c r="E118" s="7">
        <v>0</v>
      </c>
      <c r="F118" s="7">
        <v>0</v>
      </c>
      <c r="G118" s="7">
        <v>0</v>
      </c>
    </row>
    <row r="119" spans="1:7" hidden="1">
      <c r="A119" t="s">
        <v>62</v>
      </c>
      <c r="B119" s="7"/>
      <c r="C119" s="7">
        <v>0</v>
      </c>
      <c r="D119" s="7">
        <v>0</v>
      </c>
      <c r="E119" s="7">
        <v>0</v>
      </c>
      <c r="F119" s="7">
        <v>0</v>
      </c>
      <c r="G119" s="7">
        <v>0</v>
      </c>
    </row>
    <row r="120" spans="1:7" hidden="1">
      <c r="A120" t="s">
        <v>62</v>
      </c>
      <c r="B120" s="7"/>
      <c r="C120" s="7">
        <v>0</v>
      </c>
      <c r="D120" s="7">
        <v>0</v>
      </c>
      <c r="E120" s="7">
        <v>0</v>
      </c>
      <c r="F120" s="7">
        <v>0</v>
      </c>
      <c r="G120" s="7">
        <v>0</v>
      </c>
    </row>
    <row r="121" spans="1:7" hidden="1">
      <c r="A121" t="s">
        <v>62</v>
      </c>
      <c r="B121" s="7"/>
      <c r="C121" s="7">
        <v>0</v>
      </c>
      <c r="D121" s="7">
        <v>0</v>
      </c>
      <c r="E121" s="7">
        <v>0</v>
      </c>
      <c r="F121" s="7">
        <v>0</v>
      </c>
      <c r="G121" s="7">
        <v>0</v>
      </c>
    </row>
    <row r="122" spans="1:7" hidden="1">
      <c r="A122" t="s">
        <v>62</v>
      </c>
      <c r="B122" s="7"/>
      <c r="C122" s="7">
        <v>0</v>
      </c>
      <c r="D122" s="7">
        <v>0</v>
      </c>
      <c r="E122" s="7">
        <v>0</v>
      </c>
      <c r="F122" s="7">
        <v>0</v>
      </c>
      <c r="G122" s="7">
        <v>0</v>
      </c>
    </row>
    <row r="123" spans="1:7" hidden="1">
      <c r="A123" t="s">
        <v>62</v>
      </c>
      <c r="B123" s="7"/>
      <c r="C123" s="7">
        <v>0</v>
      </c>
      <c r="D123" s="7">
        <v>0</v>
      </c>
      <c r="E123" s="7">
        <v>0</v>
      </c>
      <c r="F123" s="7">
        <v>0</v>
      </c>
      <c r="G123" s="7">
        <v>0</v>
      </c>
    </row>
    <row r="124" spans="1:7" hidden="1">
      <c r="A124" t="s">
        <v>62</v>
      </c>
      <c r="B124" s="7"/>
      <c r="C124" s="7">
        <v>0</v>
      </c>
      <c r="D124" s="7">
        <v>0</v>
      </c>
      <c r="E124" s="7">
        <v>0</v>
      </c>
      <c r="F124" s="7">
        <v>0</v>
      </c>
      <c r="G124" s="7">
        <v>0</v>
      </c>
    </row>
    <row r="125" spans="1:7" hidden="1">
      <c r="A125" t="s">
        <v>62</v>
      </c>
      <c r="B125" s="7"/>
      <c r="C125" s="7">
        <v>0</v>
      </c>
      <c r="D125" s="7">
        <v>0</v>
      </c>
      <c r="E125" s="7">
        <v>0</v>
      </c>
      <c r="F125" s="7">
        <v>0</v>
      </c>
      <c r="G125" s="7">
        <v>0</v>
      </c>
    </row>
    <row r="126" spans="1:7" hidden="1">
      <c r="A126" t="s">
        <v>62</v>
      </c>
      <c r="B126" s="7"/>
      <c r="C126" s="7">
        <v>0</v>
      </c>
      <c r="D126" s="7">
        <v>0</v>
      </c>
      <c r="E126" s="7">
        <v>0</v>
      </c>
      <c r="F126" s="7">
        <v>0</v>
      </c>
      <c r="G126" s="7">
        <v>0</v>
      </c>
    </row>
    <row r="127" spans="1:7" hidden="1">
      <c r="A127" t="s">
        <v>62</v>
      </c>
      <c r="B127" s="7"/>
      <c r="C127" s="7">
        <v>0</v>
      </c>
      <c r="D127" s="7">
        <v>0</v>
      </c>
      <c r="E127" s="7">
        <v>0</v>
      </c>
      <c r="F127" s="7">
        <v>0</v>
      </c>
      <c r="G127" s="7">
        <v>0</v>
      </c>
    </row>
    <row r="128" spans="1:7" hidden="1">
      <c r="A128" t="s">
        <v>62</v>
      </c>
      <c r="B128" s="7"/>
      <c r="C128" s="7">
        <v>0</v>
      </c>
      <c r="D128" s="7">
        <v>0</v>
      </c>
      <c r="E128" s="7">
        <v>0</v>
      </c>
      <c r="F128" s="7">
        <v>0</v>
      </c>
      <c r="G128" s="7">
        <v>0</v>
      </c>
    </row>
    <row r="129" spans="1:7" hidden="1">
      <c r="A129" t="s">
        <v>62</v>
      </c>
      <c r="B129" s="7"/>
      <c r="C129" s="7">
        <v>0</v>
      </c>
      <c r="D129" s="7">
        <v>0</v>
      </c>
      <c r="E129" s="7">
        <v>0</v>
      </c>
      <c r="F129" s="7">
        <v>0</v>
      </c>
      <c r="G129" s="7">
        <v>0</v>
      </c>
    </row>
    <row r="130" spans="1:7" hidden="1">
      <c r="A130" t="s">
        <v>62</v>
      </c>
      <c r="B130" s="7"/>
      <c r="C130" s="7">
        <v>0</v>
      </c>
      <c r="D130" s="7">
        <v>0</v>
      </c>
      <c r="E130" s="7">
        <v>0</v>
      </c>
      <c r="F130" s="7">
        <v>0</v>
      </c>
      <c r="G130" s="7">
        <v>0</v>
      </c>
    </row>
    <row r="131" spans="1:7" hidden="1">
      <c r="A131" t="s">
        <v>62</v>
      </c>
      <c r="B131" s="7"/>
      <c r="C131" s="7">
        <v>0</v>
      </c>
      <c r="D131" s="7">
        <v>0</v>
      </c>
      <c r="E131" s="7">
        <v>0</v>
      </c>
      <c r="F131" s="7">
        <v>0</v>
      </c>
      <c r="G131" s="7">
        <v>0</v>
      </c>
    </row>
    <row r="132" spans="1:7" hidden="1">
      <c r="A132" t="s">
        <v>62</v>
      </c>
      <c r="B132" s="7"/>
      <c r="C132" s="7">
        <v>0</v>
      </c>
      <c r="D132" s="7">
        <v>0</v>
      </c>
      <c r="E132" s="7">
        <v>0</v>
      </c>
      <c r="F132" s="7">
        <v>0</v>
      </c>
      <c r="G132" s="7">
        <v>0</v>
      </c>
    </row>
    <row r="133" spans="1:7" hidden="1">
      <c r="A133" t="s">
        <v>62</v>
      </c>
      <c r="B133" s="7"/>
      <c r="C133" s="7">
        <v>0</v>
      </c>
      <c r="D133" s="7">
        <v>0</v>
      </c>
      <c r="E133" s="7">
        <v>0</v>
      </c>
      <c r="F133" s="7">
        <v>0</v>
      </c>
      <c r="G133" s="7">
        <v>0</v>
      </c>
    </row>
    <row r="134" spans="1:7" hidden="1">
      <c r="A134" t="s">
        <v>62</v>
      </c>
      <c r="B134" s="7"/>
      <c r="C134" s="7">
        <v>0</v>
      </c>
      <c r="D134" s="7">
        <v>0</v>
      </c>
      <c r="E134" s="7">
        <v>0</v>
      </c>
      <c r="F134" s="7">
        <v>0</v>
      </c>
      <c r="G134" s="7">
        <v>0</v>
      </c>
    </row>
    <row r="135" spans="1:7" hidden="1">
      <c r="A135" t="s">
        <v>62</v>
      </c>
      <c r="B135" s="7"/>
      <c r="C135" s="7">
        <v>0</v>
      </c>
      <c r="D135" s="7">
        <v>0</v>
      </c>
      <c r="E135" s="7">
        <v>0</v>
      </c>
      <c r="F135" s="7">
        <v>0</v>
      </c>
      <c r="G135" s="7">
        <v>0</v>
      </c>
    </row>
    <row r="136" spans="1:7" hidden="1">
      <c r="A136" t="s">
        <v>62</v>
      </c>
      <c r="B136" s="7"/>
      <c r="C136" s="7">
        <v>0</v>
      </c>
      <c r="D136" s="7">
        <v>0</v>
      </c>
      <c r="E136" s="7">
        <v>0</v>
      </c>
      <c r="F136" s="7">
        <v>0</v>
      </c>
      <c r="G136" s="7">
        <v>0</v>
      </c>
    </row>
    <row r="137" spans="1:7" hidden="1">
      <c r="A137" t="s">
        <v>62</v>
      </c>
      <c r="B137" s="7"/>
      <c r="C137" s="7">
        <v>0</v>
      </c>
      <c r="D137" s="7">
        <v>0</v>
      </c>
      <c r="E137" s="7">
        <v>0</v>
      </c>
      <c r="F137" s="7">
        <v>0</v>
      </c>
      <c r="G137" s="7">
        <v>0</v>
      </c>
    </row>
    <row r="138" spans="1:7">
      <c r="A138" t="s">
        <v>63</v>
      </c>
      <c r="B138" s="7"/>
      <c r="C138" s="7">
        <v>0</v>
      </c>
      <c r="D138" s="7">
        <v>106.523</v>
      </c>
      <c r="E138" s="7">
        <v>124.809</v>
      </c>
      <c r="F138" s="7">
        <v>135.398</v>
      </c>
      <c r="G138" s="7">
        <v>154.35499999999999</v>
      </c>
    </row>
    <row r="139" spans="1:7">
      <c r="A139" t="s">
        <v>64</v>
      </c>
      <c r="B139" s="8">
        <f t="shared" ref="B139:G139" si="16">SUM(B98:B138)</f>
        <v>0</v>
      </c>
      <c r="C139" s="8">
        <f t="shared" si="16"/>
        <v>0</v>
      </c>
      <c r="D139" s="8">
        <f t="shared" si="16"/>
        <v>237.65299999999999</v>
      </c>
      <c r="E139" s="8">
        <f t="shared" si="16"/>
        <v>271.57600000000002</v>
      </c>
      <c r="F139" s="8">
        <f t="shared" si="16"/>
        <v>304.49900000000002</v>
      </c>
      <c r="G139" s="8">
        <f t="shared" si="16"/>
        <v>350.202</v>
      </c>
    </row>
    <row r="140" spans="1:7" ht="6" customHeight="1">
      <c r="B140" s="12"/>
      <c r="C140" s="7"/>
      <c r="D140" s="7"/>
      <c r="E140" s="7"/>
      <c r="F140" s="7"/>
      <c r="G140" s="7"/>
    </row>
    <row r="141" spans="1:7">
      <c r="A141" t="s">
        <v>65</v>
      </c>
      <c r="B141" s="8">
        <f t="shared" ref="B141:G141" si="17">B96-B139</f>
        <v>0</v>
      </c>
      <c r="C141" s="8">
        <f t="shared" si="17"/>
        <v>0</v>
      </c>
      <c r="D141" s="8">
        <f t="shared" si="17"/>
        <v>309.75499999999988</v>
      </c>
      <c r="E141" s="8">
        <f t="shared" si="17"/>
        <v>275.24300000000017</v>
      </c>
      <c r="F141" s="8">
        <f t="shared" si="17"/>
        <v>241.59399999999982</v>
      </c>
      <c r="G141" s="8">
        <f t="shared" si="17"/>
        <v>239.76299999999969</v>
      </c>
    </row>
    <row r="142" spans="1:7" ht="6" customHeight="1">
      <c r="B142" s="12"/>
      <c r="C142" s="7"/>
      <c r="D142" s="7"/>
      <c r="E142" s="7"/>
      <c r="F142" s="7"/>
      <c r="G142" s="7"/>
    </row>
    <row r="143" spans="1:7">
      <c r="A143" t="s">
        <v>66</v>
      </c>
      <c r="B143" s="12"/>
      <c r="C143" s="7"/>
      <c r="D143" s="7"/>
      <c r="E143" s="7"/>
      <c r="F143" s="7"/>
      <c r="G143" s="7"/>
    </row>
    <row r="144" spans="1:7" ht="6" customHeight="1">
      <c r="B144" s="12"/>
      <c r="C144" s="7"/>
      <c r="D144" s="7"/>
      <c r="E144" s="7"/>
      <c r="F144" s="7"/>
      <c r="G144" s="7"/>
    </row>
    <row r="145" spans="1:13" hidden="1">
      <c r="A145" t="s">
        <v>67</v>
      </c>
      <c r="B145" s="7">
        <v>0</v>
      </c>
      <c r="C145" s="7">
        <v>0</v>
      </c>
      <c r="D145" s="7">
        <v>0</v>
      </c>
      <c r="E145" s="7">
        <v>0</v>
      </c>
      <c r="F145" s="7">
        <v>0</v>
      </c>
      <c r="G145" s="7">
        <v>0</v>
      </c>
    </row>
    <row r="146" spans="1:13">
      <c r="A146" t="s">
        <v>68</v>
      </c>
      <c r="B146" s="7">
        <v>0</v>
      </c>
      <c r="C146" s="7">
        <v>0</v>
      </c>
      <c r="D146" s="7">
        <v>4.0170000000000003</v>
      </c>
      <c r="E146" s="7">
        <v>3.1749999999999998</v>
      </c>
      <c r="F146" s="7">
        <v>-1.1919999999999999</v>
      </c>
      <c r="G146" s="7">
        <v>-1.38</v>
      </c>
    </row>
    <row r="147" spans="1:13">
      <c r="A147" t="s">
        <v>69</v>
      </c>
      <c r="B147" s="7">
        <v>0</v>
      </c>
      <c r="C147" s="7">
        <v>0</v>
      </c>
      <c r="D147" s="7">
        <v>-1.0529999999999999</v>
      </c>
      <c r="E147" s="7">
        <v>-1.8240000000000001</v>
      </c>
      <c r="F147" s="7">
        <v>-3.83</v>
      </c>
      <c r="G147" s="7">
        <v>-8.8840000000000003</v>
      </c>
    </row>
    <row r="148" spans="1:13">
      <c r="A148" t="s">
        <v>70</v>
      </c>
      <c r="B148" s="8">
        <f t="shared" ref="B148:G148" si="18">SUM(B145:B147)</f>
        <v>0</v>
      </c>
      <c r="C148" s="8">
        <f t="shared" si="18"/>
        <v>0</v>
      </c>
      <c r="D148" s="8">
        <f t="shared" si="18"/>
        <v>2.9640000000000004</v>
      </c>
      <c r="E148" s="8">
        <f t="shared" si="18"/>
        <v>1.3509999999999998</v>
      </c>
      <c r="F148" s="8">
        <f t="shared" si="18"/>
        <v>-5.0220000000000002</v>
      </c>
      <c r="G148" s="8">
        <f t="shared" si="18"/>
        <v>-10.263999999999999</v>
      </c>
    </row>
    <row r="149" spans="1:13" ht="6" customHeight="1">
      <c r="B149" s="12"/>
      <c r="C149" s="7"/>
      <c r="D149" s="7"/>
      <c r="E149" s="7"/>
      <c r="F149" s="7"/>
      <c r="G149" s="7"/>
    </row>
    <row r="150" spans="1:13">
      <c r="A150" t="s">
        <v>71</v>
      </c>
      <c r="B150" s="8">
        <f t="shared" ref="B150:G150" si="19">B141+B148</f>
        <v>0</v>
      </c>
      <c r="C150" s="8">
        <f t="shared" si="19"/>
        <v>0</v>
      </c>
      <c r="D150" s="8">
        <f t="shared" si="19"/>
        <v>312.71899999999988</v>
      </c>
      <c r="E150" s="8">
        <f t="shared" si="19"/>
        <v>276.59400000000016</v>
      </c>
      <c r="F150" s="8">
        <f t="shared" si="19"/>
        <v>236.57199999999983</v>
      </c>
      <c r="G150" s="8">
        <f t="shared" si="19"/>
        <v>229.49899999999968</v>
      </c>
    </row>
    <row r="151" spans="1:13" ht="8.15" customHeight="1">
      <c r="B151" s="7"/>
      <c r="C151" s="7"/>
      <c r="D151" s="7"/>
      <c r="E151" s="7"/>
      <c r="F151" s="7"/>
      <c r="G151" s="7"/>
    </row>
    <row r="152" spans="1:13">
      <c r="A152" t="s">
        <v>72</v>
      </c>
      <c r="B152" s="7"/>
      <c r="C152" s="7"/>
      <c r="D152" s="7">
        <v>116.551</v>
      </c>
      <c r="E152" s="7">
        <v>98.001000000000005</v>
      </c>
      <c r="F152" s="7">
        <v>87.247</v>
      </c>
      <c r="G152" s="7">
        <v>84.257999999999996</v>
      </c>
    </row>
    <row r="153" spans="1:13" ht="8.15" customHeight="1">
      <c r="B153" s="7"/>
      <c r="C153" s="7"/>
      <c r="D153" s="7"/>
      <c r="E153" s="7"/>
      <c r="F153" s="7"/>
      <c r="G153" s="7"/>
    </row>
    <row r="154" spans="1:13" ht="13" thickBot="1">
      <c r="A154" t="s">
        <v>73</v>
      </c>
      <c r="B154" s="11">
        <f t="shared" ref="B154:G154" si="20">B150-B152</f>
        <v>0</v>
      </c>
      <c r="C154" s="11">
        <f t="shared" si="20"/>
        <v>0</v>
      </c>
      <c r="D154" s="11">
        <f t="shared" si="20"/>
        <v>196.16799999999989</v>
      </c>
      <c r="E154" s="11">
        <f t="shared" si="20"/>
        <v>178.59300000000016</v>
      </c>
      <c r="F154" s="11">
        <f t="shared" si="20"/>
        <v>149.32499999999982</v>
      </c>
      <c r="G154" s="11">
        <f t="shared" si="20"/>
        <v>145.2409999999997</v>
      </c>
      <c r="M154" s="16"/>
    </row>
    <row r="155" spans="1:13" ht="6" customHeight="1" thickTop="1">
      <c r="B155" s="7"/>
      <c r="C155" s="7"/>
      <c r="D155" s="7"/>
      <c r="E155" s="7"/>
      <c r="F155" s="7"/>
      <c r="G155" s="7"/>
    </row>
    <row r="156" spans="1:13">
      <c r="A156" t="s">
        <v>74</v>
      </c>
      <c r="B156" s="7">
        <f>B154+B152-B147-B146-B145+B165</f>
        <v>0</v>
      </c>
      <c r="C156" s="7">
        <f>C154+C152-C147-C146-C145+C165</f>
        <v>0</v>
      </c>
      <c r="D156" s="7">
        <f>D141+D138</f>
        <v>416.27799999999991</v>
      </c>
      <c r="E156" s="7">
        <f>E141+E138</f>
        <v>400.05200000000013</v>
      </c>
      <c r="F156" s="7">
        <f>F141+F138</f>
        <v>376.99199999999985</v>
      </c>
      <c r="G156" s="7">
        <f>G141+G138</f>
        <v>394.11799999999971</v>
      </c>
    </row>
    <row r="158" spans="1:13" ht="13" hidden="1">
      <c r="A158" s="1" t="str">
        <f>A1</f>
        <v>Panera Bread</v>
      </c>
    </row>
    <row r="159" spans="1:13" hidden="1"/>
    <row r="160" spans="1:13">
      <c r="A160" s="5" t="s">
        <v>75</v>
      </c>
    </row>
    <row r="162" spans="1:7" ht="27.75" customHeight="1">
      <c r="A162" t="str">
        <f>A7</f>
        <v>For Years Ending December 31 (in $ millions)</v>
      </c>
      <c r="B162" s="6"/>
      <c r="C162" s="6">
        <f>C7</f>
        <v>2012</v>
      </c>
      <c r="D162" s="6">
        <f>D7</f>
        <v>2013</v>
      </c>
      <c r="E162" s="6">
        <f>E7</f>
        <v>2014</v>
      </c>
      <c r="F162" s="6">
        <f>F7</f>
        <v>2015</v>
      </c>
      <c r="G162" s="6">
        <f>G7</f>
        <v>2016</v>
      </c>
    </row>
    <row r="164" spans="1:7">
      <c r="A164" t="s">
        <v>76</v>
      </c>
      <c r="B164" s="17"/>
      <c r="C164" s="17"/>
      <c r="D164" s="17">
        <f>D154</f>
        <v>196.16799999999989</v>
      </c>
      <c r="E164" s="17">
        <f>E154</f>
        <v>178.59300000000016</v>
      </c>
      <c r="F164" s="17">
        <f>F154</f>
        <v>149.32499999999982</v>
      </c>
      <c r="G164" s="17">
        <f>G154</f>
        <v>145.2409999999997</v>
      </c>
    </row>
    <row r="165" spans="1:7">
      <c r="A165" t="s">
        <v>63</v>
      </c>
      <c r="B165" s="17"/>
      <c r="C165" s="17"/>
      <c r="D165" s="17">
        <f>D138</f>
        <v>106.523</v>
      </c>
      <c r="E165" s="17">
        <f>E138</f>
        <v>124.809</v>
      </c>
      <c r="F165" s="17">
        <f>F138</f>
        <v>135.398</v>
      </c>
      <c r="G165" s="17">
        <f>G138</f>
        <v>154.35499999999999</v>
      </c>
    </row>
    <row r="166" spans="1:7">
      <c r="A166" t="s">
        <v>77</v>
      </c>
      <c r="B166" s="17"/>
      <c r="C166" s="17"/>
      <c r="D166" s="17">
        <v>10.702999999999999</v>
      </c>
      <c r="E166" s="17">
        <v>10.077</v>
      </c>
      <c r="F166" s="17">
        <v>15.086</v>
      </c>
      <c r="G166" s="17">
        <v>15.662000000000001</v>
      </c>
    </row>
    <row r="167" spans="1:7" hidden="1">
      <c r="A167" t="s">
        <v>78</v>
      </c>
      <c r="B167" s="17"/>
      <c r="C167" s="17"/>
      <c r="D167" s="17">
        <v>0</v>
      </c>
      <c r="E167" s="17">
        <v>0</v>
      </c>
      <c r="F167" s="17">
        <v>0</v>
      </c>
      <c r="G167" s="17">
        <v>0</v>
      </c>
    </row>
    <row r="168" spans="1:7">
      <c r="A168" t="s">
        <v>79</v>
      </c>
      <c r="B168" s="17"/>
      <c r="C168" s="17"/>
      <c r="D168" s="17">
        <f>SUM(C13:C18)-SUM(D13:D18)+D53+D54+D55+D57-C53-C54-C55-C57</f>
        <v>125.85399999999998</v>
      </c>
      <c r="E168" s="17">
        <f>SUM(D13:D18)-SUM(E13:E18)+E53+E54+E55+E57-D53-D54-D55-D57</f>
        <v>17.185000000000059</v>
      </c>
      <c r="F168" s="17">
        <f>SUM(E13:E18)-SUM(F13:F18)+F53+F54+F55+F57-E53-E54-E55-E57</f>
        <v>12.75099999999992</v>
      </c>
      <c r="G168" s="17">
        <f>SUM(F13:F18)-SUM(G13:G18)+G53+G54+G55+G57-F53-F54-F55-F57</f>
        <v>69.408999999999992</v>
      </c>
    </row>
    <row r="169" spans="1:7">
      <c r="A169" t="s">
        <v>80</v>
      </c>
      <c r="B169" s="17"/>
      <c r="C169" s="18"/>
      <c r="D169" s="18">
        <f>SUM(D164:D168)</f>
        <v>439.24799999999988</v>
      </c>
      <c r="E169" s="18">
        <f>SUM(E164:E168)</f>
        <v>330.66400000000021</v>
      </c>
      <c r="F169" s="18">
        <f>SUM(F164:F168)</f>
        <v>312.55999999999977</v>
      </c>
      <c r="G169" s="18">
        <f>SUM(G164:G168)</f>
        <v>384.66699999999963</v>
      </c>
    </row>
    <row r="170" spans="1:7">
      <c r="B170" s="17"/>
      <c r="C170" s="17"/>
      <c r="D170" s="17"/>
      <c r="E170" s="17"/>
      <c r="F170" s="17"/>
      <c r="G170" s="17"/>
    </row>
  </sheetData>
  <mergeCells count="1">
    <mergeCell ref="H13:H14"/>
  </mergeCells>
  <pageMargins left="0.7" right="0.7" top="0.75" bottom="0.75" header="0.3" footer="0.3"/>
  <pageSetup scale="85" fitToWidth="0" fitToHeight="0" orientation="landscape" r:id="rId1"/>
  <rowBreaks count="3" manualBreakCount="3">
    <brk id="42" max="16383" man="1"/>
    <brk id="85" max="16383" man="1"/>
    <brk id="15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0B2AE-19B0-4316-8FE6-F11EFF91749F}">
  <dimension ref="A1:N60"/>
  <sheetViews>
    <sheetView showGridLines="0" zoomScaleNormal="100" workbookViewId="0">
      <selection activeCell="I58" sqref="I58"/>
    </sheetView>
  </sheetViews>
  <sheetFormatPr defaultRowHeight="12.5"/>
  <cols>
    <col min="1" max="1" width="34.1796875" customWidth="1"/>
    <col min="2" max="2" width="11.81640625" customWidth="1"/>
    <col min="3" max="3" width="10.7265625" customWidth="1"/>
    <col min="4" max="4" width="11.26953125" bestFit="1" customWidth="1"/>
    <col min="5" max="8" width="10.7265625" customWidth="1"/>
    <col min="9" max="9" width="9" bestFit="1" customWidth="1"/>
  </cols>
  <sheetData>
    <row r="1" spans="1:9" ht="13">
      <c r="A1" s="1" t="str">
        <f>'[1]FS Historical'!A1</f>
        <v>Panera Bread</v>
      </c>
      <c r="B1" s="1"/>
      <c r="D1" s="19"/>
      <c r="E1" s="19"/>
      <c r="F1" s="19"/>
      <c r="G1" s="19"/>
      <c r="H1" s="19"/>
      <c r="I1" s="19"/>
    </row>
    <row r="2" spans="1:9">
      <c r="A2" s="19"/>
      <c r="B2" s="19"/>
      <c r="C2" s="19"/>
      <c r="D2" s="19"/>
      <c r="E2" s="19"/>
      <c r="F2" s="19"/>
      <c r="G2" s="19"/>
      <c r="H2" s="19"/>
      <c r="I2" s="19"/>
    </row>
    <row r="3" spans="1:9" ht="13">
      <c r="A3" s="3" t="s">
        <v>82</v>
      </c>
      <c r="B3" s="4"/>
      <c r="C3" s="4"/>
      <c r="D3" s="4"/>
      <c r="E3" s="4"/>
      <c r="F3" s="4"/>
      <c r="G3" s="4"/>
      <c r="H3" s="4"/>
      <c r="I3" s="4"/>
    </row>
    <row r="4" spans="1:9">
      <c r="A4" s="19"/>
      <c r="B4" s="19"/>
      <c r="C4" s="19"/>
      <c r="D4" s="19"/>
      <c r="E4" s="19"/>
      <c r="F4" s="19"/>
      <c r="G4" s="19"/>
      <c r="H4" s="19"/>
      <c r="I4" s="19"/>
    </row>
    <row r="5" spans="1:9">
      <c r="A5" t="str">
        <f>CONCATENATE("For Fiscal Years Ending ",MONTH([1]Start!$B$32),"/",DAY([1]Start!$B$32)," (in $ millions)")</f>
        <v>For Fiscal Years Ending 12/31 (in $ millions)</v>
      </c>
      <c r="B5" s="19"/>
      <c r="C5" s="20" t="s">
        <v>83</v>
      </c>
      <c r="D5" s="21" t="s">
        <v>84</v>
      </c>
      <c r="E5" s="20" t="s">
        <v>85</v>
      </c>
      <c r="F5" s="20" t="s">
        <v>85</v>
      </c>
      <c r="G5" s="20" t="s">
        <v>85</v>
      </c>
      <c r="H5" s="20" t="s">
        <v>85</v>
      </c>
      <c r="I5" s="19"/>
    </row>
    <row r="6" spans="1:9">
      <c r="A6" s="19"/>
      <c r="B6" s="19"/>
      <c r="C6" s="22">
        <v>2016</v>
      </c>
      <c r="D6" s="22">
        <v>2017</v>
      </c>
      <c r="E6" s="22">
        <v>2018</v>
      </c>
      <c r="F6" s="22">
        <v>2019</v>
      </c>
      <c r="G6" s="22">
        <v>2020</v>
      </c>
      <c r="H6" s="22">
        <v>2021</v>
      </c>
      <c r="I6" s="19"/>
    </row>
    <row r="7" spans="1:9">
      <c r="A7" s="19"/>
      <c r="B7" s="19"/>
      <c r="C7" s="22"/>
      <c r="D7" s="22"/>
      <c r="E7" s="22"/>
      <c r="F7" s="22"/>
      <c r="G7" s="22"/>
      <c r="H7" s="22"/>
      <c r="I7" s="19"/>
    </row>
    <row r="8" spans="1:9">
      <c r="A8" s="19" t="s">
        <v>86</v>
      </c>
      <c r="B8" s="19"/>
      <c r="C8" s="19"/>
      <c r="D8" s="19"/>
      <c r="E8" s="19"/>
      <c r="F8" s="19"/>
      <c r="G8" s="19"/>
      <c r="H8" s="19"/>
      <c r="I8" s="19"/>
    </row>
    <row r="9" spans="1:9">
      <c r="A9" s="19"/>
      <c r="B9" s="19"/>
      <c r="C9" s="19"/>
      <c r="D9" s="19"/>
      <c r="E9" s="19"/>
      <c r="F9" s="19"/>
      <c r="G9" s="19"/>
      <c r="H9" s="19"/>
      <c r="I9" s="19"/>
    </row>
    <row r="10" spans="1:9">
      <c r="A10" s="23" t="s">
        <v>58</v>
      </c>
      <c r="B10" s="23"/>
      <c r="C10" s="24">
        <f>'[1]FS Historical'!G91</f>
        <v>2795.3649999999998</v>
      </c>
      <c r="D10" s="25">
        <v>2846.1</v>
      </c>
      <c r="E10" s="25">
        <v>3083.1</v>
      </c>
      <c r="F10" s="25">
        <v>3374.4</v>
      </c>
      <c r="G10" s="25">
        <v>3886.9</v>
      </c>
      <c r="H10" s="25">
        <v>4220</v>
      </c>
      <c r="I10" s="19"/>
    </row>
    <row r="11" spans="1:9" ht="13">
      <c r="A11" s="26" t="s">
        <v>87</v>
      </c>
      <c r="B11" s="26"/>
      <c r="C11" s="27"/>
      <c r="D11" s="28">
        <f>IFERROR(D10/C10-1,"N.M.")</f>
        <v>1.8149687071276954E-2</v>
      </c>
      <c r="E11" s="28">
        <f>IFERROR(E10/D10-1,"N.M.")</f>
        <v>8.3271845683567047E-2</v>
      </c>
      <c r="F11" s="28">
        <f>IFERROR(F10/E10-1,"N.M.")</f>
        <v>9.4482825727352449E-2</v>
      </c>
      <c r="G11" s="28">
        <f>IFERROR(G10/F10-1,"N.M.")</f>
        <v>0.15187885253674738</v>
      </c>
      <c r="H11" s="28">
        <f>IFERROR(H10/G10-1,"N.M.")</f>
        <v>8.5698114178394125E-2</v>
      </c>
      <c r="I11" s="19"/>
    </row>
    <row r="12" spans="1:9" ht="6" customHeight="1">
      <c r="A12" s="29"/>
      <c r="B12" s="29"/>
      <c r="C12" s="30"/>
      <c r="D12" s="30"/>
      <c r="E12" s="30"/>
      <c r="F12" s="30"/>
      <c r="G12" s="30"/>
      <c r="H12" s="30"/>
      <c r="I12" s="19"/>
    </row>
    <row r="13" spans="1:9">
      <c r="A13" s="23" t="s">
        <v>59</v>
      </c>
      <c r="B13" s="23"/>
      <c r="C13" s="24">
        <f>'[1]FS Historical'!G93</f>
        <v>2205.4</v>
      </c>
      <c r="D13" s="31">
        <f>D10*D14</f>
        <v>2219.9580000000001</v>
      </c>
      <c r="E13" s="31">
        <f>E10*E14</f>
        <v>2404.8180000000002</v>
      </c>
      <c r="F13" s="31">
        <f>F10*F14</f>
        <v>2632.0320000000002</v>
      </c>
      <c r="G13" s="31">
        <f>G10*G14</f>
        <v>3031.7820000000002</v>
      </c>
      <c r="H13" s="31">
        <f>H10*H14</f>
        <v>3291.6</v>
      </c>
      <c r="I13" s="19"/>
    </row>
    <row r="14" spans="1:9" ht="13">
      <c r="A14" s="29"/>
      <c r="B14" s="29"/>
      <c r="C14" s="27">
        <f>IFERROR(C13/C10,0)</f>
        <v>0.78894884925582176</v>
      </c>
      <c r="D14" s="32">
        <v>0.78</v>
      </c>
      <c r="E14" s="32">
        <v>0.78</v>
      </c>
      <c r="F14" s="32">
        <v>0.78</v>
      </c>
      <c r="G14" s="32">
        <v>0.78</v>
      </c>
      <c r="H14" s="32">
        <v>0.78</v>
      </c>
      <c r="I14" s="19"/>
    </row>
    <row r="15" spans="1:9" ht="6" customHeight="1">
      <c r="A15" s="29"/>
      <c r="B15" s="29"/>
      <c r="C15" s="30"/>
      <c r="D15" s="30"/>
      <c r="E15" s="30"/>
      <c r="F15" s="30"/>
      <c r="G15" s="30"/>
      <c r="H15" s="30"/>
      <c r="I15" s="19"/>
    </row>
    <row r="16" spans="1:9">
      <c r="A16" s="23" t="s">
        <v>88</v>
      </c>
      <c r="B16" s="23"/>
      <c r="C16" s="33">
        <f t="shared" ref="C16:H16" si="0">C10-C13</f>
        <v>589.96499999999969</v>
      </c>
      <c r="D16" s="33">
        <f t="shared" si="0"/>
        <v>626.14199999999983</v>
      </c>
      <c r="E16" s="33">
        <f t="shared" si="0"/>
        <v>678.2819999999997</v>
      </c>
      <c r="F16" s="33">
        <f t="shared" si="0"/>
        <v>742.36799999999994</v>
      </c>
      <c r="G16" s="33">
        <f t="shared" si="0"/>
        <v>855.11799999999994</v>
      </c>
      <c r="H16" s="33">
        <f t="shared" si="0"/>
        <v>928.40000000000009</v>
      </c>
      <c r="I16" s="19"/>
    </row>
    <row r="17" spans="1:9" ht="6" customHeight="1">
      <c r="A17" s="23"/>
      <c r="B17" s="23"/>
      <c r="C17" s="34"/>
      <c r="D17" s="34"/>
      <c r="E17" s="34"/>
      <c r="F17" s="34"/>
      <c r="G17" s="34"/>
      <c r="H17" s="34"/>
      <c r="I17" s="19"/>
    </row>
    <row r="18" spans="1:9">
      <c r="A18" t="s">
        <v>89</v>
      </c>
      <c r="B18" s="23"/>
      <c r="C18" s="24">
        <f>SUM('[1]FS Historical'!G97:G98)</f>
        <v>195.84700000000001</v>
      </c>
      <c r="D18" s="25">
        <v>196</v>
      </c>
      <c r="E18" s="25">
        <v>199.92000000000002</v>
      </c>
      <c r="F18" s="25">
        <v>203.91840000000002</v>
      </c>
      <c r="G18" s="25">
        <v>207.99676800000003</v>
      </c>
      <c r="H18" s="25">
        <v>212.15670336000002</v>
      </c>
      <c r="I18" s="19"/>
    </row>
    <row r="19" spans="1:9" hidden="1">
      <c r="B19" s="23"/>
      <c r="C19" s="24"/>
      <c r="D19" s="25">
        <v>0</v>
      </c>
      <c r="E19" s="25">
        <v>0</v>
      </c>
      <c r="F19" s="25">
        <v>0</v>
      </c>
      <c r="G19" s="25">
        <v>0</v>
      </c>
      <c r="H19" s="25">
        <v>0</v>
      </c>
      <c r="I19" s="19"/>
    </row>
    <row r="20" spans="1:9" hidden="1">
      <c r="B20" s="23"/>
      <c r="C20" s="24"/>
      <c r="D20" s="25">
        <v>0</v>
      </c>
      <c r="E20" s="25">
        <v>0</v>
      </c>
      <c r="F20" s="25">
        <v>0</v>
      </c>
      <c r="G20" s="25">
        <v>0</v>
      </c>
      <c r="H20" s="25">
        <v>0</v>
      </c>
      <c r="I20" s="19"/>
    </row>
    <row r="21" spans="1:9" hidden="1">
      <c r="B21" s="23"/>
      <c r="C21" s="24"/>
      <c r="D21" s="25">
        <v>0</v>
      </c>
      <c r="E21" s="25">
        <v>0</v>
      </c>
      <c r="F21" s="25">
        <v>0</v>
      </c>
      <c r="G21" s="25">
        <v>0</v>
      </c>
      <c r="H21" s="25">
        <v>0</v>
      </c>
      <c r="I21" s="19"/>
    </row>
    <row r="22" spans="1:9" hidden="1">
      <c r="B22" s="23"/>
      <c r="C22" s="24"/>
      <c r="D22" s="25">
        <v>0</v>
      </c>
      <c r="E22" s="25">
        <v>0</v>
      </c>
      <c r="F22" s="25">
        <v>0</v>
      </c>
      <c r="G22" s="25">
        <v>0</v>
      </c>
      <c r="H22" s="25">
        <v>0</v>
      </c>
      <c r="I22" s="19"/>
    </row>
    <row r="23" spans="1:9" hidden="1">
      <c r="B23" s="23"/>
      <c r="C23" s="24"/>
      <c r="D23" s="25">
        <v>0</v>
      </c>
      <c r="E23" s="25">
        <v>0</v>
      </c>
      <c r="F23" s="25">
        <v>0</v>
      </c>
      <c r="G23" s="25">
        <v>0</v>
      </c>
      <c r="H23" s="25">
        <v>0</v>
      </c>
      <c r="I23" s="19"/>
    </row>
    <row r="24" spans="1:9" hidden="1">
      <c r="B24" s="23"/>
      <c r="C24" s="24"/>
      <c r="D24" s="25">
        <v>0</v>
      </c>
      <c r="E24" s="25">
        <v>0</v>
      </c>
      <c r="F24" s="25">
        <v>0</v>
      </c>
      <c r="G24" s="25">
        <v>0</v>
      </c>
      <c r="H24" s="25">
        <v>0</v>
      </c>
      <c r="I24" s="19"/>
    </row>
    <row r="25" spans="1:9" hidden="1">
      <c r="B25" s="23"/>
      <c r="C25" s="24"/>
      <c r="D25" s="25">
        <v>0</v>
      </c>
      <c r="E25" s="25">
        <v>0</v>
      </c>
      <c r="F25" s="25">
        <v>0</v>
      </c>
      <c r="G25" s="25">
        <v>0</v>
      </c>
      <c r="H25" s="25">
        <v>0</v>
      </c>
      <c r="I25" s="19"/>
    </row>
    <row r="26" spans="1:9" hidden="1">
      <c r="B26" s="23"/>
      <c r="C26" s="24"/>
      <c r="D26" s="25">
        <v>0</v>
      </c>
      <c r="E26" s="25">
        <v>0</v>
      </c>
      <c r="F26" s="25">
        <v>0</v>
      </c>
      <c r="G26" s="25">
        <v>0</v>
      </c>
      <c r="H26" s="25">
        <v>0</v>
      </c>
      <c r="I26" s="19"/>
    </row>
    <row r="27" spans="1:9" hidden="1">
      <c r="B27" s="23"/>
      <c r="C27" s="24"/>
      <c r="D27" s="25">
        <v>0</v>
      </c>
      <c r="E27" s="25">
        <v>0</v>
      </c>
      <c r="F27" s="25">
        <v>0</v>
      </c>
      <c r="G27" s="25">
        <v>0</v>
      </c>
      <c r="H27" s="25">
        <v>0</v>
      </c>
      <c r="I27" s="19"/>
    </row>
    <row r="28" spans="1:9" hidden="1">
      <c r="B28" s="23"/>
      <c r="C28" s="24"/>
      <c r="D28" s="25">
        <v>0</v>
      </c>
      <c r="E28" s="25">
        <v>0</v>
      </c>
      <c r="F28" s="25">
        <v>0</v>
      </c>
      <c r="G28" s="25">
        <v>0</v>
      </c>
      <c r="H28" s="25">
        <v>0</v>
      </c>
      <c r="I28" s="19"/>
    </row>
    <row r="29" spans="1:9">
      <c r="A29" s="35" t="s">
        <v>63</v>
      </c>
      <c r="B29" s="23"/>
      <c r="C29" s="24">
        <f>'[1]FS Historical'!G137</f>
        <v>154.35499999999999</v>
      </c>
      <c r="D29" s="25">
        <v>155</v>
      </c>
      <c r="E29" s="25">
        <v>155</v>
      </c>
      <c r="F29" s="25">
        <v>155</v>
      </c>
      <c r="G29" s="25">
        <v>155</v>
      </c>
      <c r="H29" s="25">
        <v>155</v>
      </c>
      <c r="I29" s="19"/>
    </row>
    <row r="30" spans="1:9" ht="6" customHeight="1">
      <c r="A30" s="19"/>
      <c r="B30" s="19"/>
      <c r="C30" s="19"/>
      <c r="D30" s="36"/>
      <c r="E30" s="36"/>
      <c r="F30" s="36"/>
      <c r="G30" s="36"/>
      <c r="H30" s="36"/>
      <c r="I30" s="19"/>
    </row>
    <row r="31" spans="1:9">
      <c r="A31" s="19" t="s">
        <v>64</v>
      </c>
      <c r="B31" s="19"/>
      <c r="C31" s="37">
        <f t="shared" ref="C31:H31" si="1">SUM(C18:C29)</f>
        <v>350.202</v>
      </c>
      <c r="D31" s="37">
        <f t="shared" si="1"/>
        <v>351</v>
      </c>
      <c r="E31" s="37">
        <f t="shared" si="1"/>
        <v>354.92</v>
      </c>
      <c r="F31" s="37">
        <f t="shared" si="1"/>
        <v>358.91840000000002</v>
      </c>
      <c r="G31" s="37">
        <f t="shared" si="1"/>
        <v>362.99676800000003</v>
      </c>
      <c r="H31" s="37">
        <f t="shared" si="1"/>
        <v>367.15670336000005</v>
      </c>
      <c r="I31" s="19"/>
    </row>
    <row r="32" spans="1:9" ht="13">
      <c r="A32" s="19"/>
      <c r="B32" s="19"/>
      <c r="C32" s="27">
        <f t="shared" ref="C32:H32" si="2">IFERROR(C31/C10,0)</f>
        <v>0.12527952521405972</v>
      </c>
      <c r="D32" s="27">
        <f t="shared" si="2"/>
        <v>0.1233266575313587</v>
      </c>
      <c r="E32" s="27">
        <f>IFERROR(E31/E10,0)</f>
        <v>0.11511790081411567</v>
      </c>
      <c r="F32" s="27">
        <f t="shared" si="2"/>
        <v>0.10636510194404931</v>
      </c>
      <c r="G32" s="27">
        <f t="shared" si="2"/>
        <v>9.3389788263140303E-2</v>
      </c>
      <c r="H32" s="27">
        <f t="shared" si="2"/>
        <v>8.7003958142180107E-2</v>
      </c>
      <c r="I32" s="97"/>
    </row>
    <row r="33" spans="1:14" ht="6" customHeight="1">
      <c r="A33" s="19"/>
      <c r="B33" s="19"/>
      <c r="C33" s="30"/>
      <c r="D33" s="30"/>
      <c r="E33" s="30"/>
      <c r="F33" s="30"/>
      <c r="G33" s="30"/>
      <c r="H33" s="30"/>
      <c r="I33" s="19"/>
    </row>
    <row r="34" spans="1:14">
      <c r="A34" s="19" t="s">
        <v>90</v>
      </c>
      <c r="B34" s="19"/>
      <c r="C34" s="33">
        <f t="shared" ref="C34:H34" si="3">C16-C31</f>
        <v>239.76299999999969</v>
      </c>
      <c r="D34" s="33">
        <f t="shared" si="3"/>
        <v>275.14199999999983</v>
      </c>
      <c r="E34" s="33">
        <f t="shared" si="3"/>
        <v>323.36199999999968</v>
      </c>
      <c r="F34" s="33">
        <f t="shared" si="3"/>
        <v>383.44959999999992</v>
      </c>
      <c r="G34" s="33">
        <f t="shared" si="3"/>
        <v>492.12123199999991</v>
      </c>
      <c r="H34" s="33">
        <f t="shared" si="3"/>
        <v>561.24329664000004</v>
      </c>
      <c r="I34" s="19"/>
    </row>
    <row r="35" spans="1:14" ht="6" customHeight="1">
      <c r="A35" s="19"/>
      <c r="B35" s="19"/>
      <c r="C35" s="30"/>
      <c r="D35" s="30"/>
      <c r="E35" s="30"/>
      <c r="F35" s="30"/>
      <c r="G35" s="30"/>
      <c r="H35" s="30"/>
      <c r="I35" s="19"/>
    </row>
    <row r="36" spans="1:14">
      <c r="A36" t="s">
        <v>91</v>
      </c>
      <c r="B36" s="19"/>
      <c r="C36" s="38">
        <v>0</v>
      </c>
      <c r="D36" s="38">
        <v>0</v>
      </c>
      <c r="E36" s="38">
        <v>0</v>
      </c>
      <c r="F36" s="38">
        <v>0</v>
      </c>
      <c r="G36" s="38">
        <v>0</v>
      </c>
      <c r="H36" s="38">
        <v>0</v>
      </c>
      <c r="I36" s="19"/>
    </row>
    <row r="37" spans="1:14" ht="6" customHeight="1">
      <c r="A37" s="19"/>
      <c r="B37" s="19"/>
      <c r="C37" s="39"/>
      <c r="D37" s="39"/>
      <c r="E37" s="39"/>
      <c r="F37" s="39"/>
      <c r="G37" s="39"/>
      <c r="H37" s="39"/>
      <c r="I37" s="19"/>
    </row>
    <row r="38" spans="1:14">
      <c r="A38" s="19" t="s">
        <v>92</v>
      </c>
      <c r="B38" s="19"/>
      <c r="C38" s="40">
        <f t="shared" ref="C38:H38" si="4">C34+C36</f>
        <v>239.76299999999969</v>
      </c>
      <c r="D38" s="40">
        <f t="shared" si="4"/>
        <v>275.14199999999983</v>
      </c>
      <c r="E38" s="40">
        <f t="shared" si="4"/>
        <v>323.36199999999968</v>
      </c>
      <c r="F38" s="40">
        <f t="shared" si="4"/>
        <v>383.44959999999992</v>
      </c>
      <c r="G38" s="40">
        <f t="shared" si="4"/>
        <v>492.12123199999991</v>
      </c>
      <c r="H38" s="40">
        <f t="shared" si="4"/>
        <v>561.24329664000004</v>
      </c>
      <c r="I38" s="19"/>
    </row>
    <row r="39" spans="1:14" ht="13">
      <c r="A39" s="19"/>
      <c r="B39" s="19"/>
      <c r="C39" s="27">
        <f t="shared" ref="C39:H39" si="5">IFERROR(C38/C10,0)</f>
        <v>8.5771625530118509E-2</v>
      </c>
      <c r="D39" s="27">
        <f t="shared" si="5"/>
        <v>9.6673342468641246E-2</v>
      </c>
      <c r="E39" s="27">
        <f t="shared" si="5"/>
        <v>0.10488209918588423</v>
      </c>
      <c r="F39" s="27">
        <f t="shared" si="5"/>
        <v>0.11363489805595066</v>
      </c>
      <c r="G39" s="27">
        <f t="shared" si="5"/>
        <v>0.12661021173685968</v>
      </c>
      <c r="H39" s="27">
        <f t="shared" si="5"/>
        <v>0.13299604185781991</v>
      </c>
      <c r="I39" s="19"/>
    </row>
    <row r="40" spans="1:14" ht="6" customHeight="1">
      <c r="A40" s="19"/>
      <c r="B40" s="19"/>
      <c r="C40" s="30"/>
      <c r="D40" s="30"/>
      <c r="E40" s="30"/>
      <c r="F40" s="30"/>
      <c r="G40" s="30"/>
      <c r="H40" s="30"/>
      <c r="I40" s="19"/>
    </row>
    <row r="41" spans="1:14">
      <c r="A41" t="s">
        <v>93</v>
      </c>
      <c r="B41" s="19"/>
      <c r="C41" s="24">
        <f>'[1]FS Historical'!G145</f>
        <v>-1.38</v>
      </c>
      <c r="D41" s="25">
        <v>0</v>
      </c>
      <c r="E41" s="25">
        <v>0</v>
      </c>
      <c r="F41" s="25">
        <v>0</v>
      </c>
      <c r="G41" s="25">
        <v>0</v>
      </c>
      <c r="H41" s="25">
        <v>0</v>
      </c>
      <c r="I41" s="19"/>
      <c r="K41" t="s">
        <v>109</v>
      </c>
    </row>
    <row r="42" spans="1:14">
      <c r="A42" t="s">
        <v>94</v>
      </c>
      <c r="B42" s="19"/>
      <c r="C42" s="24">
        <f>-'[1]FS Historical'!G146</f>
        <v>8.8840000000000003</v>
      </c>
      <c r="D42" s="25">
        <v>12.834689999999998</v>
      </c>
      <c r="E42" s="25">
        <v>13.66128</v>
      </c>
      <c r="F42" s="25">
        <v>14.798879999999999</v>
      </c>
      <c r="G42" s="25">
        <v>16.197119999999998</v>
      </c>
      <c r="H42" s="25">
        <v>18.657119999999999</v>
      </c>
      <c r="I42" s="19"/>
    </row>
    <row r="43" spans="1:14" ht="6" customHeight="1">
      <c r="A43" s="19"/>
      <c r="B43" s="19"/>
      <c r="C43" s="41"/>
      <c r="D43" s="39"/>
      <c r="E43" s="39"/>
      <c r="F43" s="39"/>
      <c r="G43" s="39"/>
      <c r="H43" s="39"/>
      <c r="I43" s="19"/>
    </row>
    <row r="44" spans="1:14">
      <c r="A44" s="19" t="s">
        <v>95</v>
      </c>
      <c r="B44" s="19"/>
      <c r="C44" s="40">
        <f t="shared" ref="C44:H44" si="6">C38+C41-C42</f>
        <v>229.49899999999968</v>
      </c>
      <c r="D44" s="40">
        <f t="shared" si="6"/>
        <v>262.3073099999998</v>
      </c>
      <c r="E44" s="40">
        <f t="shared" si="6"/>
        <v>309.70071999999971</v>
      </c>
      <c r="F44" s="40">
        <f t="shared" si="6"/>
        <v>368.65071999999992</v>
      </c>
      <c r="G44" s="40">
        <f t="shared" si="6"/>
        <v>475.92411199999992</v>
      </c>
      <c r="H44" s="40">
        <f t="shared" si="6"/>
        <v>542.58617664000008</v>
      </c>
      <c r="I44" s="19"/>
    </row>
    <row r="45" spans="1:14" ht="6" customHeight="1">
      <c r="A45" s="19"/>
      <c r="B45" s="19"/>
      <c r="C45" s="39"/>
      <c r="D45" s="39"/>
      <c r="E45" s="39"/>
      <c r="F45" s="39"/>
      <c r="G45" s="39"/>
      <c r="H45" s="39"/>
      <c r="I45" s="19"/>
    </row>
    <row r="46" spans="1:14">
      <c r="A46" s="19" t="s">
        <v>96</v>
      </c>
      <c r="B46" s="19"/>
      <c r="C46" s="24">
        <f>'[1]FS Historical'!G151</f>
        <v>84.257999999999996</v>
      </c>
      <c r="D46" s="42">
        <f>IF(D44&gt;0,D44*D47,0)</f>
        <v>94.430631599999927</v>
      </c>
      <c r="E46" s="42">
        <f>IF(E44&gt;0,E44*E47,0)</f>
        <v>111.49225919999989</v>
      </c>
      <c r="F46" s="42">
        <f>IF(F44&gt;0,F44*F47,0)</f>
        <v>132.71425919999996</v>
      </c>
      <c r="G46" s="42">
        <f>IF(G44&gt;0,G44*G47,0)</f>
        <v>171.33268031999995</v>
      </c>
      <c r="H46" s="42">
        <f>IF(H44&gt;0,H44*H47,0)</f>
        <v>195.33102359040001</v>
      </c>
      <c r="I46" s="19"/>
    </row>
    <row r="47" spans="1:14" ht="13">
      <c r="A47" s="19"/>
      <c r="B47" s="19"/>
      <c r="C47" s="27">
        <f>IFERROR(C46/C44,0)</f>
        <v>0.3671388546355327</v>
      </c>
      <c r="D47" s="43">
        <v>0.36</v>
      </c>
      <c r="E47" s="43">
        <v>0.36</v>
      </c>
      <c r="F47" s="43">
        <v>0.36</v>
      </c>
      <c r="G47" s="43">
        <v>0.36</v>
      </c>
      <c r="H47" s="43">
        <v>0.36</v>
      </c>
      <c r="I47" s="19"/>
      <c r="J47" s="90"/>
      <c r="K47" s="90"/>
      <c r="L47" s="90"/>
      <c r="M47" s="90"/>
      <c r="N47" s="90"/>
    </row>
    <row r="48" spans="1:14" ht="6" customHeight="1">
      <c r="A48" s="19"/>
      <c r="B48" s="19"/>
      <c r="C48" s="44"/>
      <c r="D48" s="44"/>
      <c r="E48" s="44"/>
      <c r="F48" s="44"/>
      <c r="G48" s="44"/>
      <c r="H48" s="44"/>
      <c r="I48" s="19"/>
    </row>
    <row r="49" spans="1:9" ht="13" thickBot="1">
      <c r="A49" s="19" t="s">
        <v>76</v>
      </c>
      <c r="B49" s="19"/>
      <c r="C49" s="45">
        <f t="shared" ref="C49:H49" si="7">C44-C46</f>
        <v>145.2409999999997</v>
      </c>
      <c r="D49" s="45">
        <f t="shared" si="7"/>
        <v>167.87667839999989</v>
      </c>
      <c r="E49" s="45">
        <f t="shared" si="7"/>
        <v>198.20846079999981</v>
      </c>
      <c r="F49" s="45">
        <f t="shared" si="7"/>
        <v>235.93646079999996</v>
      </c>
      <c r="G49" s="45">
        <f t="shared" si="7"/>
        <v>304.59143167999997</v>
      </c>
      <c r="H49" s="45">
        <f t="shared" si="7"/>
        <v>347.25515304960004</v>
      </c>
      <c r="I49" s="19"/>
    </row>
    <row r="50" spans="1:9" ht="6" customHeight="1" thickTop="1">
      <c r="A50" s="19"/>
      <c r="B50" s="19"/>
      <c r="C50" s="46"/>
      <c r="D50" s="46"/>
      <c r="E50" s="46"/>
      <c r="F50" s="46"/>
      <c r="G50" s="46"/>
      <c r="H50" s="46"/>
      <c r="I50" s="19"/>
    </row>
    <row r="51" spans="1:9">
      <c r="A51" s="19" t="s">
        <v>63</v>
      </c>
      <c r="B51" s="19"/>
      <c r="C51" s="24">
        <f>'[1]FS Historical'!G137</f>
        <v>154.35499999999999</v>
      </c>
      <c r="D51" s="24">
        <f>D29</f>
        <v>155</v>
      </c>
      <c r="E51" s="24">
        <f>E29</f>
        <v>155</v>
      </c>
      <c r="F51" s="24">
        <f>F29</f>
        <v>155</v>
      </c>
      <c r="G51" s="24">
        <f>G29</f>
        <v>155</v>
      </c>
      <c r="H51" s="24">
        <f>H29</f>
        <v>155</v>
      </c>
      <c r="I51" s="97"/>
    </row>
    <row r="52" spans="1:9" ht="6" customHeight="1">
      <c r="A52" s="19"/>
      <c r="B52" s="19"/>
      <c r="C52" s="46"/>
      <c r="D52" s="46"/>
      <c r="E52" s="46"/>
      <c r="F52" s="46"/>
      <c r="G52" s="46"/>
      <c r="H52" s="46"/>
      <c r="I52" s="19"/>
    </row>
    <row r="53" spans="1:9" ht="13" thickBot="1">
      <c r="A53" s="19" t="s">
        <v>74</v>
      </c>
      <c r="B53" s="19"/>
      <c r="C53" s="45">
        <f t="shared" ref="C53:H53" si="8">C38+C51</f>
        <v>394.11799999999971</v>
      </c>
      <c r="D53" s="45">
        <f t="shared" si="8"/>
        <v>430.14199999999983</v>
      </c>
      <c r="E53" s="45">
        <f t="shared" si="8"/>
        <v>478.36199999999968</v>
      </c>
      <c r="F53" s="45">
        <f t="shared" si="8"/>
        <v>538.44959999999992</v>
      </c>
      <c r="G53" s="45">
        <f t="shared" si="8"/>
        <v>647.12123199999996</v>
      </c>
      <c r="H53" s="45">
        <f t="shared" si="8"/>
        <v>716.24329664000004</v>
      </c>
      <c r="I53" s="19"/>
    </row>
    <row r="54" spans="1:9" ht="13" thickTop="1">
      <c r="A54" s="19"/>
      <c r="B54" s="19"/>
      <c r="C54" s="46"/>
      <c r="D54" s="46"/>
      <c r="E54" s="46"/>
      <c r="F54" s="46"/>
      <c r="G54" s="46"/>
      <c r="H54" s="46"/>
      <c r="I54" s="19"/>
    </row>
    <row r="55" spans="1:9">
      <c r="A55" s="19"/>
      <c r="B55" s="19"/>
      <c r="C55" s="46"/>
      <c r="D55" s="46"/>
      <c r="E55" s="46"/>
      <c r="F55" s="46"/>
      <c r="G55" s="46"/>
      <c r="H55" s="46"/>
      <c r="I55" s="19"/>
    </row>
    <row r="56" spans="1:9">
      <c r="A56" s="19" t="s">
        <v>97</v>
      </c>
      <c r="B56" s="19"/>
      <c r="C56" s="46"/>
      <c r="D56" s="46"/>
      <c r="E56" s="46"/>
      <c r="F56" s="46"/>
      <c r="G56" s="46"/>
      <c r="H56" s="46"/>
      <c r="I56" s="19"/>
    </row>
    <row r="57" spans="1:9">
      <c r="A57" s="19"/>
      <c r="B57" s="19"/>
      <c r="C57" s="46"/>
      <c r="D57" s="46"/>
      <c r="E57" s="46"/>
      <c r="F57" s="46"/>
      <c r="G57" s="46"/>
      <c r="H57" s="46"/>
      <c r="I57" s="19"/>
    </row>
    <row r="58" spans="1:9">
      <c r="A58" s="19" t="s">
        <v>81</v>
      </c>
      <c r="B58" s="19"/>
      <c r="C58" s="47">
        <f>'[1]FS Historical'!G170</f>
        <v>200.06299999999999</v>
      </c>
      <c r="D58" s="47">
        <v>211</v>
      </c>
      <c r="E58" s="47">
        <v>200</v>
      </c>
      <c r="F58" s="47">
        <v>196</v>
      </c>
      <c r="G58" s="47">
        <v>196</v>
      </c>
      <c r="H58" s="47">
        <v>193</v>
      </c>
      <c r="I58" s="98"/>
    </row>
    <row r="59" spans="1:9" ht="6" customHeight="1">
      <c r="A59" s="19"/>
      <c r="B59" s="19"/>
      <c r="C59" s="19"/>
      <c r="D59" s="19"/>
      <c r="E59" s="19"/>
      <c r="F59" s="19"/>
      <c r="G59" s="19"/>
      <c r="H59" s="19"/>
      <c r="I59" s="19"/>
    </row>
    <row r="60" spans="1:9">
      <c r="H60" s="109"/>
    </row>
  </sheetData>
  <pageMargins left="0.7" right="0.7" top="0.75" bottom="0.75" header="0.3" footer="0.3"/>
  <pageSetup scale="75" fitToWidth="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209E9-777B-4827-AB80-C5C64434206C}">
  <dimension ref="B1:W87"/>
  <sheetViews>
    <sheetView topLeftCell="A60" zoomScale="64" zoomScaleNormal="91" workbookViewId="0">
      <selection activeCell="J84" sqref="J84"/>
    </sheetView>
  </sheetViews>
  <sheetFormatPr defaultRowHeight="12.5"/>
  <cols>
    <col min="2" max="2" width="31.1796875" bestFit="1" customWidth="1"/>
    <col min="3" max="3" width="33.54296875" bestFit="1" customWidth="1"/>
    <col min="4" max="4" width="17.1796875" customWidth="1"/>
    <col min="5" max="5" width="22.1796875" customWidth="1"/>
    <col min="6" max="6" width="15.26953125" customWidth="1"/>
    <col min="7" max="7" width="15.453125" customWidth="1"/>
    <col min="8" max="8" width="14.7265625" customWidth="1"/>
    <col min="9" max="9" width="16.54296875" customWidth="1"/>
    <col min="10" max="10" width="23.90625" customWidth="1"/>
    <col min="11" max="11" width="12.81640625" customWidth="1"/>
    <col min="14" max="14" width="13.7265625" customWidth="1"/>
    <col min="15" max="15" width="27.453125" customWidth="1"/>
    <col min="16" max="16" width="9.1796875" customWidth="1"/>
    <col min="17" max="17" width="15.54296875" customWidth="1"/>
    <col min="18" max="18" width="12.1796875" customWidth="1"/>
    <col min="19" max="19" width="13.453125" customWidth="1"/>
    <col min="20" max="20" width="13.81640625" customWidth="1"/>
    <col min="21" max="21" width="11.7265625" customWidth="1"/>
    <col min="22" max="22" width="16" customWidth="1"/>
  </cols>
  <sheetData>
    <row r="1" spans="3:14" ht="13" thickBot="1"/>
    <row r="2" spans="3:14" ht="16" thickBot="1">
      <c r="I2" s="183" t="s">
        <v>193</v>
      </c>
      <c r="J2" s="184"/>
    </row>
    <row r="3" spans="3:14" ht="13" thickBot="1"/>
    <row r="4" spans="3:14" ht="16" thickBot="1">
      <c r="C4" s="183" t="s">
        <v>192</v>
      </c>
      <c r="D4" s="184"/>
      <c r="G4" t="s">
        <v>99</v>
      </c>
      <c r="I4" s="180" t="s">
        <v>154</v>
      </c>
      <c r="J4" s="180" t="s">
        <v>155</v>
      </c>
      <c r="K4" s="180" t="s">
        <v>156</v>
      </c>
      <c r="L4" s="180" t="s">
        <v>157</v>
      </c>
      <c r="M4" s="180" t="s">
        <v>158</v>
      </c>
      <c r="N4" s="181" t="s">
        <v>159</v>
      </c>
    </row>
    <row r="5" spans="3:14" ht="13" thickBot="1">
      <c r="C5" t="s">
        <v>99</v>
      </c>
      <c r="I5" s="21"/>
      <c r="J5" s="21"/>
      <c r="K5" s="21"/>
      <c r="L5" s="21"/>
      <c r="M5" s="21"/>
      <c r="N5" s="99"/>
    </row>
    <row r="6" spans="3:14" ht="39.5" thickBot="1">
      <c r="G6" s="91" t="s">
        <v>100</v>
      </c>
      <c r="H6" s="110" t="s">
        <v>160</v>
      </c>
      <c r="I6" s="111" t="s">
        <v>173</v>
      </c>
      <c r="J6" s="111" t="s">
        <v>172</v>
      </c>
      <c r="K6" s="111" t="s">
        <v>161</v>
      </c>
      <c r="L6" s="112" t="s">
        <v>162</v>
      </c>
      <c r="M6" s="113" t="s">
        <v>163</v>
      </c>
      <c r="N6" s="114" t="s">
        <v>164</v>
      </c>
    </row>
    <row r="7" spans="3:14" ht="16" thickBot="1">
      <c r="C7" s="173" t="s">
        <v>100</v>
      </c>
      <c r="D7" s="173" t="s">
        <v>110</v>
      </c>
      <c r="G7" s="48" t="s">
        <v>98</v>
      </c>
      <c r="H7" s="100"/>
      <c r="I7" s="101">
        <v>205</v>
      </c>
      <c r="J7" s="102">
        <f>K7/I7*1000</f>
        <v>22968.731707317071</v>
      </c>
      <c r="K7" s="103">
        <f>4708.59</f>
        <v>4708.59</v>
      </c>
      <c r="L7" s="104">
        <v>410</v>
      </c>
      <c r="M7" s="105">
        <f>'FS Historical'!G12</f>
        <v>105.529</v>
      </c>
      <c r="N7" s="117">
        <f>+K7+L7-M7</f>
        <v>5013.0609999999997</v>
      </c>
    </row>
    <row r="8" spans="3:14" ht="18" customHeight="1">
      <c r="C8" s="169" t="s">
        <v>101</v>
      </c>
      <c r="D8" s="170">
        <v>25.9</v>
      </c>
    </row>
    <row r="9" spans="3:14" ht="18.75" customHeight="1" thickBot="1">
      <c r="C9" s="169" t="s">
        <v>102</v>
      </c>
      <c r="D9" s="170">
        <v>14.8</v>
      </c>
    </row>
    <row r="10" spans="3:14" ht="21.75" customHeight="1" thickBot="1">
      <c r="C10" s="169" t="s">
        <v>103</v>
      </c>
      <c r="D10" s="170">
        <v>24.7</v>
      </c>
      <c r="G10" s="92" t="s">
        <v>165</v>
      </c>
      <c r="H10" s="116">
        <f>+N7</f>
        <v>5013.0609999999997</v>
      </c>
    </row>
    <row r="11" spans="3:14" ht="22.5" customHeight="1">
      <c r="C11" s="169" t="s">
        <v>104</v>
      </c>
      <c r="D11" s="170">
        <v>7.7</v>
      </c>
      <c r="N11" s="49"/>
    </row>
    <row r="12" spans="3:14" ht="18.75" customHeight="1">
      <c r="C12" s="169" t="s">
        <v>105</v>
      </c>
      <c r="D12" s="170">
        <v>16</v>
      </c>
    </row>
    <row r="13" spans="3:14" ht="24" customHeight="1">
      <c r="C13" s="169" t="s">
        <v>106</v>
      </c>
      <c r="D13" s="170">
        <v>10.199999999999999</v>
      </c>
      <c r="K13" t="s">
        <v>109</v>
      </c>
    </row>
    <row r="14" spans="3:14" ht="24.75" customHeight="1">
      <c r="C14" s="169" t="s">
        <v>107</v>
      </c>
      <c r="D14" s="170">
        <v>26.5</v>
      </c>
      <c r="J14" t="s">
        <v>109</v>
      </c>
    </row>
    <row r="15" spans="3:14" ht="21" customHeight="1">
      <c r="C15" s="169" t="s">
        <v>108</v>
      </c>
      <c r="D15" s="170">
        <v>8.5</v>
      </c>
    </row>
    <row r="16" spans="3:14" ht="14.5" thickBot="1">
      <c r="C16" s="171"/>
      <c r="D16" s="171"/>
    </row>
    <row r="17" spans="3:23" ht="14.5" thickBot="1">
      <c r="C17" s="92" t="s">
        <v>111</v>
      </c>
      <c r="D17" s="172">
        <f>AVERAGE(D8:D15)</f>
        <v>16.787500000000001</v>
      </c>
    </row>
    <row r="18" spans="3:23" ht="16" thickBot="1">
      <c r="R18" s="160" t="s">
        <v>174</v>
      </c>
      <c r="S18" s="158"/>
      <c r="T18" s="159"/>
    </row>
    <row r="19" spans="3:23">
      <c r="L19" t="s">
        <v>109</v>
      </c>
    </row>
    <row r="21" spans="3:23" ht="13" thickBot="1">
      <c r="D21" s="50"/>
    </row>
    <row r="22" spans="3:23" ht="14">
      <c r="D22" s="50"/>
      <c r="O22" s="174" t="s">
        <v>175</v>
      </c>
      <c r="P22" s="177">
        <v>6</v>
      </c>
    </row>
    <row r="23" spans="3:23" ht="14.5" thickBot="1">
      <c r="D23" s="50"/>
      <c r="O23" s="175" t="s">
        <v>176</v>
      </c>
      <c r="P23" s="178">
        <v>3.8</v>
      </c>
    </row>
    <row r="24" spans="3:23" ht="18" thickBot="1">
      <c r="C24" s="186" t="s">
        <v>121</v>
      </c>
      <c r="D24" s="187"/>
      <c r="M24" t="s">
        <v>109</v>
      </c>
      <c r="O24" s="176" t="s">
        <v>177</v>
      </c>
      <c r="P24" s="179">
        <v>3</v>
      </c>
    </row>
    <row r="25" spans="3:23" ht="17.5">
      <c r="C25" s="161" t="s">
        <v>191</v>
      </c>
      <c r="D25" s="162">
        <f>5.1%</f>
        <v>5.0999999999999997E-2</v>
      </c>
    </row>
    <row r="26" spans="3:23" ht="17.5">
      <c r="C26" s="163"/>
      <c r="D26" s="164"/>
      <c r="F26" s="50"/>
      <c r="G26" s="50"/>
      <c r="M26" t="s">
        <v>109</v>
      </c>
    </row>
    <row r="27" spans="3:23" ht="17.5">
      <c r="C27" s="163" t="s">
        <v>114</v>
      </c>
      <c r="D27" s="165">
        <v>2.4E-2</v>
      </c>
      <c r="F27" s="50"/>
      <c r="G27" s="52"/>
      <c r="O27" s="119"/>
      <c r="P27" s="144" t="s">
        <v>83</v>
      </c>
      <c r="Q27" s="144" t="s">
        <v>84</v>
      </c>
      <c r="R27" s="144" t="s">
        <v>85</v>
      </c>
      <c r="S27" s="144" t="s">
        <v>85</v>
      </c>
      <c r="T27" s="144" t="s">
        <v>85</v>
      </c>
      <c r="U27" s="144" t="s">
        <v>85</v>
      </c>
      <c r="V27" s="145"/>
    </row>
    <row r="28" spans="3:23" ht="17.5">
      <c r="C28" s="163" t="s">
        <v>112</v>
      </c>
      <c r="D28" s="165">
        <v>4.2900000000000001E-2</v>
      </c>
      <c r="F28" s="53"/>
      <c r="G28" s="50"/>
      <c r="N28" t="s">
        <v>109</v>
      </c>
      <c r="O28" s="119"/>
      <c r="P28" s="146">
        <v>2016</v>
      </c>
      <c r="Q28" s="146">
        <v>2017</v>
      </c>
      <c r="R28" s="146">
        <v>2018</v>
      </c>
      <c r="S28" s="146">
        <v>2019</v>
      </c>
      <c r="T28" s="146">
        <v>2020</v>
      </c>
      <c r="U28" s="146">
        <v>2021</v>
      </c>
      <c r="V28" s="146">
        <v>2022</v>
      </c>
    </row>
    <row r="29" spans="3:23" ht="18" thickBot="1">
      <c r="C29" s="163" t="s">
        <v>115</v>
      </c>
      <c r="D29" s="166">
        <v>0.63</v>
      </c>
      <c r="F29" s="50"/>
      <c r="P29" s="22"/>
      <c r="Q29" s="122"/>
      <c r="R29" s="122"/>
      <c r="S29" s="122"/>
      <c r="T29" s="122"/>
      <c r="U29" s="122"/>
    </row>
    <row r="30" spans="3:23" ht="17.5">
      <c r="C30" s="163" t="s">
        <v>113</v>
      </c>
      <c r="D30" s="165">
        <v>0.36</v>
      </c>
      <c r="F30" s="50"/>
      <c r="O30" s="148" t="s">
        <v>58</v>
      </c>
      <c r="P30" s="150"/>
      <c r="Q30" s="151">
        <v>2846.1</v>
      </c>
      <c r="R30" s="151">
        <v>3083.1</v>
      </c>
      <c r="S30" s="151">
        <v>3374.4</v>
      </c>
      <c r="T30" s="151">
        <v>3886.9</v>
      </c>
      <c r="U30" s="151">
        <v>4220</v>
      </c>
      <c r="V30" s="151">
        <f>J46/1000</f>
        <v>4309.4640000000018</v>
      </c>
    </row>
    <row r="31" spans="3:23" ht="18.5" thickBot="1">
      <c r="C31" s="167"/>
      <c r="D31" s="168"/>
      <c r="F31" s="50"/>
      <c r="O31" s="149"/>
      <c r="P31" s="152"/>
      <c r="Q31" s="153"/>
      <c r="R31" s="153"/>
      <c r="S31" s="153"/>
      <c r="T31" s="153"/>
      <c r="U31" s="153"/>
      <c r="V31" s="142"/>
    </row>
    <row r="32" spans="3:23" ht="13">
      <c r="F32" s="50"/>
      <c r="O32" s="149"/>
      <c r="P32" s="154"/>
      <c r="Q32" s="89"/>
      <c r="R32" s="89"/>
      <c r="S32" s="89"/>
      <c r="T32" s="89"/>
      <c r="U32" s="89"/>
      <c r="V32" s="89"/>
      <c r="W32" s="24"/>
    </row>
    <row r="33" spans="2:22" ht="13">
      <c r="F33" s="56"/>
      <c r="O33" s="149" t="s">
        <v>178</v>
      </c>
      <c r="P33" s="135"/>
      <c r="Q33" s="142">
        <f t="shared" ref="Q33:V33" si="0">Q30*$P$22/365</f>
        <v>46.785205479452053</v>
      </c>
      <c r="R33" s="142">
        <f t="shared" si="0"/>
        <v>50.681095890410958</v>
      </c>
      <c r="S33" s="142">
        <f t="shared" si="0"/>
        <v>55.469589041095894</v>
      </c>
      <c r="T33" s="142">
        <f t="shared" si="0"/>
        <v>63.894246575342471</v>
      </c>
      <c r="U33" s="142">
        <f t="shared" si="0"/>
        <v>69.369863013698634</v>
      </c>
      <c r="V33" s="142">
        <f t="shared" si="0"/>
        <v>70.840504109589077</v>
      </c>
    </row>
    <row r="34" spans="2:22" ht="13">
      <c r="O34" s="149" t="s">
        <v>179</v>
      </c>
      <c r="P34" s="135">
        <f>'FS Historical'!G13</f>
        <v>53.518999999999998</v>
      </c>
      <c r="Q34" s="142">
        <f t="shared" ref="Q34:V34" si="1">Q33*2-P34</f>
        <v>40.051410958904107</v>
      </c>
      <c r="R34" s="142">
        <f t="shared" si="1"/>
        <v>61.31078082191781</v>
      </c>
      <c r="S34" s="142">
        <f t="shared" si="1"/>
        <v>49.628397260273978</v>
      </c>
      <c r="T34" s="142">
        <f t="shared" si="1"/>
        <v>78.160095890410958</v>
      </c>
      <c r="U34" s="142">
        <f t="shared" si="1"/>
        <v>60.57963013698631</v>
      </c>
      <c r="V34" s="142">
        <f t="shared" si="1"/>
        <v>81.101378082191843</v>
      </c>
    </row>
    <row r="35" spans="2:22" ht="15.5">
      <c r="C35" s="123"/>
      <c r="D35" s="123"/>
      <c r="F35" s="123"/>
      <c r="G35" s="123"/>
      <c r="H35" s="123"/>
      <c r="I35" s="123"/>
      <c r="J35" s="123"/>
      <c r="K35" s="123"/>
      <c r="L35" s="123"/>
      <c r="M35" s="123"/>
      <c r="N35" s="123"/>
      <c r="O35" s="149"/>
      <c r="P35" s="135"/>
      <c r="Q35" s="142"/>
      <c r="R35" s="142"/>
      <c r="S35" s="142"/>
      <c r="T35" s="142" t="s">
        <v>109</v>
      </c>
      <c r="U35" s="142"/>
      <c r="V35" s="142"/>
    </row>
    <row r="36" spans="2:22" ht="15.5">
      <c r="C36" s="123"/>
      <c r="D36" s="123"/>
      <c r="E36" s="124"/>
      <c r="F36" s="124"/>
      <c r="G36" s="124"/>
      <c r="H36" s="124"/>
      <c r="I36" s="124"/>
      <c r="J36" s="124"/>
      <c r="K36" s="124"/>
      <c r="L36" s="124"/>
      <c r="M36" s="124"/>
      <c r="N36" s="185"/>
      <c r="O36" s="149" t="s">
        <v>180</v>
      </c>
      <c r="P36" s="135"/>
      <c r="Q36" s="142">
        <f t="shared" ref="Q36:V36" si="2">(D49/1000)*$P$23/365</f>
        <v>22.96032876712329</v>
      </c>
      <c r="R36" s="142">
        <f t="shared" si="2"/>
        <v>23.111891506849311</v>
      </c>
      <c r="S36" s="142">
        <f t="shared" si="2"/>
        <v>25.036461369863012</v>
      </c>
      <c r="T36" s="142">
        <f t="shared" si="2"/>
        <v>27.401976986301371</v>
      </c>
      <c r="U36" s="142">
        <f t="shared" si="2"/>
        <v>31.563757808219179</v>
      </c>
      <c r="V36" s="142">
        <f t="shared" si="2"/>
        <v>34.268712328767123</v>
      </c>
    </row>
    <row r="37" spans="2:22" ht="15.5">
      <c r="C37" s="123"/>
      <c r="D37" s="123"/>
      <c r="E37" s="124"/>
      <c r="F37" s="124"/>
      <c r="G37" s="124"/>
      <c r="H37" s="124"/>
      <c r="I37" s="124"/>
      <c r="J37" s="124"/>
      <c r="K37" s="124"/>
      <c r="L37" s="124"/>
      <c r="M37" s="124"/>
      <c r="N37" s="185"/>
      <c r="O37" s="149" t="s">
        <v>181</v>
      </c>
      <c r="P37" s="135">
        <f>'FS Historical'!G16</f>
        <v>23.774999999999999</v>
      </c>
      <c r="Q37" s="142">
        <f t="shared" ref="Q37:V37" si="3">Q36*2-P37</f>
        <v>22.145657534246581</v>
      </c>
      <c r="R37" s="142">
        <f t="shared" si="3"/>
        <v>24.078125479452041</v>
      </c>
      <c r="S37" s="142">
        <f t="shared" si="3"/>
        <v>25.994797260273984</v>
      </c>
      <c r="T37" s="142">
        <f t="shared" si="3"/>
        <v>28.809156712328758</v>
      </c>
      <c r="U37" s="142">
        <f t="shared" si="3"/>
        <v>34.318358904109601</v>
      </c>
      <c r="V37" s="142">
        <f t="shared" si="3"/>
        <v>34.219065753424644</v>
      </c>
    </row>
    <row r="38" spans="2:22" ht="15.5">
      <c r="C38" s="125"/>
      <c r="D38" s="125"/>
      <c r="E38" s="126"/>
      <c r="F38" s="127"/>
      <c r="G38" s="128"/>
      <c r="H38" s="128"/>
      <c r="I38" s="127"/>
      <c r="J38" s="128"/>
      <c r="K38" s="127"/>
      <c r="L38" s="128"/>
      <c r="M38" s="129"/>
      <c r="N38" s="129"/>
      <c r="O38" s="149"/>
      <c r="P38" s="135"/>
      <c r="Q38" s="142" t="s">
        <v>109</v>
      </c>
      <c r="R38" s="142"/>
      <c r="S38" s="142" t="s">
        <v>109</v>
      </c>
      <c r="T38" s="142"/>
      <c r="U38" s="142"/>
      <c r="V38" s="142"/>
    </row>
    <row r="39" spans="2:22" ht="16" thickBot="1">
      <c r="C39" s="55"/>
      <c r="D39" s="55"/>
      <c r="E39" s="55"/>
      <c r="F39" s="51"/>
      <c r="G39" s="55"/>
      <c r="H39" s="55"/>
      <c r="I39" s="55"/>
      <c r="J39" s="55"/>
      <c r="K39" s="55"/>
      <c r="L39" s="55"/>
      <c r="M39" s="55"/>
      <c r="N39" s="55"/>
      <c r="O39" s="149" t="s">
        <v>182</v>
      </c>
      <c r="P39" s="135"/>
      <c r="Q39" s="142">
        <f t="shared" ref="Q39:V39" si="4">(D49/1000)*$P$24/365</f>
        <v>18.126575342465756</v>
      </c>
      <c r="R39" s="142">
        <f t="shared" si="4"/>
        <v>18.246230136986302</v>
      </c>
      <c r="S39" s="142">
        <f t="shared" si="4"/>
        <v>19.765627397260275</v>
      </c>
      <c r="T39" s="142">
        <f t="shared" si="4"/>
        <v>21.633139726027398</v>
      </c>
      <c r="U39" s="142">
        <f t="shared" si="4"/>
        <v>24.918756164383566</v>
      </c>
      <c r="V39" s="142">
        <f t="shared" si="4"/>
        <v>27.054246575342464</v>
      </c>
    </row>
    <row r="40" spans="2:22" ht="16" thickBot="1">
      <c r="C40" s="54"/>
      <c r="D40" s="183" t="s">
        <v>194</v>
      </c>
      <c r="E40" s="184"/>
      <c r="F40" s="54"/>
      <c r="G40" s="54"/>
      <c r="H40" s="54"/>
      <c r="I40" s="54"/>
      <c r="J40" s="54"/>
      <c r="K40" s="54"/>
      <c r="L40" s="54"/>
      <c r="M40" s="54"/>
      <c r="N40" s="54"/>
      <c r="O40" s="149" t="s">
        <v>183</v>
      </c>
      <c r="P40" s="135">
        <f>'FS Historical'!G53</f>
        <v>22.454999999999998</v>
      </c>
      <c r="Q40" s="142">
        <f t="shared" ref="Q40:V40" si="5">Q39*2-P40</f>
        <v>13.798150684931514</v>
      </c>
      <c r="R40" s="142">
        <f t="shared" si="5"/>
        <v>22.69430958904109</v>
      </c>
      <c r="S40" s="142">
        <f t="shared" si="5"/>
        <v>16.836945205479459</v>
      </c>
      <c r="T40" s="142">
        <f t="shared" si="5"/>
        <v>26.429334246575337</v>
      </c>
      <c r="U40" s="142">
        <f t="shared" si="5"/>
        <v>23.408178082191796</v>
      </c>
      <c r="V40" s="142">
        <f t="shared" si="5"/>
        <v>30.700315068493133</v>
      </c>
    </row>
    <row r="41" spans="2:22" ht="13">
      <c r="D41" s="130"/>
      <c r="E41" s="130"/>
      <c r="F41" s="130"/>
      <c r="G41" s="130"/>
      <c r="H41" s="130"/>
      <c r="I41" s="130"/>
      <c r="J41" s="130"/>
      <c r="O41" s="149"/>
      <c r="P41" s="135" t="s">
        <v>109</v>
      </c>
      <c r="Q41" s="142"/>
      <c r="R41" s="142"/>
      <c r="S41" s="142"/>
      <c r="T41" s="142"/>
      <c r="U41" s="142"/>
      <c r="V41" s="142"/>
    </row>
    <row r="42" spans="2:22" ht="13.5" thickBot="1">
      <c r="D42" s="130"/>
      <c r="E42" s="130">
        <v>1000</v>
      </c>
      <c r="F42" s="130"/>
      <c r="G42" s="130"/>
      <c r="H42" s="130"/>
      <c r="I42" s="130"/>
      <c r="J42" s="130">
        <v>1000</v>
      </c>
      <c r="O42" s="149"/>
      <c r="P42" s="135"/>
      <c r="Q42" s="142"/>
      <c r="R42" s="142"/>
      <c r="S42" s="142"/>
      <c r="T42" s="142"/>
      <c r="U42" s="142"/>
      <c r="V42" s="142"/>
    </row>
    <row r="43" spans="2:22" ht="20.5" thickBot="1">
      <c r="B43" s="57"/>
      <c r="D43" s="58" t="s">
        <v>116</v>
      </c>
      <c r="E43" s="59">
        <v>1</v>
      </c>
      <c r="F43" s="59">
        <v>2</v>
      </c>
      <c r="G43" s="59">
        <v>3</v>
      </c>
      <c r="H43" s="59">
        <v>4</v>
      </c>
      <c r="I43" s="59">
        <v>5</v>
      </c>
      <c r="O43" s="147" t="s">
        <v>190</v>
      </c>
      <c r="P43" s="155">
        <f>P34+P37-P40</f>
        <v>54.838999999999999</v>
      </c>
      <c r="Q43" s="156">
        <f t="shared" ref="Q43:V43" si="6">Q34+Q37-Q40</f>
        <v>48.398917808219174</v>
      </c>
      <c r="R43" s="156">
        <f t="shared" si="6"/>
        <v>62.694596712328753</v>
      </c>
      <c r="S43" s="156">
        <f t="shared" si="6"/>
        <v>58.78624931506851</v>
      </c>
      <c r="T43" s="156">
        <f t="shared" si="6"/>
        <v>80.539918356164378</v>
      </c>
      <c r="U43" s="156">
        <f t="shared" si="6"/>
        <v>71.489810958904116</v>
      </c>
      <c r="V43" s="156">
        <f t="shared" si="6"/>
        <v>84.620128767123362</v>
      </c>
    </row>
    <row r="44" spans="2:22" ht="13.5" thickBot="1">
      <c r="B44" t="s">
        <v>117</v>
      </c>
      <c r="C44" s="93" t="s">
        <v>118</v>
      </c>
      <c r="D44" s="133" t="s">
        <v>119</v>
      </c>
      <c r="I44" s="133" t="s">
        <v>120</v>
      </c>
    </row>
    <row r="45" spans="2:22" ht="13.5" thickBot="1">
      <c r="C45" s="94" t="s">
        <v>121</v>
      </c>
      <c r="D45" s="137">
        <f>Projections!C6</f>
        <v>2016</v>
      </c>
      <c r="E45" s="134">
        <f>Projections!D6</f>
        <v>2017</v>
      </c>
      <c r="F45" s="134">
        <f>Projections!E6</f>
        <v>2018</v>
      </c>
      <c r="G45" s="134">
        <f>Projections!F6</f>
        <v>2019</v>
      </c>
      <c r="H45" s="134">
        <f>Projections!G6</f>
        <v>2020</v>
      </c>
      <c r="I45" s="134">
        <f>Projections!H6</f>
        <v>2021</v>
      </c>
      <c r="J45" s="134">
        <v>2022</v>
      </c>
    </row>
    <row r="46" spans="2:22">
      <c r="B46" t="s">
        <v>122</v>
      </c>
      <c r="C46" s="52"/>
      <c r="D46" s="139">
        <f>Projections!C10*1000</f>
        <v>2795365</v>
      </c>
      <c r="E46" s="138">
        <f t="shared" ref="E46:J46" si="7">+D46*(1+E47)</f>
        <v>2846100</v>
      </c>
      <c r="F46" s="138">
        <f t="shared" si="7"/>
        <v>3083100</v>
      </c>
      <c r="G46" s="138">
        <f t="shared" si="7"/>
        <v>3374400.0000000005</v>
      </c>
      <c r="H46" s="138">
        <f t="shared" si="7"/>
        <v>3886900.0000000009</v>
      </c>
      <c r="I46" s="138">
        <f t="shared" si="7"/>
        <v>4220000.0000000009</v>
      </c>
      <c r="J46" s="138">
        <f t="shared" si="7"/>
        <v>4309464.0000000019</v>
      </c>
    </row>
    <row r="47" spans="2:22">
      <c r="B47" t="s">
        <v>123</v>
      </c>
      <c r="C47" s="62"/>
      <c r="D47" s="106"/>
      <c r="E47" s="63">
        <f>Projections!D11</f>
        <v>1.8149687071276954E-2</v>
      </c>
      <c r="F47" s="63">
        <f>Projections!E11</f>
        <v>8.3271845683567047E-2</v>
      </c>
      <c r="G47" s="63">
        <f>Projections!F11</f>
        <v>9.4482825727352449E-2</v>
      </c>
      <c r="H47" s="63">
        <f>Projections!G11</f>
        <v>0.15187885253674738</v>
      </c>
      <c r="I47" s="63">
        <f>Projections!H11</f>
        <v>8.5698114178394125E-2</v>
      </c>
      <c r="J47" s="63">
        <v>2.12E-2</v>
      </c>
    </row>
    <row r="48" spans="2:22">
      <c r="C48" s="62"/>
      <c r="D48" s="106"/>
      <c r="E48" s="63"/>
      <c r="F48" s="63"/>
      <c r="G48" s="63"/>
      <c r="H48" s="63"/>
      <c r="I48" s="63"/>
      <c r="J48" s="66"/>
      <c r="K48" t="s">
        <v>109</v>
      </c>
    </row>
    <row r="49" spans="2:15">
      <c r="B49" t="s">
        <v>124</v>
      </c>
      <c r="C49" s="64">
        <f>Projections!D14</f>
        <v>0.78</v>
      </c>
      <c r="D49" s="106">
        <f>(Projections!C13)*1000</f>
        <v>2205400</v>
      </c>
      <c r="E49" s="106">
        <f>(Projections!D13)*1000</f>
        <v>2219958</v>
      </c>
      <c r="F49" s="106">
        <f>(Projections!E13)*1000</f>
        <v>2404818</v>
      </c>
      <c r="G49" s="106">
        <f>(Projections!F13)*1000</f>
        <v>2632032</v>
      </c>
      <c r="H49" s="106">
        <f>(Projections!G13)*1000</f>
        <v>3031782</v>
      </c>
      <c r="I49" s="106">
        <f>(Projections!H13)*1000</f>
        <v>3291600</v>
      </c>
      <c r="J49" s="106">
        <f>(J46*C49)</f>
        <v>3361381.9200000018</v>
      </c>
    </row>
    <row r="50" spans="2:15">
      <c r="C50" s="64"/>
      <c r="D50" s="106"/>
      <c r="E50" s="141"/>
      <c r="F50" s="141"/>
      <c r="G50" s="141"/>
      <c r="H50" s="141"/>
      <c r="I50" s="141"/>
      <c r="J50" s="141"/>
      <c r="K50" s="64"/>
      <c r="M50" t="s">
        <v>109</v>
      </c>
    </row>
    <row r="51" spans="2:15">
      <c r="B51" t="s">
        <v>89</v>
      </c>
      <c r="C51" s="64"/>
      <c r="D51" s="107">
        <f>(Projections!C31)*1000</f>
        <v>350202</v>
      </c>
      <c r="E51" s="107">
        <f>(Projections!D31)*1000</f>
        <v>351000</v>
      </c>
      <c r="F51" s="107">
        <f>(Projections!E31)*1000</f>
        <v>354920</v>
      </c>
      <c r="G51" s="107">
        <f>(Projections!F31)*1000</f>
        <v>358918.40000000002</v>
      </c>
      <c r="H51" s="107">
        <f>(Projections!G31)*1000</f>
        <v>362996.76800000004</v>
      </c>
      <c r="I51" s="107">
        <f>(Projections!H31)*1000</f>
        <v>367156.70336000004</v>
      </c>
      <c r="J51" s="107">
        <f>(J46*8.7%)</f>
        <v>374923.36800000013</v>
      </c>
      <c r="K51" t="s">
        <v>109</v>
      </c>
    </row>
    <row r="52" spans="2:15" ht="13">
      <c r="B52" t="s">
        <v>125</v>
      </c>
      <c r="D52" s="140">
        <f t="shared" ref="D52:I52" si="8">+D46-D49-D51</f>
        <v>239763</v>
      </c>
      <c r="E52" s="96">
        <f t="shared" si="8"/>
        <v>275142</v>
      </c>
      <c r="F52" s="96">
        <f t="shared" si="8"/>
        <v>323362</v>
      </c>
      <c r="G52" s="96">
        <f t="shared" si="8"/>
        <v>383449.60000000044</v>
      </c>
      <c r="H52" s="96">
        <f t="shared" si="8"/>
        <v>492121.23200000089</v>
      </c>
      <c r="I52" s="96">
        <f t="shared" si="8"/>
        <v>561243.29664000089</v>
      </c>
      <c r="J52" s="96">
        <f>J46-J49-J51</f>
        <v>573158.71199999994</v>
      </c>
    </row>
    <row r="53" spans="2:15">
      <c r="B53" t="s">
        <v>126</v>
      </c>
      <c r="C53" s="64">
        <v>0.36</v>
      </c>
      <c r="D53" s="89">
        <f>D52*36.7%</f>
        <v>87993.021000000008</v>
      </c>
      <c r="E53" s="89">
        <f t="shared" ref="E53:J53" si="9">E52*$C$53</f>
        <v>99051.12</v>
      </c>
      <c r="F53" s="89">
        <f t="shared" si="9"/>
        <v>116410.31999999999</v>
      </c>
      <c r="G53" s="89">
        <f t="shared" si="9"/>
        <v>138041.85600000015</v>
      </c>
      <c r="H53" s="89">
        <f t="shared" si="9"/>
        <v>177163.6435200003</v>
      </c>
      <c r="I53" s="89">
        <f t="shared" si="9"/>
        <v>202047.58679040032</v>
      </c>
      <c r="J53" s="89">
        <f t="shared" si="9"/>
        <v>206337.13631999996</v>
      </c>
      <c r="K53" t="s">
        <v>109</v>
      </c>
    </row>
    <row r="54" spans="2:15">
      <c r="B54" t="s">
        <v>127</v>
      </c>
      <c r="C54" s="62"/>
      <c r="D54" s="106">
        <v>154000</v>
      </c>
      <c r="E54" s="142">
        <f>(Projections!E29)*1000</f>
        <v>155000</v>
      </c>
      <c r="F54" s="142">
        <f>(Projections!F29)*1000</f>
        <v>155000</v>
      </c>
      <c r="G54" s="142">
        <f>(Projections!G29)*1000</f>
        <v>155000</v>
      </c>
      <c r="H54" s="142">
        <f>(Projections!H29)*1000</f>
        <v>155000</v>
      </c>
      <c r="I54" s="142">
        <v>155000</v>
      </c>
      <c r="J54" s="142">
        <v>155000</v>
      </c>
      <c r="K54" t="s">
        <v>109</v>
      </c>
    </row>
    <row r="55" spans="2:15">
      <c r="B55" t="s">
        <v>128</v>
      </c>
      <c r="C55" s="62"/>
      <c r="D55" s="106">
        <f>(Projections!C58)*1000</f>
        <v>200063</v>
      </c>
      <c r="E55" s="142">
        <f>(Projections!D58)*1000</f>
        <v>211000</v>
      </c>
      <c r="F55" s="142">
        <f>(Projections!E58)*1000</f>
        <v>200000</v>
      </c>
      <c r="G55" s="142">
        <f>(Projections!F58)*1000</f>
        <v>196000</v>
      </c>
      <c r="H55" s="142">
        <f>(Projections!G58)*1000</f>
        <v>196000</v>
      </c>
      <c r="I55" s="142">
        <f>(Projections!H58)*1000</f>
        <v>193000</v>
      </c>
      <c r="J55" s="142">
        <f>(J46*4.6%)</f>
        <v>198235.34400000007</v>
      </c>
      <c r="K55" t="s">
        <v>109</v>
      </c>
    </row>
    <row r="56" spans="2:15">
      <c r="B56" t="s">
        <v>79</v>
      </c>
      <c r="C56" s="62"/>
      <c r="D56" s="107"/>
      <c r="E56" s="143">
        <f t="shared" ref="E56:J56" si="10">-(P43-Q43)*1000</f>
        <v>-6440.0821917808244</v>
      </c>
      <c r="F56" s="143">
        <f t="shared" si="10"/>
        <v>14295.678904109578</v>
      </c>
      <c r="G56" s="143">
        <f t="shared" si="10"/>
        <v>-3908.3473972602433</v>
      </c>
      <c r="H56" s="143">
        <f t="shared" si="10"/>
        <v>21753.669041095869</v>
      </c>
      <c r="I56" s="143">
        <f t="shared" si="10"/>
        <v>-9050.1073972602626</v>
      </c>
      <c r="J56" s="143">
        <f t="shared" si="10"/>
        <v>13130.317808219246</v>
      </c>
    </row>
    <row r="57" spans="2:15" ht="13.5" thickBot="1">
      <c r="B57" t="s">
        <v>129</v>
      </c>
      <c r="D57" s="136">
        <f>D52-D53+D54-D55+D56</f>
        <v>105706.97899999999</v>
      </c>
      <c r="E57" s="136">
        <f>E52-E53+E54-E55-E56</f>
        <v>126530.96219178083</v>
      </c>
      <c r="F57" s="136">
        <f>F52-F53+F54-F55+F56</f>
        <v>176247.35890410957</v>
      </c>
      <c r="G57" s="136">
        <f>G52-G53+G54-G55-G56</f>
        <v>208316.09139726055</v>
      </c>
      <c r="H57" s="136">
        <f>H52-H53+H54-H55-H56</f>
        <v>252203.91943890473</v>
      </c>
      <c r="I57" s="136">
        <f>I52-I53+I54-I55-I56</f>
        <v>330245.81724686082</v>
      </c>
      <c r="J57" s="136">
        <f>J52-J53+J54-J55+J56</f>
        <v>336716.5494882192</v>
      </c>
    </row>
    <row r="58" spans="2:15">
      <c r="D58" s="60"/>
      <c r="E58" s="60"/>
      <c r="F58" s="60"/>
      <c r="G58" s="60"/>
      <c r="H58" s="60"/>
      <c r="I58" s="61"/>
      <c r="J58" s="61"/>
    </row>
    <row r="59" spans="2:15" ht="13">
      <c r="B59" t="s">
        <v>74</v>
      </c>
      <c r="D59" s="95">
        <f t="shared" ref="D59:J59" si="11">+D52+D54</f>
        <v>393763</v>
      </c>
      <c r="E59" s="95">
        <f t="shared" si="11"/>
        <v>430142</v>
      </c>
      <c r="F59" s="95">
        <f t="shared" si="11"/>
        <v>478362</v>
      </c>
      <c r="G59" s="95">
        <f t="shared" si="11"/>
        <v>538449.60000000044</v>
      </c>
      <c r="H59" s="95">
        <f t="shared" si="11"/>
        <v>647121.23200000089</v>
      </c>
      <c r="I59" s="96">
        <f t="shared" si="11"/>
        <v>716243.29664000089</v>
      </c>
      <c r="J59" s="96">
        <f t="shared" si="11"/>
        <v>728158.71199999994</v>
      </c>
    </row>
    <row r="60" spans="2:15">
      <c r="I60" s="66"/>
      <c r="O60" t="s">
        <v>109</v>
      </c>
    </row>
    <row r="61" spans="2:15" ht="13.5" thickBot="1">
      <c r="B61" s="67" t="s">
        <v>130</v>
      </c>
      <c r="C61" s="68" t="s">
        <v>121</v>
      </c>
      <c r="I61" s="66"/>
    </row>
    <row r="62" spans="2:15">
      <c r="B62" t="s">
        <v>131</v>
      </c>
      <c r="C62" s="69">
        <f>D17</f>
        <v>16.787500000000001</v>
      </c>
      <c r="D62" s="70"/>
      <c r="E62" s="53" t="s">
        <v>132</v>
      </c>
      <c r="I62" s="71">
        <f>+C62*I59</f>
        <v>12023934.342344016</v>
      </c>
    </row>
    <row r="63" spans="2:15">
      <c r="B63" t="s">
        <v>133</v>
      </c>
      <c r="C63" s="72">
        <f>4.9%</f>
        <v>4.9000000000000002E-2</v>
      </c>
      <c r="D63" s="73"/>
      <c r="E63" s="53" t="s">
        <v>134</v>
      </c>
      <c r="I63" s="61">
        <f>+J57/(C63-J47)</f>
        <v>12112106.096698532</v>
      </c>
      <c r="K63" t="s">
        <v>109</v>
      </c>
    </row>
    <row r="64" spans="2:15">
      <c r="B64" t="s">
        <v>111</v>
      </c>
      <c r="I64" s="74">
        <f>+(I62+I63)/2</f>
        <v>12068020.219521273</v>
      </c>
    </row>
    <row r="65" spans="2:13">
      <c r="B65" t="s">
        <v>135</v>
      </c>
      <c r="D65" s="75"/>
      <c r="I65" s="71">
        <f>-D83*0.2</f>
        <v>-82000</v>
      </c>
      <c r="L65" s="130">
        <v>1000</v>
      </c>
      <c r="M65" t="s">
        <v>109</v>
      </c>
    </row>
    <row r="66" spans="2:13">
      <c r="B66" t="s">
        <v>136</v>
      </c>
      <c r="D66" s="75"/>
      <c r="I66" s="76">
        <v>0</v>
      </c>
    </row>
    <row r="67" spans="2:13">
      <c r="B67" t="s">
        <v>137</v>
      </c>
      <c r="F67" t="s">
        <v>109</v>
      </c>
      <c r="I67" s="71">
        <f>+I65+I64</f>
        <v>11986020.219521273</v>
      </c>
    </row>
    <row r="68" spans="2:13">
      <c r="I68" s="66"/>
    </row>
    <row r="69" spans="2:13" ht="13">
      <c r="B69" t="s">
        <v>138</v>
      </c>
      <c r="D69" s="65"/>
      <c r="E69" s="95">
        <f>E57</f>
        <v>126530.96219178083</v>
      </c>
      <c r="F69" s="95">
        <f>+F57</f>
        <v>176247.35890410957</v>
      </c>
      <c r="G69" s="95">
        <f>+G57</f>
        <v>208316.09139726055</v>
      </c>
      <c r="H69" s="95">
        <f>+H57</f>
        <v>252203.91943890473</v>
      </c>
      <c r="I69" s="96">
        <f>+I67+I57</f>
        <v>12316266.036768135</v>
      </c>
    </row>
    <row r="70" spans="2:13" ht="13">
      <c r="D70" s="75"/>
      <c r="E70" s="77" t="s">
        <v>139</v>
      </c>
      <c r="F70" s="77" t="s">
        <v>139</v>
      </c>
      <c r="G70" s="77" t="s">
        <v>139</v>
      </c>
      <c r="H70" s="77" t="s">
        <v>139</v>
      </c>
      <c r="I70" s="78" t="s">
        <v>139</v>
      </c>
    </row>
    <row r="71" spans="2:13" ht="16">
      <c r="B71" s="79" t="s">
        <v>140</v>
      </c>
      <c r="C71" s="80" t="s">
        <v>141</v>
      </c>
      <c r="D71" s="75"/>
      <c r="E71" s="81">
        <f>1/((1+$D$25)^E43)</f>
        <v>0.95147478591817325</v>
      </c>
      <c r="F71" s="81">
        <f>1/((1+$D$25)^F43)</f>
        <v>0.90530426823803356</v>
      </c>
      <c r="G71" s="81">
        <f>1/((1+$D$25)^G43)</f>
        <v>0.86137418481259131</v>
      </c>
      <c r="H71" s="81">
        <f>1/((1+$D$25)^H43)</f>
        <v>0.81957581809000124</v>
      </c>
      <c r="I71" s="81">
        <f>1/((1+$D$25)^I43)</f>
        <v>0.7798057260608956</v>
      </c>
      <c r="K71" t="s">
        <v>109</v>
      </c>
    </row>
    <row r="72" spans="2:13" ht="13">
      <c r="C72" s="79"/>
      <c r="D72" s="75"/>
      <c r="E72" s="77" t="s">
        <v>142</v>
      </c>
      <c r="F72" s="77" t="s">
        <v>142</v>
      </c>
      <c r="G72" s="77" t="s">
        <v>142</v>
      </c>
      <c r="H72" s="77" t="s">
        <v>142</v>
      </c>
      <c r="I72" s="77" t="s">
        <v>142</v>
      </c>
    </row>
    <row r="73" spans="2:13" ht="13">
      <c r="C73" s="79"/>
      <c r="M73" t="s">
        <v>109</v>
      </c>
    </row>
    <row r="74" spans="2:13" ht="13">
      <c r="C74" s="79" t="s">
        <v>143</v>
      </c>
      <c r="D74" s="82">
        <f>+E71*E69</f>
        <v>120391.02016344514</v>
      </c>
      <c r="E74" s="13"/>
    </row>
    <row r="75" spans="2:13" ht="13">
      <c r="C75" s="79" t="s">
        <v>144</v>
      </c>
      <c r="D75" s="82">
        <f>+F71*F69</f>
        <v>159557.48628157098</v>
      </c>
    </row>
    <row r="76" spans="2:13" ht="13">
      <c r="C76" s="79" t="s">
        <v>145</v>
      </c>
      <c r="D76" s="82">
        <f>+G71*G69</f>
        <v>179438.10341066058</v>
      </c>
    </row>
    <row r="77" spans="2:13" ht="13">
      <c r="C77" s="79" t="s">
        <v>146</v>
      </c>
      <c r="D77" s="82">
        <f>+H71*H69</f>
        <v>206700.23359964511</v>
      </c>
    </row>
    <row r="78" spans="2:13" ht="13">
      <c r="C78" s="79" t="s">
        <v>147</v>
      </c>
      <c r="D78" s="82">
        <f>+I71*I69</f>
        <v>9604294.7791611236</v>
      </c>
    </row>
    <row r="79" spans="2:13" ht="13.5" thickBot="1">
      <c r="C79" s="79" t="s">
        <v>148</v>
      </c>
      <c r="D79" s="157">
        <f>SUM(D74:D78)</f>
        <v>10270381.622616446</v>
      </c>
      <c r="E79" s="83" t="s">
        <v>149</v>
      </c>
    </row>
    <row r="80" spans="2:13" ht="13.5" thickTop="1">
      <c r="C80" s="79"/>
      <c r="D80" s="82"/>
      <c r="E80" s="83"/>
    </row>
    <row r="81" spans="2:6" ht="13">
      <c r="C81" s="84" t="s">
        <v>150</v>
      </c>
      <c r="D81" s="85" t="s">
        <v>151</v>
      </c>
      <c r="E81" s="86"/>
    </row>
    <row r="82" spans="2:6" ht="13">
      <c r="C82" s="87" t="s">
        <v>152</v>
      </c>
      <c r="D82" s="95">
        <f>D79</f>
        <v>10270381.622616446</v>
      </c>
      <c r="E82" s="108"/>
    </row>
    <row r="83" spans="2:6" ht="13">
      <c r="C83" s="88" t="s">
        <v>188</v>
      </c>
      <c r="D83" s="95">
        <f>+L7*1000</f>
        <v>410000</v>
      </c>
    </row>
    <row r="84" spans="2:6" ht="13.5" thickBot="1">
      <c r="C84" s="88" t="s">
        <v>189</v>
      </c>
      <c r="D84" s="95">
        <f>M7*1000</f>
        <v>105529</v>
      </c>
    </row>
    <row r="85" spans="2:6" ht="14.5" thickBot="1">
      <c r="B85" s="92" t="s">
        <v>187</v>
      </c>
      <c r="C85" s="118"/>
      <c r="D85" s="115">
        <f>D82-D83+D84</f>
        <v>9965910.6226164456</v>
      </c>
      <c r="E85" s="131">
        <f>D85/J7</f>
        <v>433.89033184804191</v>
      </c>
      <c r="F85" s="132" t="s">
        <v>153</v>
      </c>
    </row>
    <row r="87" spans="2:6">
      <c r="F87" s="108"/>
    </row>
  </sheetData>
  <mergeCells count="5">
    <mergeCell ref="D40:E40"/>
    <mergeCell ref="N36:N37"/>
    <mergeCell ref="C24:D24"/>
    <mergeCell ref="C4:D4"/>
    <mergeCell ref="I2:J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5350A-2388-4402-8C1A-C9B34F263F38}">
  <dimension ref="A2:G33"/>
  <sheetViews>
    <sheetView tabSelected="1" zoomScale="79" workbookViewId="0">
      <selection activeCell="T36" sqref="T36"/>
    </sheetView>
  </sheetViews>
  <sheetFormatPr defaultRowHeight="12.5"/>
  <sheetData>
    <row r="2" spans="1:7">
      <c r="A2" t="s">
        <v>184</v>
      </c>
    </row>
    <row r="3" spans="1:7">
      <c r="B3" t="s">
        <v>166</v>
      </c>
      <c r="C3" s="119" t="s">
        <v>167</v>
      </c>
      <c r="D3" s="119"/>
      <c r="E3" s="119"/>
      <c r="F3" s="119"/>
      <c r="G3" s="119"/>
    </row>
    <row r="10" spans="1:7">
      <c r="B10" t="s">
        <v>168</v>
      </c>
      <c r="C10" s="119" t="s">
        <v>169</v>
      </c>
      <c r="D10" s="119"/>
      <c r="E10" s="119"/>
      <c r="F10" s="119"/>
      <c r="G10" s="119"/>
    </row>
    <row r="18" spans="1:7">
      <c r="B18" t="s">
        <v>170</v>
      </c>
      <c r="C18" s="119" t="s">
        <v>171</v>
      </c>
      <c r="D18" s="119"/>
      <c r="E18" s="119"/>
      <c r="F18" s="119"/>
      <c r="G18" s="119"/>
    </row>
    <row r="27" spans="1:7">
      <c r="A27" t="s">
        <v>185</v>
      </c>
    </row>
    <row r="33" spans="1:1">
      <c r="A33" t="s">
        <v>186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FS Historical</vt:lpstr>
      <vt:lpstr>Projections</vt:lpstr>
      <vt:lpstr>DCF Q1</vt:lpstr>
      <vt:lpstr>Q2,3,4</vt:lpstr>
      <vt:lpstr>'FS Historical'!Print_Area</vt:lpstr>
      <vt:lpstr>Projections!Print_Area</vt:lpstr>
      <vt:lpstr>'FS Historical'!Print_Titles</vt:lpstr>
      <vt:lpstr>Projections!Print_Titles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Guthammar</dc:creator>
  <cp:lastModifiedBy>Tashveen Kaur</cp:lastModifiedBy>
  <dcterms:created xsi:type="dcterms:W3CDTF">2023-11-29T18:27:06Z</dcterms:created>
  <dcterms:modified xsi:type="dcterms:W3CDTF">2023-12-12T00:29:26Z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3fd474-4f3c-44ed-88fb-5cc4bd2471bf_Enabled">
    <vt:lpwstr>true</vt:lpwstr>
  </property>
  <property fmtid="{D5CDD505-2E9C-101B-9397-08002B2CF9AE}" pid="3" name="MSIP_Label_a73fd474-4f3c-44ed-88fb-5cc4bd2471bf_SetDate">
    <vt:lpwstr>2023-12-07T19:50:54Z</vt:lpwstr>
  </property>
  <property fmtid="{D5CDD505-2E9C-101B-9397-08002B2CF9AE}" pid="4" name="MSIP_Label_a73fd474-4f3c-44ed-88fb-5cc4bd2471bf_Method">
    <vt:lpwstr>Standard</vt:lpwstr>
  </property>
  <property fmtid="{D5CDD505-2E9C-101B-9397-08002B2CF9AE}" pid="5" name="MSIP_Label_a73fd474-4f3c-44ed-88fb-5cc4bd2471bf_Name">
    <vt:lpwstr>defa4170-0d19-0005-0004-bc88714345d2</vt:lpwstr>
  </property>
  <property fmtid="{D5CDD505-2E9C-101B-9397-08002B2CF9AE}" pid="6" name="MSIP_Label_a73fd474-4f3c-44ed-88fb-5cc4bd2471bf_SiteId">
    <vt:lpwstr>8d1a69ec-03b5-4345-ae21-dad112f5fb4f</vt:lpwstr>
  </property>
  <property fmtid="{D5CDD505-2E9C-101B-9397-08002B2CF9AE}" pid="7" name="MSIP_Label_a73fd474-4f3c-44ed-88fb-5cc4bd2471bf_ActionId">
    <vt:lpwstr>b2984809-d2a2-49cb-a723-526fd762ebdd</vt:lpwstr>
  </property>
  <property fmtid="{D5CDD505-2E9C-101B-9397-08002B2CF9AE}" pid="8" name="MSIP_Label_a73fd474-4f3c-44ed-88fb-5cc4bd2471bf_ContentBits">
    <vt:lpwstr>0</vt:lpwstr>
  </property>
</Properties>
</file>