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shv\Downloads\"/>
    </mc:Choice>
  </mc:AlternateContent>
  <xr:revisionPtr revIDLastSave="0" documentId="13_ncr:1_{EF644BD5-62C1-40AE-9EE7-1993D1F5C083}" xr6:coauthVersionLast="47" xr6:coauthVersionMax="47" xr10:uidLastSave="{00000000-0000-0000-0000-000000000000}"/>
  <bookViews>
    <workbookView xWindow="-110" yWindow="-110" windowWidth="19420" windowHeight="10660" activeTab="4" xr2:uid="{00000000-000D-0000-FFFF-FFFF00000000}"/>
  </bookViews>
  <sheets>
    <sheet name="Yahoo Fin Input" sheetId="3" r:id="rId1"/>
    <sheet name="Title" sheetId="6" r:id="rId2"/>
    <sheet name="Historical Analysis" sheetId="1" r:id="rId3"/>
    <sheet name="Title 2" sheetId="7" r:id="rId4"/>
    <sheet name="Projected Analysis" sheetId="4" r:id="rId5"/>
    <sheet name="Title3" sheetId="8" r:id="rId6"/>
    <sheet name="Valuation Analysis" sheetId="5" r:id="rId7"/>
  </sheets>
  <definedNames>
    <definedName name="bs?s_HOT" localSheetId="0">'Yahoo Fin Input'!$I$50:$N$102</definedName>
    <definedName name="bs?s_HOT_annual" localSheetId="0">'Yahoo Fin Input'!#REF!</definedName>
    <definedName name="bs?s_HOT_annual_1" localSheetId="0">'Yahoo Fin Input'!$B$50:$F$102</definedName>
    <definedName name="cf?s_HOT" localSheetId="0">'Yahoo Fin Input'!$I$105:$N$138</definedName>
    <definedName name="cf?s_HOT_annual" localSheetId="0">'Yahoo Fin Input'!$B$105:$F$138</definedName>
    <definedName name="ExternalData_1" localSheetId="0">'Yahoo Fin Input'!$B$2:$C$3</definedName>
    <definedName name="is?s_HOT" localSheetId="0">'Yahoo Fin Input'!$I$6:$O$47</definedName>
    <definedName name="is?s_HOT_annual" localSheetId="0">'Yahoo Fin Input'!$B$6:$G$47</definedName>
    <definedName name="_xlnm.Print_Area" localSheetId="2">'Historical Analysis'!$A$1:$Q$153</definedName>
    <definedName name="_xlnm.Print_Area" localSheetId="4">'Projected Analysis'!$A$1:$S$55</definedName>
    <definedName name="_xlnm.Print_Area" localSheetId="1">Title!$B$4:$P$37</definedName>
    <definedName name="_xlnm.Print_Area" localSheetId="3">'Title 2'!$B$6:$P$38</definedName>
    <definedName name="_xlnm.Print_Area" localSheetId="5">Title3!$B$6:$P$36</definedName>
    <definedName name="_xlnm.Print_Area" localSheetId="6">'Valuation Analysis'!$B$3:$M$152</definedName>
    <definedName name="_xlnm.Print_Area" localSheetId="0">'Yahoo Fin Input'!$B$5:$N$126</definedName>
    <definedName name="_xlnm.Print_Titles" localSheetId="6">'Valuation Analysis'!$1:$2</definedName>
    <definedName name="_xlnm.Print_Titles" localSheetId="0">'Yahoo Fin Input'!$1:$4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D22" i="4"/>
  <c r="D86" i="5"/>
  <c r="K22" i="4"/>
  <c r="K21" i="4"/>
  <c r="D81" i="5"/>
  <c r="G85" i="5"/>
  <c r="F39" i="5"/>
  <c r="I33" i="4"/>
  <c r="D99" i="5"/>
  <c r="E12" i="1"/>
  <c r="E15" i="1"/>
  <c r="I95" i="5" l="1"/>
  <c r="G95" i="5"/>
  <c r="Q109" i="5"/>
  <c r="P109" i="5" s="1"/>
  <c r="S109" i="5"/>
  <c r="T109" i="5" s="1"/>
  <c r="F37" i="5"/>
  <c r="I37" i="5" s="1"/>
  <c r="K37" i="5" s="1"/>
  <c r="A37" i="5"/>
  <c r="C42" i="5"/>
  <c r="G139" i="5"/>
  <c r="D106" i="5"/>
  <c r="C97" i="5"/>
  <c r="J32" i="5"/>
  <c r="H32" i="5"/>
  <c r="G32" i="5"/>
  <c r="E32" i="5"/>
  <c r="F32" i="5" s="1"/>
  <c r="J30" i="5"/>
  <c r="H30" i="5"/>
  <c r="G30" i="5"/>
  <c r="E30" i="5"/>
  <c r="F30" i="5" s="1"/>
  <c r="J29" i="5"/>
  <c r="H29" i="5"/>
  <c r="G29" i="5"/>
  <c r="E29" i="5"/>
  <c r="F29" i="5" s="1"/>
  <c r="I29" i="5" s="1"/>
  <c r="K29" i="5" s="1"/>
  <c r="B47" i="4"/>
  <c r="B15" i="4"/>
  <c r="B22" i="4"/>
  <c r="C22" i="4"/>
  <c r="B20" i="4"/>
  <c r="L58" i="1"/>
  <c r="L60" i="1"/>
  <c r="H95" i="5"/>
  <c r="F18" i="5"/>
  <c r="D28" i="5"/>
  <c r="F80" i="5"/>
  <c r="B28" i="4"/>
  <c r="B21" i="4"/>
  <c r="E37" i="1"/>
  <c r="F37" i="1"/>
  <c r="G37" i="1"/>
  <c r="H37" i="1"/>
  <c r="L37" i="1"/>
  <c r="K37" i="1"/>
  <c r="G22" i="1"/>
  <c r="E27" i="3"/>
  <c r="E31" i="3" s="1"/>
  <c r="E25" i="3"/>
  <c r="G20" i="1"/>
  <c r="D31" i="3"/>
  <c r="F25" i="1"/>
  <c r="F22" i="1"/>
  <c r="D27" i="3"/>
  <c r="F20" i="1"/>
  <c r="D25" i="3"/>
  <c r="D21" i="3"/>
  <c r="D18" i="3"/>
  <c r="F21" i="1"/>
  <c r="G21" i="1"/>
  <c r="H21" i="1"/>
  <c r="H22" i="1" s="1"/>
  <c r="H25" i="1" s="1"/>
  <c r="F19" i="1"/>
  <c r="G19" i="1"/>
  <c r="H20" i="1"/>
  <c r="H19" i="1"/>
  <c r="G25" i="3"/>
  <c r="K43" i="3"/>
  <c r="K40" i="3"/>
  <c r="M40" i="3"/>
  <c r="N40" i="3"/>
  <c r="L40" i="3"/>
  <c r="H23" i="1"/>
  <c r="J25" i="1"/>
  <c r="K25" i="1"/>
  <c r="E23" i="1"/>
  <c r="L22" i="1"/>
  <c r="J16" i="1"/>
  <c r="D10" i="4" s="1"/>
  <c r="K16" i="1"/>
  <c r="L16" i="1"/>
  <c r="I16" i="1"/>
  <c r="E100" i="1"/>
  <c r="H100" i="1"/>
  <c r="G100" i="1"/>
  <c r="F100" i="1"/>
  <c r="L100" i="1"/>
  <c r="K100" i="1"/>
  <c r="J100" i="1"/>
  <c r="I100" i="1"/>
  <c r="L95" i="1"/>
  <c r="K95" i="1"/>
  <c r="J95" i="1"/>
  <c r="I95" i="1"/>
  <c r="H95" i="1"/>
  <c r="G95" i="1"/>
  <c r="F95" i="1"/>
  <c r="D91" i="1"/>
  <c r="E95" i="1" s="1"/>
  <c r="A95" i="1"/>
  <c r="C68" i="3"/>
  <c r="D68" i="3"/>
  <c r="I53" i="1"/>
  <c r="J53" i="1"/>
  <c r="J62" i="1" s="1"/>
  <c r="K53" i="1"/>
  <c r="L53" i="1"/>
  <c r="L129" i="1" s="1"/>
  <c r="E10" i="4"/>
  <c r="B10" i="4"/>
  <c r="I25" i="1"/>
  <c r="I32" i="1" s="1"/>
  <c r="I34" i="1" s="1"/>
  <c r="J32" i="1"/>
  <c r="J34" i="1" s="1"/>
  <c r="K32" i="1"/>
  <c r="K34" i="1" s="1"/>
  <c r="L25" i="1"/>
  <c r="L32" i="1" s="1"/>
  <c r="L34" i="1" s="1"/>
  <c r="V24" i="1"/>
  <c r="L9" i="1"/>
  <c r="L144" i="1" s="1"/>
  <c r="I9" i="1"/>
  <c r="I144" i="1"/>
  <c r="D8" i="4"/>
  <c r="K9" i="1"/>
  <c r="J146" i="1"/>
  <c r="K18" i="3"/>
  <c r="N27" i="3"/>
  <c r="N31" i="3" s="1"/>
  <c r="M27" i="3"/>
  <c r="M31" i="3" s="1"/>
  <c r="L27" i="3"/>
  <c r="L31" i="3" s="1"/>
  <c r="K27" i="3"/>
  <c r="N24" i="3"/>
  <c r="M24" i="3"/>
  <c r="L24" i="3"/>
  <c r="K24" i="3"/>
  <c r="N18" i="3"/>
  <c r="M18" i="3"/>
  <c r="L18" i="3"/>
  <c r="F139" i="3"/>
  <c r="F130" i="3"/>
  <c r="F126" i="3"/>
  <c r="F120" i="3"/>
  <c r="F82" i="3"/>
  <c r="B44" i="5"/>
  <c r="B132" i="5" s="1"/>
  <c r="E18" i="3"/>
  <c r="D141" i="3"/>
  <c r="E141" i="3"/>
  <c r="D122" i="3"/>
  <c r="E122" i="3"/>
  <c r="D132" i="3"/>
  <c r="E132" i="3"/>
  <c r="K141" i="3"/>
  <c r="M141" i="3"/>
  <c r="N141" i="3"/>
  <c r="K122" i="3"/>
  <c r="L122" i="3"/>
  <c r="M122" i="3"/>
  <c r="N122" i="3"/>
  <c r="K132" i="3"/>
  <c r="L132" i="3"/>
  <c r="L144" i="3" s="1"/>
  <c r="M132" i="3"/>
  <c r="N132" i="3"/>
  <c r="K96" i="3"/>
  <c r="L96" i="3"/>
  <c r="M96" i="3"/>
  <c r="N96" i="3"/>
  <c r="K97" i="3"/>
  <c r="K84" i="3"/>
  <c r="L84" i="3"/>
  <c r="M84" i="3"/>
  <c r="N84" i="3"/>
  <c r="K60" i="3"/>
  <c r="L60" i="3"/>
  <c r="L69" i="3" s="1"/>
  <c r="M60" i="3"/>
  <c r="M69" i="3" s="1"/>
  <c r="N60" i="3"/>
  <c r="N69" i="3" s="1"/>
  <c r="K62" i="3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8" i="5"/>
  <c r="C101" i="5"/>
  <c r="D87" i="5"/>
  <c r="E33" i="4"/>
  <c r="E32" i="4"/>
  <c r="E26" i="4"/>
  <c r="E25" i="4"/>
  <c r="E15" i="4"/>
  <c r="E13" i="4"/>
  <c r="E8" i="4"/>
  <c r="E7" i="4"/>
  <c r="E5" i="4"/>
  <c r="E39" i="4" s="1"/>
  <c r="I37" i="1"/>
  <c r="I124" i="1"/>
  <c r="I130" i="1"/>
  <c r="I133" i="1"/>
  <c r="I152" i="1"/>
  <c r="N6" i="1"/>
  <c r="N94" i="1"/>
  <c r="N124" i="1" s="1"/>
  <c r="O6" i="1"/>
  <c r="O94" i="1"/>
  <c r="O124" i="1" s="1"/>
  <c r="P6" i="1"/>
  <c r="Q6" i="1"/>
  <c r="N7" i="1"/>
  <c r="E7" i="1" s="1"/>
  <c r="E130" i="1" s="1"/>
  <c r="O7" i="1"/>
  <c r="P7" i="1"/>
  <c r="Q7" i="1"/>
  <c r="N8" i="1"/>
  <c r="O8" i="1"/>
  <c r="P8" i="1"/>
  <c r="Q8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P21" i="1"/>
  <c r="I13" i="4" s="1"/>
  <c r="N23" i="1"/>
  <c r="O23" i="1"/>
  <c r="P23" i="1"/>
  <c r="Q23" i="1"/>
  <c r="N24" i="1"/>
  <c r="O24" i="1"/>
  <c r="P24" i="1"/>
  <c r="Q24" i="1"/>
  <c r="N28" i="1"/>
  <c r="O28" i="1"/>
  <c r="P28" i="1"/>
  <c r="Q28" i="1"/>
  <c r="N29" i="1"/>
  <c r="O29" i="1"/>
  <c r="E29" i="1" s="1"/>
  <c r="P29" i="1"/>
  <c r="Q29" i="1"/>
  <c r="N30" i="1"/>
  <c r="O30" i="1"/>
  <c r="P30" i="1"/>
  <c r="Q30" i="1"/>
  <c r="N31" i="1"/>
  <c r="O31" i="1"/>
  <c r="P31" i="1"/>
  <c r="Q31" i="1"/>
  <c r="C99" i="5"/>
  <c r="F95" i="5"/>
  <c r="D33" i="4"/>
  <c r="D32" i="4"/>
  <c r="D26" i="4"/>
  <c r="D25" i="4"/>
  <c r="D15" i="4"/>
  <c r="D13" i="4"/>
  <c r="D5" i="4"/>
  <c r="D39" i="4" s="1"/>
  <c r="A36" i="1"/>
  <c r="A37" i="1"/>
  <c r="F15" i="4"/>
  <c r="H24" i="1"/>
  <c r="H28" i="1"/>
  <c r="H29" i="1"/>
  <c r="H30" i="1"/>
  <c r="H31" i="1"/>
  <c r="H78" i="1"/>
  <c r="H79" i="1"/>
  <c r="H82" i="1"/>
  <c r="H83" i="1"/>
  <c r="H48" i="1"/>
  <c r="H49" i="1"/>
  <c r="H50" i="1"/>
  <c r="H51" i="1"/>
  <c r="H52" i="1"/>
  <c r="H55" i="1"/>
  <c r="H56" i="1"/>
  <c r="H57" i="1"/>
  <c r="H58" i="1"/>
  <c r="H59" i="1"/>
  <c r="H60" i="1"/>
  <c r="H61" i="1"/>
  <c r="N97" i="1"/>
  <c r="O97" i="1"/>
  <c r="P97" i="1"/>
  <c r="Q97" i="1"/>
  <c r="H7" i="1"/>
  <c r="F7" i="4" s="1"/>
  <c r="H8" i="1"/>
  <c r="H12" i="1"/>
  <c r="H13" i="1"/>
  <c r="H14" i="1"/>
  <c r="H15" i="1"/>
  <c r="H97" i="1"/>
  <c r="F25" i="4" s="1"/>
  <c r="G7" i="1"/>
  <c r="G8" i="1"/>
  <c r="G8" i="4" s="1"/>
  <c r="G12" i="1"/>
  <c r="G13" i="1"/>
  <c r="G14" i="1"/>
  <c r="G15" i="1"/>
  <c r="G97" i="1"/>
  <c r="G25" i="4" s="1"/>
  <c r="F7" i="1"/>
  <c r="F152" i="1" s="1"/>
  <c r="F8" i="1"/>
  <c r="H8" i="4" s="1"/>
  <c r="F12" i="1"/>
  <c r="F13" i="1"/>
  <c r="F14" i="1"/>
  <c r="F16" i="1" s="1"/>
  <c r="F15" i="1"/>
  <c r="F97" i="1"/>
  <c r="J129" i="1"/>
  <c r="J133" i="1"/>
  <c r="J124" i="1"/>
  <c r="F31" i="5"/>
  <c r="I31" i="5" s="1"/>
  <c r="E48" i="1"/>
  <c r="I32" i="4"/>
  <c r="F26" i="4"/>
  <c r="G26" i="4"/>
  <c r="H26" i="4"/>
  <c r="N106" i="1"/>
  <c r="O106" i="1"/>
  <c r="P106" i="1"/>
  <c r="Q106" i="1"/>
  <c r="B26" i="4"/>
  <c r="B7" i="4"/>
  <c r="C26" i="4"/>
  <c r="B25" i="4"/>
  <c r="C25" i="4"/>
  <c r="G23" i="1"/>
  <c r="G15" i="4" s="1"/>
  <c r="G13" i="4"/>
  <c r="F23" i="1"/>
  <c r="H15" i="4" s="1"/>
  <c r="H13" i="4"/>
  <c r="B8" i="4"/>
  <c r="B13" i="4"/>
  <c r="C15" i="4"/>
  <c r="C8" i="4"/>
  <c r="C13" i="4"/>
  <c r="E19" i="1"/>
  <c r="C103" i="5"/>
  <c r="C102" i="5"/>
  <c r="H33" i="4"/>
  <c r="G33" i="4"/>
  <c r="F33" i="4"/>
  <c r="F32" i="4"/>
  <c r="C33" i="4"/>
  <c r="C32" i="4"/>
  <c r="B33" i="4"/>
  <c r="B32" i="4"/>
  <c r="B5" i="4"/>
  <c r="B39" i="4" s="1"/>
  <c r="L133" i="1"/>
  <c r="L130" i="1"/>
  <c r="L124" i="1"/>
  <c r="N20" i="4"/>
  <c r="O20" i="4" s="1"/>
  <c r="P20" i="4" s="1"/>
  <c r="Q20" i="4" s="1"/>
  <c r="R20" i="4" s="1"/>
  <c r="S20" i="4" s="1"/>
  <c r="N21" i="4"/>
  <c r="N28" i="4"/>
  <c r="N29" i="4"/>
  <c r="F34" i="5"/>
  <c r="I34" i="5" s="1"/>
  <c r="K34" i="5" s="1"/>
  <c r="F36" i="5"/>
  <c r="I36" i="5"/>
  <c r="K36" i="5"/>
  <c r="L41" i="5"/>
  <c r="F33" i="5"/>
  <c r="I33" i="5"/>
  <c r="K33" i="5" s="1"/>
  <c r="F35" i="5"/>
  <c r="I35" i="5" s="1"/>
  <c r="K35" i="5" s="1"/>
  <c r="F6" i="1"/>
  <c r="C5" i="4"/>
  <c r="C39" i="4" s="1"/>
  <c r="H98" i="1"/>
  <c r="H99" i="1"/>
  <c r="K133" i="1"/>
  <c r="K124" i="1"/>
  <c r="E6" i="1"/>
  <c r="E94" i="1" s="1"/>
  <c r="E124" i="1" s="1"/>
  <c r="F48" i="1"/>
  <c r="N22" i="4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2" i="1"/>
  <c r="A93" i="1"/>
  <c r="A94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7" i="1"/>
  <c r="E45" i="1"/>
  <c r="I39" i="4" s="1"/>
  <c r="C1" i="1"/>
  <c r="B5" i="5" s="1"/>
  <c r="G141" i="5"/>
  <c r="G17" i="5"/>
  <c r="F17" i="5"/>
  <c r="I17" i="5" s="1"/>
  <c r="G16" i="5"/>
  <c r="F16" i="5"/>
  <c r="G15" i="5"/>
  <c r="F15" i="5"/>
  <c r="I15" i="5"/>
  <c r="G14" i="5"/>
  <c r="F14" i="5"/>
  <c r="G13" i="5"/>
  <c r="F13" i="5"/>
  <c r="I13" i="5" s="1"/>
  <c r="G12" i="5"/>
  <c r="F12" i="5"/>
  <c r="G11" i="5"/>
  <c r="F11" i="5"/>
  <c r="I11" i="5" s="1"/>
  <c r="F10" i="5"/>
  <c r="G10" i="5"/>
  <c r="G6" i="1"/>
  <c r="G94" i="1" s="1"/>
  <c r="G124" i="1" s="1"/>
  <c r="H6" i="1"/>
  <c r="F5" i="4" s="1"/>
  <c r="F39" i="4" s="1"/>
  <c r="N95" i="1"/>
  <c r="O95" i="1"/>
  <c r="P95" i="1"/>
  <c r="Q95" i="1"/>
  <c r="O22" i="4"/>
  <c r="P22" i="4" s="1"/>
  <c r="Q22" i="4" s="1"/>
  <c r="R22" i="4" s="1"/>
  <c r="S22" i="4" s="1"/>
  <c r="Q94" i="1"/>
  <c r="Q124" i="1" s="1"/>
  <c r="P94" i="1"/>
  <c r="P124" i="1" s="1"/>
  <c r="F94" i="1"/>
  <c r="F124" i="1" s="1"/>
  <c r="Q117" i="1"/>
  <c r="P117" i="1"/>
  <c r="O117" i="1"/>
  <c r="N117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Q116" i="1"/>
  <c r="P112" i="1"/>
  <c r="O112" i="1"/>
  <c r="N112" i="1"/>
  <c r="Q108" i="1"/>
  <c r="P108" i="1"/>
  <c r="O108" i="1"/>
  <c r="N108" i="1"/>
  <c r="E108" i="1"/>
  <c r="Q107" i="1"/>
  <c r="Q109" i="1" s="1"/>
  <c r="P107" i="1"/>
  <c r="O107" i="1"/>
  <c r="O109" i="1" s="1"/>
  <c r="N107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E99" i="1" s="1"/>
  <c r="Q98" i="1"/>
  <c r="P98" i="1"/>
  <c r="O98" i="1"/>
  <c r="N98" i="1"/>
  <c r="E98" i="1" s="1"/>
  <c r="H115" i="1"/>
  <c r="G115" i="1"/>
  <c r="F115" i="1"/>
  <c r="H114" i="1"/>
  <c r="G114" i="1"/>
  <c r="F114" i="1"/>
  <c r="H108" i="1"/>
  <c r="G108" i="1"/>
  <c r="F108" i="1"/>
  <c r="G99" i="1"/>
  <c r="F99" i="1"/>
  <c r="G98" i="1"/>
  <c r="F98" i="1"/>
  <c r="E83" i="1"/>
  <c r="E82" i="1"/>
  <c r="E79" i="1"/>
  <c r="E78" i="1"/>
  <c r="E61" i="1"/>
  <c r="E60" i="1"/>
  <c r="E59" i="1"/>
  <c r="E58" i="1"/>
  <c r="E57" i="1"/>
  <c r="E56" i="1"/>
  <c r="E55" i="1"/>
  <c r="E52" i="1"/>
  <c r="E51" i="1"/>
  <c r="E50" i="1"/>
  <c r="E49" i="1"/>
  <c r="G83" i="1"/>
  <c r="F83" i="1"/>
  <c r="G82" i="1"/>
  <c r="F82" i="1"/>
  <c r="G79" i="1"/>
  <c r="F79" i="1"/>
  <c r="G78" i="1"/>
  <c r="F78" i="1"/>
  <c r="F133" i="1" s="1"/>
  <c r="H74" i="1"/>
  <c r="G74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2" i="1"/>
  <c r="F52" i="1"/>
  <c r="G51" i="1"/>
  <c r="F51" i="1"/>
  <c r="G50" i="1"/>
  <c r="F50" i="1"/>
  <c r="G49" i="1"/>
  <c r="F49" i="1"/>
  <c r="G48" i="1"/>
  <c r="G31" i="1"/>
  <c r="F31" i="1"/>
  <c r="G30" i="1"/>
  <c r="F30" i="1"/>
  <c r="G29" i="1"/>
  <c r="F29" i="1"/>
  <c r="G28" i="1"/>
  <c r="G24" i="1"/>
  <c r="F24" i="1"/>
  <c r="E33" i="1"/>
  <c r="H25" i="4"/>
  <c r="I5" i="4"/>
  <c r="D93" i="5" s="1"/>
  <c r="O28" i="4"/>
  <c r="H32" i="4"/>
  <c r="H5" i="4"/>
  <c r="F45" i="1"/>
  <c r="O21" i="4"/>
  <c r="P21" i="4" s="1"/>
  <c r="Q21" i="4" s="1"/>
  <c r="R21" i="4" s="1"/>
  <c r="S21" i="4" s="1"/>
  <c r="O29" i="4"/>
  <c r="G7" i="4"/>
  <c r="P29" i="4"/>
  <c r="P28" i="4"/>
  <c r="Q29" i="4"/>
  <c r="Q28" i="4"/>
  <c r="R28" i="4"/>
  <c r="R29" i="4"/>
  <c r="S28" i="4"/>
  <c r="S29" i="4"/>
  <c r="G130" i="1"/>
  <c r="P152" i="1"/>
  <c r="N16" i="1"/>
  <c r="O152" i="1"/>
  <c r="F8" i="4"/>
  <c r="I30" i="5" l="1"/>
  <c r="K30" i="5" s="1"/>
  <c r="G80" i="5"/>
  <c r="I10" i="5"/>
  <c r="I12" i="5"/>
  <c r="I14" i="5"/>
  <c r="I16" i="5"/>
  <c r="H118" i="5"/>
  <c r="E118" i="5"/>
  <c r="F118" i="5"/>
  <c r="I118" i="5"/>
  <c r="G118" i="5"/>
  <c r="K31" i="5"/>
  <c r="I32" i="5"/>
  <c r="K32" i="5" s="1"/>
  <c r="G143" i="5"/>
  <c r="H39" i="4"/>
  <c r="H10" i="4"/>
  <c r="F18" i="1"/>
  <c r="F126" i="1" s="1"/>
  <c r="F13" i="4"/>
  <c r="E28" i="1"/>
  <c r="N152" i="1"/>
  <c r="O103" i="1"/>
  <c r="F53" i="1"/>
  <c r="C34" i="4"/>
  <c r="G43" i="4"/>
  <c r="P103" i="1"/>
  <c r="E31" i="1"/>
  <c r="E30" i="1"/>
  <c r="E24" i="1"/>
  <c r="O16" i="1"/>
  <c r="E8" i="1"/>
  <c r="I8" i="4" s="1"/>
  <c r="D97" i="5" s="1"/>
  <c r="Q9" i="1"/>
  <c r="Q144" i="1" s="1"/>
  <c r="P9" i="1"/>
  <c r="P144" i="1" s="1"/>
  <c r="N9" i="1"/>
  <c r="N144" i="1" s="1"/>
  <c r="K129" i="1"/>
  <c r="K62" i="1"/>
  <c r="K87" i="1" s="1"/>
  <c r="I129" i="1"/>
  <c r="I62" i="1"/>
  <c r="L62" i="1"/>
  <c r="J148" i="1"/>
  <c r="I147" i="1"/>
  <c r="L87" i="1"/>
  <c r="K148" i="1"/>
  <c r="K18" i="1"/>
  <c r="K126" i="1" s="1"/>
  <c r="K135" i="1" s="1"/>
  <c r="C10" i="4"/>
  <c r="K149" i="1"/>
  <c r="K147" i="1"/>
  <c r="J149" i="1"/>
  <c r="J147" i="1"/>
  <c r="I149" i="1"/>
  <c r="L126" i="1"/>
  <c r="L135" i="1" s="1"/>
  <c r="O9" i="1"/>
  <c r="O144" i="1" s="1"/>
  <c r="C89" i="1"/>
  <c r="P116" i="1"/>
  <c r="G5" i="4"/>
  <c r="G39" i="4" s="1"/>
  <c r="K146" i="1"/>
  <c r="Q16" i="1"/>
  <c r="Q18" i="1" s="1"/>
  <c r="Q126" i="1" s="1"/>
  <c r="E13" i="1"/>
  <c r="I7" i="4"/>
  <c r="G53" i="1"/>
  <c r="G62" i="1" s="1"/>
  <c r="B9" i="4"/>
  <c r="B51" i="4" s="1"/>
  <c r="I18" i="1"/>
  <c r="I126" i="1" s="1"/>
  <c r="I135" i="1" s="1"/>
  <c r="G45" i="1"/>
  <c r="E97" i="1"/>
  <c r="I25" i="4" s="1"/>
  <c r="D102" i="5" s="1"/>
  <c r="H32" i="1"/>
  <c r="H34" i="1" s="1"/>
  <c r="G152" i="1"/>
  <c r="C42" i="1"/>
  <c r="A1" i="4"/>
  <c r="E115" i="1"/>
  <c r="P109" i="1"/>
  <c r="H16" i="1"/>
  <c r="F10" i="4" s="1"/>
  <c r="F21" i="4" s="1"/>
  <c r="F86" i="1"/>
  <c r="G9" i="1"/>
  <c r="G144" i="1" s="1"/>
  <c r="H146" i="1"/>
  <c r="H45" i="1"/>
  <c r="C18" i="7"/>
  <c r="H9" i="1"/>
  <c r="B29" i="4"/>
  <c r="G9" i="4"/>
  <c r="G51" i="4" s="1"/>
  <c r="B90" i="5"/>
  <c r="B25" i="5"/>
  <c r="Q20" i="1"/>
  <c r="F29" i="4"/>
  <c r="N18" i="1"/>
  <c r="D131" i="5"/>
  <c r="H18" i="1"/>
  <c r="H126" i="1" s="1"/>
  <c r="H145" i="1" s="1"/>
  <c r="H144" i="1"/>
  <c r="H34" i="4"/>
  <c r="N35" i="4" s="1"/>
  <c r="O35" i="4" s="1"/>
  <c r="P35" i="4" s="1"/>
  <c r="Q35" i="4" s="1"/>
  <c r="R35" i="4" s="1"/>
  <c r="S35" i="4" s="1"/>
  <c r="H94" i="1"/>
  <c r="H124" i="1" s="1"/>
  <c r="G29" i="4"/>
  <c r="N103" i="1"/>
  <c r="N116" i="1"/>
  <c r="J9" i="1"/>
  <c r="J18" i="1" s="1"/>
  <c r="J126" i="1" s="1"/>
  <c r="J134" i="1" s="1"/>
  <c r="E53" i="1"/>
  <c r="I26" i="4"/>
  <c r="F62" i="1"/>
  <c r="O116" i="1"/>
  <c r="O118" i="1" s="1"/>
  <c r="E114" i="1"/>
  <c r="G32" i="4"/>
  <c r="G34" i="4" s="1"/>
  <c r="H7" i="4"/>
  <c r="C18" i="8"/>
  <c r="G86" i="1"/>
  <c r="C121" i="1"/>
  <c r="H130" i="1"/>
  <c r="E19" i="4"/>
  <c r="B34" i="4"/>
  <c r="D34" i="4"/>
  <c r="F9" i="4"/>
  <c r="F51" i="4" s="1"/>
  <c r="G28" i="4"/>
  <c r="I34" i="4"/>
  <c r="D130" i="5" s="1"/>
  <c r="I112" i="5" s="1"/>
  <c r="E93" i="5"/>
  <c r="O5" i="4"/>
  <c r="N39" i="4"/>
  <c r="O39" i="4" s="1"/>
  <c r="P39" i="4" s="1"/>
  <c r="Q39" i="4" s="1"/>
  <c r="R39" i="4" s="1"/>
  <c r="S39" i="4" s="1"/>
  <c r="G19" i="4"/>
  <c r="F34" i="4"/>
  <c r="F28" i="4"/>
  <c r="E139" i="5"/>
  <c r="E43" i="4"/>
  <c r="E34" i="4"/>
  <c r="K144" i="1"/>
  <c r="H152" i="1"/>
  <c r="J130" i="1"/>
  <c r="D7" i="4"/>
  <c r="D21" i="4" s="1"/>
  <c r="J152" i="1"/>
  <c r="K130" i="1"/>
  <c r="K152" i="1"/>
  <c r="C7" i="4"/>
  <c r="E144" i="3"/>
  <c r="D144" i="3"/>
  <c r="N144" i="3"/>
  <c r="M144" i="3"/>
  <c r="K144" i="3"/>
  <c r="K69" i="3"/>
  <c r="F130" i="1"/>
  <c r="E152" i="1"/>
  <c r="F9" i="1"/>
  <c r="N109" i="1"/>
  <c r="N118" i="1" s="1"/>
  <c r="Q103" i="1"/>
  <c r="Q118" i="1" s="1"/>
  <c r="G16" i="1"/>
  <c r="H53" i="1"/>
  <c r="I15" i="4"/>
  <c r="H36" i="4"/>
  <c r="E14" i="1"/>
  <c r="P16" i="1"/>
  <c r="P18" i="1" s="1"/>
  <c r="E29" i="4"/>
  <c r="E28" i="4"/>
  <c r="E21" i="4"/>
  <c r="E9" i="4"/>
  <c r="K41" i="5" l="1"/>
  <c r="K42" i="5"/>
  <c r="D42" i="5" s="1"/>
  <c r="C109" i="5" s="1"/>
  <c r="H19" i="4"/>
  <c r="G20" i="4"/>
  <c r="I28" i="4"/>
  <c r="H29" i="4"/>
  <c r="I9" i="4"/>
  <c r="I51" i="4" s="1"/>
  <c r="O18" i="1"/>
  <c r="E9" i="1"/>
  <c r="E144" i="1" s="1"/>
  <c r="I29" i="4"/>
  <c r="D94" i="5"/>
  <c r="G87" i="1"/>
  <c r="P118" i="1"/>
  <c r="H134" i="1"/>
  <c r="H135" i="1"/>
  <c r="K134" i="1"/>
  <c r="K145" i="1"/>
  <c r="L134" i="1"/>
  <c r="L146" i="1"/>
  <c r="B12" i="4"/>
  <c r="B40" i="4" s="1"/>
  <c r="B52" i="4" s="1"/>
  <c r="L145" i="1"/>
  <c r="J145" i="1"/>
  <c r="F87" i="1"/>
  <c r="J144" i="1"/>
  <c r="J135" i="1"/>
  <c r="F129" i="1"/>
  <c r="N34" i="4"/>
  <c r="O34" i="4" s="1"/>
  <c r="P34" i="4" s="1"/>
  <c r="Q34" i="4" s="1"/>
  <c r="R34" i="4" s="1"/>
  <c r="S34" i="4" s="1"/>
  <c r="H28" i="4"/>
  <c r="I43" i="4"/>
  <c r="I134" i="1"/>
  <c r="N20" i="1"/>
  <c r="N126" i="1"/>
  <c r="G129" i="1"/>
  <c r="E141" i="5"/>
  <c r="F12" i="4"/>
  <c r="F48" i="4" s="1"/>
  <c r="Q22" i="1"/>
  <c r="Q25" i="1" s="1"/>
  <c r="Q32" i="1" s="1"/>
  <c r="Q34" i="1" s="1"/>
  <c r="Q146" i="1"/>
  <c r="I19" i="4"/>
  <c r="E16" i="1"/>
  <c r="I10" i="4" s="1"/>
  <c r="D100" i="5" s="1"/>
  <c r="H43" i="4"/>
  <c r="H21" i="4"/>
  <c r="F20" i="4"/>
  <c r="D103" i="5"/>
  <c r="Q134" i="1"/>
  <c r="Q145" i="1"/>
  <c r="I145" i="1"/>
  <c r="O126" i="1"/>
  <c r="O20" i="1"/>
  <c r="E129" i="1"/>
  <c r="E62" i="1"/>
  <c r="E133" i="1"/>
  <c r="E86" i="1"/>
  <c r="E143" i="5"/>
  <c r="H9" i="4"/>
  <c r="H20" i="4" s="1"/>
  <c r="G133" i="1"/>
  <c r="I146" i="1"/>
  <c r="I148" i="1"/>
  <c r="I18" i="5"/>
  <c r="C20" i="5" s="1"/>
  <c r="C139" i="5" s="1"/>
  <c r="I39" i="5"/>
  <c r="F93" i="5"/>
  <c r="P5" i="4"/>
  <c r="D141" i="5"/>
  <c r="D139" i="5"/>
  <c r="D143" i="5"/>
  <c r="D28" i="4"/>
  <c r="F19" i="4"/>
  <c r="D29" i="4"/>
  <c r="D9" i="4"/>
  <c r="D51" i="4" s="1"/>
  <c r="D19" i="4"/>
  <c r="C21" i="4"/>
  <c r="F43" i="4"/>
  <c r="D43" i="4"/>
  <c r="C9" i="4"/>
  <c r="C19" i="4"/>
  <c r="C43" i="4"/>
  <c r="C28" i="4"/>
  <c r="C29" i="4"/>
  <c r="F144" i="1"/>
  <c r="E12" i="4"/>
  <c r="E51" i="4"/>
  <c r="E20" i="4"/>
  <c r="P20" i="1"/>
  <c r="P126" i="1"/>
  <c r="L36" i="4"/>
  <c r="G81" i="5"/>
  <c r="H86" i="1"/>
  <c r="H133" i="1"/>
  <c r="H149" i="1"/>
  <c r="H62" i="1"/>
  <c r="H129" i="1"/>
  <c r="G10" i="4"/>
  <c r="G18" i="1"/>
  <c r="I20" i="4" l="1"/>
  <c r="B53" i="4"/>
  <c r="E145" i="5"/>
  <c r="B46" i="4"/>
  <c r="F53" i="4"/>
  <c r="F40" i="4"/>
  <c r="F46" i="4" s="1"/>
  <c r="F14" i="4"/>
  <c r="F16" i="4" s="1"/>
  <c r="B48" i="4"/>
  <c r="B14" i="4"/>
  <c r="O146" i="1"/>
  <c r="O22" i="1"/>
  <c r="O25" i="1" s="1"/>
  <c r="O32" i="1" s="1"/>
  <c r="O34" i="1" s="1"/>
  <c r="N22" i="1"/>
  <c r="N25" i="1" s="1"/>
  <c r="N32" i="1" s="1"/>
  <c r="N34" i="1" s="1"/>
  <c r="N146" i="1"/>
  <c r="O145" i="1"/>
  <c r="O134" i="1"/>
  <c r="H12" i="4"/>
  <c r="H40" i="4" s="1"/>
  <c r="N145" i="1"/>
  <c r="N134" i="1"/>
  <c r="H51" i="4"/>
  <c r="E87" i="1"/>
  <c r="E18" i="1"/>
  <c r="E126" i="1" s="1"/>
  <c r="K28" i="4"/>
  <c r="K29" i="4"/>
  <c r="K19" i="4"/>
  <c r="D145" i="5"/>
  <c r="F139" i="5"/>
  <c r="H139" i="5" s="1"/>
  <c r="Q5" i="4"/>
  <c r="G93" i="5"/>
  <c r="D48" i="4"/>
  <c r="D20" i="4"/>
  <c r="C12" i="4"/>
  <c r="C20" i="4"/>
  <c r="C51" i="4"/>
  <c r="G126" i="1"/>
  <c r="G21" i="4"/>
  <c r="G12" i="4"/>
  <c r="H147" i="1"/>
  <c r="H148" i="1"/>
  <c r="H87" i="1"/>
  <c r="N36" i="4"/>
  <c r="N13" i="4" s="1"/>
  <c r="O36" i="4"/>
  <c r="O13" i="4" s="1"/>
  <c r="P36" i="4"/>
  <c r="P13" i="4" s="1"/>
  <c r="Q36" i="4"/>
  <c r="Q13" i="4" s="1"/>
  <c r="R36" i="4"/>
  <c r="R13" i="4" s="1"/>
  <c r="S36" i="4"/>
  <c r="S13" i="4" s="1"/>
  <c r="I21" i="4"/>
  <c r="I12" i="4"/>
  <c r="P134" i="1"/>
  <c r="P145" i="1"/>
  <c r="P22" i="1"/>
  <c r="P25" i="1" s="1"/>
  <c r="P32" i="1" s="1"/>
  <c r="P34" i="1" s="1"/>
  <c r="P146" i="1"/>
  <c r="E40" i="4"/>
  <c r="E53" i="4"/>
  <c r="E14" i="4"/>
  <c r="E48" i="4"/>
  <c r="D82" i="5" l="1"/>
  <c r="H14" i="4"/>
  <c r="H48" i="4"/>
  <c r="F47" i="4"/>
  <c r="F52" i="4"/>
  <c r="F22" i="4"/>
  <c r="B16" i="4"/>
  <c r="H53" i="4"/>
  <c r="E20" i="1"/>
  <c r="E148" i="1" s="1"/>
  <c r="D53" i="4"/>
  <c r="H93" i="5"/>
  <c r="R5" i="4"/>
  <c r="D14" i="4"/>
  <c r="D16" i="4" s="1"/>
  <c r="D40" i="4"/>
  <c r="D52" i="4" s="1"/>
  <c r="K20" i="4"/>
  <c r="C14" i="4"/>
  <c r="C48" i="4"/>
  <c r="C53" i="4"/>
  <c r="C40" i="4"/>
  <c r="H16" i="4"/>
  <c r="H22" i="4"/>
  <c r="H46" i="4"/>
  <c r="H47" i="4"/>
  <c r="H52" i="4"/>
  <c r="F146" i="1"/>
  <c r="F32" i="1"/>
  <c r="F34" i="1" s="1"/>
  <c r="F148" i="1"/>
  <c r="F145" i="1"/>
  <c r="F135" i="1"/>
  <c r="F134" i="1"/>
  <c r="E16" i="4"/>
  <c r="E22" i="4"/>
  <c r="E47" i="4"/>
  <c r="E52" i="4"/>
  <c r="E46" i="4"/>
  <c r="I48" i="4"/>
  <c r="I53" i="4"/>
  <c r="I14" i="4"/>
  <c r="I40" i="4"/>
  <c r="D101" i="5"/>
  <c r="D104" i="5" s="1"/>
  <c r="E135" i="1"/>
  <c r="E145" i="1"/>
  <c r="E134" i="1"/>
  <c r="G14" i="4"/>
  <c r="G53" i="4"/>
  <c r="G48" i="4"/>
  <c r="G40" i="4"/>
  <c r="G145" i="1"/>
  <c r="G134" i="1"/>
  <c r="G135" i="1"/>
  <c r="G146" i="1"/>
  <c r="G148" i="1"/>
  <c r="E81" i="5" l="1"/>
  <c r="H81" i="5" s="1"/>
  <c r="E80" i="5"/>
  <c r="H80" i="5" s="1"/>
  <c r="E82" i="5"/>
  <c r="G25" i="1"/>
  <c r="G32" i="1" s="1"/>
  <c r="G34" i="1" s="1"/>
  <c r="K39" i="5"/>
  <c r="E22" i="1"/>
  <c r="E25" i="1" s="1"/>
  <c r="E32" i="1" s="1"/>
  <c r="E34" i="1" s="1"/>
  <c r="E149" i="1" s="1"/>
  <c r="E146" i="1"/>
  <c r="D46" i="4"/>
  <c r="I93" i="5"/>
  <c r="S5" i="4"/>
  <c r="J93" i="5" s="1"/>
  <c r="D47" i="4"/>
  <c r="C16" i="4"/>
  <c r="C47" i="4"/>
  <c r="C46" i="4"/>
  <c r="C52" i="4"/>
  <c r="F147" i="1"/>
  <c r="F149" i="1"/>
  <c r="G47" i="4"/>
  <c r="G46" i="4"/>
  <c r="G52" i="4"/>
  <c r="G16" i="4"/>
  <c r="G22" i="4"/>
  <c r="I52" i="4"/>
  <c r="I46" i="4"/>
  <c r="I47" i="4"/>
  <c r="I16" i="4"/>
  <c r="I22" i="4"/>
  <c r="H82" i="5" l="1"/>
  <c r="G147" i="1"/>
  <c r="G149" i="1"/>
  <c r="E147" i="1"/>
  <c r="C110" i="5" l="1"/>
  <c r="C44" i="5"/>
  <c r="C141" i="5" s="1"/>
  <c r="F141" i="5" s="1"/>
  <c r="H141" i="5" s="1"/>
  <c r="O112" i="5" l="1"/>
  <c r="O113" i="5" l="1"/>
  <c r="O114" i="5" s="1"/>
  <c r="O111" i="5"/>
  <c r="O110" i="5" s="1"/>
  <c r="N7" i="4" l="1"/>
  <c r="O7" i="4" s="1"/>
  <c r="E95" i="5"/>
  <c r="E94" i="5" s="1"/>
  <c r="N43" i="4" l="1"/>
  <c r="N10" i="4"/>
  <c r="N26" i="4"/>
  <c r="N25" i="4"/>
  <c r="E97" i="5"/>
  <c r="F94" i="5"/>
  <c r="E102" i="5"/>
  <c r="E103" i="5"/>
  <c r="E99" i="5"/>
  <c r="O10" i="4"/>
  <c r="O25" i="4"/>
  <c r="O43" i="4"/>
  <c r="O26" i="4"/>
  <c r="O9" i="4"/>
  <c r="P7" i="4"/>
  <c r="N9" i="4"/>
  <c r="E100" i="5" l="1"/>
  <c r="E101" i="5" s="1"/>
  <c r="E104" i="5" s="1"/>
  <c r="E116" i="5" s="1"/>
  <c r="D121" i="5" s="1"/>
  <c r="N8" i="4"/>
  <c r="N12" i="4"/>
  <c r="N51" i="4"/>
  <c r="O51" i="4"/>
  <c r="O12" i="4"/>
  <c r="P43" i="4"/>
  <c r="P9" i="4"/>
  <c r="P8" i="4" s="1"/>
  <c r="P25" i="4"/>
  <c r="P10" i="4"/>
  <c r="P26" i="4"/>
  <c r="Q7" i="4"/>
  <c r="O8" i="4"/>
  <c r="O40" i="4"/>
  <c r="G94" i="5"/>
  <c r="F103" i="5"/>
  <c r="F102" i="5"/>
  <c r="F99" i="5"/>
  <c r="F97" i="5"/>
  <c r="E106" i="5" l="1"/>
  <c r="F100" i="5"/>
  <c r="F101" i="5" s="1"/>
  <c r="F104" i="5" s="1"/>
  <c r="F116" i="5" s="1"/>
  <c r="D122" i="5" s="1"/>
  <c r="O52" i="4"/>
  <c r="O47" i="4"/>
  <c r="O46" i="4"/>
  <c r="O48" i="4"/>
  <c r="O53" i="4"/>
  <c r="O14" i="4"/>
  <c r="Q9" i="4"/>
  <c r="Q8" i="4" s="1"/>
  <c r="Q26" i="4"/>
  <c r="Q43" i="4"/>
  <c r="Q10" i="4"/>
  <c r="R7" i="4"/>
  <c r="Q25" i="4"/>
  <c r="N14" i="4"/>
  <c r="N48" i="4"/>
  <c r="N53" i="4"/>
  <c r="N40" i="4"/>
  <c r="G103" i="5"/>
  <c r="G97" i="5"/>
  <c r="G99" i="5"/>
  <c r="H94" i="5"/>
  <c r="G102" i="5"/>
  <c r="P12" i="4"/>
  <c r="P40" i="4" s="1"/>
  <c r="P51" i="4"/>
  <c r="F106" i="5" l="1"/>
  <c r="G100" i="5"/>
  <c r="G106" i="5" s="1"/>
  <c r="P52" i="4"/>
  <c r="P47" i="4"/>
  <c r="P46" i="4"/>
  <c r="N15" i="4"/>
  <c r="N16" i="4" s="1"/>
  <c r="R25" i="4"/>
  <c r="R9" i="4"/>
  <c r="R8" i="4" s="1"/>
  <c r="R10" i="4"/>
  <c r="R26" i="4"/>
  <c r="R43" i="4"/>
  <c r="S7" i="4"/>
  <c r="Q51" i="4"/>
  <c r="Q12" i="4"/>
  <c r="Q40" i="4" s="1"/>
  <c r="O15" i="4"/>
  <c r="O16" i="4" s="1"/>
  <c r="P14" i="4"/>
  <c r="P53" i="4"/>
  <c r="P48" i="4"/>
  <c r="H97" i="5"/>
  <c r="I94" i="5"/>
  <c r="H102" i="5"/>
  <c r="H99" i="5"/>
  <c r="H103" i="5"/>
  <c r="N47" i="4"/>
  <c r="N52" i="4"/>
  <c r="N46" i="4"/>
  <c r="G101" i="5" l="1"/>
  <c r="G104" i="5" s="1"/>
  <c r="G116" i="5" s="1"/>
  <c r="D123" i="5" s="1"/>
  <c r="H100" i="5"/>
  <c r="H106" i="5" s="1"/>
  <c r="Q52" i="4"/>
  <c r="Q47" i="4"/>
  <c r="Q46" i="4"/>
  <c r="P15" i="4"/>
  <c r="P16" i="4" s="1"/>
  <c r="S43" i="4"/>
  <c r="S25" i="4"/>
  <c r="S26" i="4"/>
  <c r="S10" i="4"/>
  <c r="S9" i="4"/>
  <c r="R51" i="4"/>
  <c r="R12" i="4"/>
  <c r="J94" i="5"/>
  <c r="I103" i="5"/>
  <c r="I102" i="5"/>
  <c r="I99" i="5"/>
  <c r="I97" i="5"/>
  <c r="Q53" i="4"/>
  <c r="Q48" i="4"/>
  <c r="Q14" i="4"/>
  <c r="H101" i="5" l="1"/>
  <c r="H104" i="5" s="1"/>
  <c r="H116" i="5" s="1"/>
  <c r="D124" i="5" s="1"/>
  <c r="I100" i="5"/>
  <c r="I101" i="5" s="1"/>
  <c r="I104" i="5" s="1"/>
  <c r="J97" i="5"/>
  <c r="J103" i="5"/>
  <c r="J102" i="5"/>
  <c r="J99" i="5"/>
  <c r="S12" i="4"/>
  <c r="S51" i="4"/>
  <c r="S8" i="4"/>
  <c r="Q15" i="4"/>
  <c r="Q16" i="4" s="1"/>
  <c r="R48" i="4"/>
  <c r="R14" i="4"/>
  <c r="R53" i="4"/>
  <c r="R40" i="4"/>
  <c r="I106" i="5" l="1"/>
  <c r="I109" i="5" s="1"/>
  <c r="J100" i="5"/>
  <c r="J106" i="5" s="1"/>
  <c r="S53" i="4"/>
  <c r="S48" i="4"/>
  <c r="S14" i="4"/>
  <c r="S40" i="4"/>
  <c r="R15" i="4"/>
  <c r="R16" i="4" s="1"/>
  <c r="R47" i="4"/>
  <c r="R52" i="4"/>
  <c r="R46" i="4"/>
  <c r="J101" i="5" l="1"/>
  <c r="J104" i="5" s="1"/>
  <c r="I110" i="5" s="1"/>
  <c r="I111" i="5" s="1"/>
  <c r="I114" i="5" s="1"/>
  <c r="I116" i="5" s="1"/>
  <c r="D125" i="5" s="1"/>
  <c r="D126" i="5" s="1"/>
  <c r="D129" i="5" s="1"/>
  <c r="S52" i="4"/>
  <c r="S47" i="4"/>
  <c r="S46" i="4"/>
  <c r="S15" i="4"/>
  <c r="S16" i="4" s="1"/>
  <c r="D132" i="5" l="1"/>
  <c r="C143" i="5" s="1"/>
  <c r="C145" i="5" s="1"/>
  <c r="E132" i="5"/>
  <c r="O109" i="5" s="1"/>
  <c r="F143" i="5" l="1"/>
  <c r="H143" i="5" s="1"/>
  <c r="H146" i="5" s="1"/>
  <c r="F14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tc={8A39D902-30A4-46DE-B70D-C06332A6D793}</author>
    <author>Tashveen Kaur Anand</author>
  </authors>
  <commentList>
    <comment ref="B31" authorId="0" shapeId="0" xr:uid="{8A39D902-30A4-46DE-B70D-C06332A6D793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ADDED STM , AMD,BROADCOM,LATTICE,INTC,. PLEASE CORRECT THE NUMBERS FOR NVDA , TEXAS,ANALOG. WE NEED THEM IN THOUSANDS</t>
      </text>
    </comment>
    <comment ref="B32" authorId="1" shapeId="0" xr:uid="{DB8DF158-4420-4221-90D6-405C7EA88876}">
      <text>
        <r>
          <rPr>
            <b/>
            <sz val="9"/>
            <color indexed="81"/>
            <rFont val="Tahoma"/>
            <family val="2"/>
          </rPr>
          <t>Tashveen Kaur Anand:</t>
        </r>
        <r>
          <rPr>
            <sz val="9"/>
            <color indexed="81"/>
            <rFont val="Tahoma"/>
            <family val="2"/>
          </rPr>
          <t xml:space="preserve">
DONE TILL HERE WILL DO OTHERS
</t>
        </r>
      </text>
    </comment>
    <comment ref="K95" authorId="1" shapeId="0" xr:uid="{3EA488B3-523E-42F4-9AA9-4F6A4B7186A1}">
      <text>
        <r>
          <rPr>
            <b/>
            <sz val="9"/>
            <color indexed="81"/>
            <rFont val="Tahoma"/>
            <family val="2"/>
          </rPr>
          <t>Tashveen Kaur Anand:</t>
        </r>
        <r>
          <rPr>
            <sz val="9"/>
            <color indexed="81"/>
            <rFont val="Tahoma"/>
            <family val="2"/>
          </rPr>
          <t xml:space="preserve">
don’t know where this came from</t>
        </r>
      </text>
    </comment>
  </commentList>
</comments>
</file>

<file path=xl/sharedStrings.xml><?xml version="1.0" encoding="utf-8"?>
<sst xmlns="http://schemas.openxmlformats.org/spreadsheetml/2006/main" count="617" uniqueCount="352">
  <si>
    <t>YAHOO FINANCE IMPORT SECTION</t>
  </si>
  <si>
    <t>QUALCOMM Incorporated (QCOM)</t>
  </si>
  <si>
    <t>Stock Price =</t>
  </si>
  <si>
    <t xml:space="preserve"> </t>
  </si>
  <si>
    <t>INPUT FROM SEC DOCs</t>
  </si>
  <si>
    <t>ANNUAL INCOME INPUT SECTION</t>
  </si>
  <si>
    <t>QUARTERLY INCOME INPUT SECTION</t>
  </si>
  <si>
    <t>Period Ending</t>
  </si>
  <si>
    <t xml:space="preserve">Total Revenue </t>
  </si>
  <si>
    <t>Cost of Revenue</t>
  </si>
  <si>
    <t xml:space="preserve">Gross Profit </t>
  </si>
  <si>
    <t>Operating Expenses</t>
  </si>
  <si>
    <t>Research Development</t>
  </si>
  <si>
    <t>Selling General and Administrative</t>
  </si>
  <si>
    <t>Non Recurring</t>
  </si>
  <si>
    <t>Others</t>
  </si>
  <si>
    <t>Total Operating Expenses</t>
  </si>
  <si>
    <t xml:space="preserve">Operating Income or Loss </t>
  </si>
  <si>
    <t>Income from Continuing Operations</t>
  </si>
  <si>
    <t>Total Other Income/Expenses Net</t>
  </si>
  <si>
    <t>Earnings Before Interest And Taxes</t>
  </si>
  <si>
    <t>Interest Expense</t>
  </si>
  <si>
    <t>Income Before Tax</t>
  </si>
  <si>
    <t>Income Tax Expense</t>
  </si>
  <si>
    <t>Minority Interest</t>
  </si>
  <si>
    <t>Net Income From Continuing Ops</t>
  </si>
  <si>
    <t>Non-recurring Events</t>
  </si>
  <si>
    <t>Discontinued Operations</t>
  </si>
  <si>
    <t>Extraordinary Items</t>
  </si>
  <si>
    <t>Effect Of Accounting Changes</t>
  </si>
  <si>
    <t>Other Items</t>
  </si>
  <si>
    <t xml:space="preserve">Net Income </t>
  </si>
  <si>
    <t>Preferred Stock And Other Adjustments</t>
  </si>
  <si>
    <t xml:space="preserve">Net Income Applicable To Common Shares </t>
  </si>
  <si>
    <t>Sign Up for a Free Trial to EDGAR Online Premium!</t>
  </si>
  <si>
    <t>Get the critical business and financial information you need for more than 15,000 U.S. public companies.</t>
  </si>
  <si>
    <t>Sign Up Now - Learn More</t>
  </si>
  <si>
    <t>ANNUAL BALANCE SHEET INPUT SECTION</t>
  </si>
  <si>
    <t>Assets</t>
  </si>
  <si>
    <t>Current Assets</t>
  </si>
  <si>
    <t>Cash And Cash Equivalents</t>
  </si>
  <si>
    <t>Short Term Investments</t>
  </si>
  <si>
    <t>Net Receivables</t>
  </si>
  <si>
    <t>Inventory</t>
  </si>
  <si>
    <t>Other Current Assets</t>
  </si>
  <si>
    <t>Assets Held for current sale</t>
  </si>
  <si>
    <t xml:space="preserve">Total Current Assets </t>
  </si>
  <si>
    <t>Long Term Investments</t>
  </si>
  <si>
    <t>Property Plant and Equipment</t>
  </si>
  <si>
    <t>Goodwill</t>
  </si>
  <si>
    <t>Intangible Assets</t>
  </si>
  <si>
    <t>Accumulated Amortization</t>
  </si>
  <si>
    <t>Other Assets</t>
  </si>
  <si>
    <t>Deferred Long Term Asset Charges</t>
  </si>
  <si>
    <t xml:space="preserve">Total Assets </t>
  </si>
  <si>
    <t>Liabilities</t>
  </si>
  <si>
    <t>Current Liabilities</t>
  </si>
  <si>
    <t>Accounts Payable</t>
  </si>
  <si>
    <t>Short/Current Long Term Debt</t>
  </si>
  <si>
    <t>Other Current Liabilities</t>
  </si>
  <si>
    <t>current deffered liabilities</t>
  </si>
  <si>
    <t xml:space="preserve">Total Current Liabilities </t>
  </si>
  <si>
    <t>Long Term Debt</t>
  </si>
  <si>
    <t>Other Liabilities</t>
  </si>
  <si>
    <t>Deferred Long Term Liability Charges</t>
  </si>
  <si>
    <t>Trade and other payables non current</t>
  </si>
  <si>
    <t>Liabilities held for sale non current</t>
  </si>
  <si>
    <t xml:space="preserve">Total Liabilities </t>
  </si>
  <si>
    <t>Stockholders' Equity</t>
  </si>
  <si>
    <t>Misc Stocks Options Warrants</t>
  </si>
  <si>
    <t>Redeemable Preferred Stock</t>
  </si>
  <si>
    <t>Preferred Stock</t>
  </si>
  <si>
    <t>Common Stock</t>
  </si>
  <si>
    <t>Retained Earnings</t>
  </si>
  <si>
    <t>Treasury Stock</t>
  </si>
  <si>
    <t>Capital Surplus</t>
  </si>
  <si>
    <t>Other Stockholder Equity</t>
  </si>
  <si>
    <t xml:space="preserve">Total Stockholder Equity </t>
  </si>
  <si>
    <t xml:space="preserve">Net Tangible Assets </t>
  </si>
  <si>
    <t>ANNUAL CASH FLOW INPUT SECTION</t>
  </si>
  <si>
    <t>Operating Activities, Cash Flows Provided By or Used In</t>
  </si>
  <si>
    <t>Depreciation</t>
  </si>
  <si>
    <t>Adjustments To Net Income</t>
  </si>
  <si>
    <t>Changes In Accounts Receivables</t>
  </si>
  <si>
    <t>Changes In Liabilities</t>
  </si>
  <si>
    <t>Changes In Inventories</t>
  </si>
  <si>
    <t>Operating Gain Losses</t>
  </si>
  <si>
    <t>Deffered Tax</t>
  </si>
  <si>
    <t>Change in working capital</t>
  </si>
  <si>
    <t>Asset Impairment charge</t>
  </si>
  <si>
    <t>stock based compensation</t>
  </si>
  <si>
    <t>other non-cash items</t>
  </si>
  <si>
    <t>Cash from discontinued operating activities</t>
  </si>
  <si>
    <t xml:space="preserve">Total Cash Flow From Operating Activities </t>
  </si>
  <si>
    <t>Investing Activities, Cash Flows Provided By or Used In</t>
  </si>
  <si>
    <t>Capital Expenditures</t>
  </si>
  <si>
    <t>Net PPE</t>
  </si>
  <si>
    <t>Investments</t>
  </si>
  <si>
    <t>Net Business Purchase and Sale</t>
  </si>
  <si>
    <t>Other Cash flows from Investing Activities</t>
  </si>
  <si>
    <t>Cash from discontinued investing activities</t>
  </si>
  <si>
    <t xml:space="preserve">Total Cash Flows From Investing Activities </t>
  </si>
  <si>
    <t>Financing Activities, Cash Flows Provided By or Used In</t>
  </si>
  <si>
    <t>Dividends Paid</t>
  </si>
  <si>
    <t>Sale Purchase of Stock</t>
  </si>
  <si>
    <t>Net Borrowings</t>
  </si>
  <si>
    <t>Other Cash Flows from Financing Activities</t>
  </si>
  <si>
    <t>Cash from discontinued financing activities</t>
  </si>
  <si>
    <t xml:space="preserve">Total Cash Flows From Financing Activities </t>
  </si>
  <si>
    <t>Effect Of Exchange Rate Changes</t>
  </si>
  <si>
    <t xml:space="preserve">Change In Cash and Cash Equivalents </t>
  </si>
  <si>
    <t xml:space="preserve">QUALCOMM Incorporated (QCOM)
</t>
  </si>
  <si>
    <t>Historical Financial Analysis</t>
  </si>
  <si>
    <t>Income Statement</t>
  </si>
  <si>
    <t>A n n u a l</t>
  </si>
  <si>
    <t>Q u a r t e r l y</t>
  </si>
  <si>
    <t xml:space="preserve">LTM </t>
  </si>
  <si>
    <t>PERIOD ENDING</t>
  </si>
  <si>
    <t>Total Revenue</t>
  </si>
  <si>
    <t>Gross Profit</t>
  </si>
  <si>
    <t>Non Recurring - One time</t>
  </si>
  <si>
    <t>Operating Income or Loss</t>
  </si>
  <si>
    <t>Total Other Income/Expenses Net - One time</t>
  </si>
  <si>
    <t>Earnings Before Interest And Taxes (EBIT)</t>
  </si>
  <si>
    <t>Net Income</t>
  </si>
  <si>
    <t>Net Income Applicable To Common Shares</t>
  </si>
  <si>
    <t>End of Period Stock Price Close</t>
  </si>
  <si>
    <t xml:space="preserve">  % Change</t>
  </si>
  <si>
    <t>Balance Sheet</t>
  </si>
  <si>
    <t xml:space="preserve">-  </t>
  </si>
  <si>
    <t>Total Current Assets</t>
  </si>
  <si>
    <t>Total Assets</t>
  </si>
  <si>
    <t>Total Current Liabilities</t>
  </si>
  <si>
    <t>Negative Goodwill</t>
  </si>
  <si>
    <t>Total Liabilities</t>
  </si>
  <si>
    <t xml:space="preserve">Stockholders' Equity </t>
  </si>
  <si>
    <t>Total Stockholder Equity</t>
  </si>
  <si>
    <t>Total Liabilities &amp; Equity</t>
  </si>
  <si>
    <t>Error Check</t>
  </si>
  <si>
    <t>Cash Flow Statement</t>
  </si>
  <si>
    <t>th</t>
  </si>
  <si>
    <t>LTM</t>
  </si>
  <si>
    <t>Changes In Other Operating Activities</t>
  </si>
  <si>
    <t>Total Cash Flow From Operating Activities</t>
  </si>
  <si>
    <t>Other Cashflows from Investing Activities</t>
  </si>
  <si>
    <t>Total Cash Flows From Investing Activities</t>
  </si>
  <si>
    <t>Total Cash Flows From Financing Activities</t>
  </si>
  <si>
    <t>Ratio Analysis</t>
  </si>
  <si>
    <t>EBITDA (Operating Income + Depreciation+Non Rec. Exp)</t>
  </si>
  <si>
    <t>Liquidity Ratios</t>
  </si>
  <si>
    <t xml:space="preserve"> Current Ratio </t>
  </si>
  <si>
    <t xml:space="preserve"> Accounts Receivable Turnover</t>
  </si>
  <si>
    <t>Solvency Ratios</t>
  </si>
  <si>
    <t xml:space="preserve"> LTD / Total Capitalization</t>
  </si>
  <si>
    <t xml:space="preserve"> EBITDA / Interest (Interest Coverage)</t>
  </si>
  <si>
    <t xml:space="preserve"> LTD / EBITDA</t>
  </si>
  <si>
    <t>Activity Ratios</t>
  </si>
  <si>
    <t xml:space="preserve"> Inventory Ratio (Food)</t>
  </si>
  <si>
    <t xml:space="preserve"> Fixed Asset Turnover Ratio</t>
  </si>
  <si>
    <t xml:space="preserve"> Asset Turnover Ratio</t>
  </si>
  <si>
    <t xml:space="preserve"> Occupancy Rate</t>
  </si>
  <si>
    <t>Profitability Ratios</t>
  </si>
  <si>
    <t>Gross Margin</t>
  </si>
  <si>
    <t>EBITDA Margin</t>
  </si>
  <si>
    <t>EBIT Margin</t>
  </si>
  <si>
    <t>Return on Assets (ROA)</t>
  </si>
  <si>
    <t>Gross Return on Assets</t>
  </si>
  <si>
    <t>Return on Equity (ROE)</t>
  </si>
  <si>
    <t>Trend Analysis Ratios</t>
  </si>
  <si>
    <t>Revenue Growth</t>
  </si>
  <si>
    <t>REVPAR Growth</t>
  </si>
  <si>
    <t>Projected Financial Analysis</t>
  </si>
  <si>
    <t>Projections</t>
  </si>
  <si>
    <t>7-year 
Average</t>
  </si>
  <si>
    <t>Operating Assumpt.
Input</t>
  </si>
  <si>
    <t>EBIT</t>
  </si>
  <si>
    <t>ASSUMPTIONS QCOM</t>
  </si>
  <si>
    <t>EBT</t>
  </si>
  <si>
    <t>1) NEWS FLOWS</t>
  </si>
  <si>
    <t>2) APPLE LAWSUIT</t>
  </si>
  <si>
    <t>3) NEW DEVELOPEMNTS</t>
  </si>
  <si>
    <t xml:space="preserve">4) AUTOMOBILE </t>
  </si>
  <si>
    <t>Income Statement Assumptions</t>
  </si>
  <si>
    <t>5) AI IS TOO BLEAK NOW SINCE LAGGING A LOT</t>
  </si>
  <si>
    <t>Operating Exp as % of Revenue</t>
  </si>
  <si>
    <t>Tax as % of EBT</t>
  </si>
  <si>
    <t>Other Assumptions % of Revenue</t>
  </si>
  <si>
    <t>Capex</t>
  </si>
  <si>
    <t>Debt Schedule</t>
  </si>
  <si>
    <t>Short Term Debt</t>
  </si>
  <si>
    <t>Total Debt Outstanding</t>
  </si>
  <si>
    <t>Increase/Decease</t>
  </si>
  <si>
    <t>Interest Payment</t>
  </si>
  <si>
    <t>Previous Year's Outstanding / this year's interest Expense =</t>
  </si>
  <si>
    <t>Ratio Analysis - Assumptions</t>
  </si>
  <si>
    <t>EBITDA</t>
  </si>
  <si>
    <t>Trend Analysis</t>
  </si>
  <si>
    <t>Solvency Ratios (Leverage Management Ratios)</t>
  </si>
  <si>
    <t>Total Debt / EBITDA (Incl. CPLTD)</t>
  </si>
  <si>
    <t>EBITDA / Interest Coverage Ratio</t>
  </si>
  <si>
    <t>EBIT / Interest Coverage Ratio</t>
  </si>
  <si>
    <t>Gross Margin %</t>
  </si>
  <si>
    <t>EBITDA Margin %</t>
  </si>
  <si>
    <t>EBIT Margin %</t>
  </si>
  <si>
    <t>Valuation Analysis</t>
  </si>
  <si>
    <t>CORPORATE VALUATIONS - Public Companies</t>
  </si>
  <si>
    <t xml:space="preserve">METHOD #1 - Stock Price </t>
  </si>
  <si>
    <t>Calculations</t>
  </si>
  <si>
    <t>SP</t>
  </si>
  <si>
    <t>SO</t>
  </si>
  <si>
    <t>SP * SO = EQ</t>
  </si>
  <si>
    <t>D</t>
  </si>
  <si>
    <t>C</t>
  </si>
  <si>
    <t>EQ + D - C = EV</t>
  </si>
  <si>
    <t>Company</t>
  </si>
  <si>
    <t>Symbol</t>
  </si>
  <si>
    <t>Stock Price 
(as of 11/16/2023)</t>
  </si>
  <si>
    <t>Stocks Outstanding ($000)</t>
  </si>
  <si>
    <t>Equity Value
 ($000)</t>
  </si>
  <si>
    <t>Debt (ST&amp;LT)
($000)</t>
  </si>
  <si>
    <t>Cash
 ($000)</t>
  </si>
  <si>
    <t>Enterprise Value 
($000)</t>
  </si>
  <si>
    <t>Choice Hotels International</t>
  </si>
  <si>
    <t>CHH</t>
  </si>
  <si>
    <t>Fairmont Hotels &amp; Resorts</t>
  </si>
  <si>
    <t>FHR</t>
  </si>
  <si>
    <t>Hilton Hotels</t>
  </si>
  <si>
    <t>HLT</t>
  </si>
  <si>
    <t>John Q. Hammons Hotels</t>
  </si>
  <si>
    <t>JQH</t>
  </si>
  <si>
    <t>La-Quinta Corp</t>
  </si>
  <si>
    <t>LQI</t>
  </si>
  <si>
    <t>Marcus Corporation</t>
  </si>
  <si>
    <t>MCS</t>
  </si>
  <si>
    <t>Marriott International</t>
  </si>
  <si>
    <t>MAR</t>
  </si>
  <si>
    <t>Orient Express Hotels Ltd</t>
  </si>
  <si>
    <t>OEH</t>
  </si>
  <si>
    <t>QCOM</t>
  </si>
  <si>
    <t>Qcom's EV</t>
  </si>
  <si>
    <t xml:space="preserve">METHOD #2 - EBITDA Multiples </t>
  </si>
  <si>
    <t>E</t>
  </si>
  <si>
    <t>EV / E</t>
  </si>
  <si>
    <t>EBITDA 
($000)</t>
  </si>
  <si>
    <t>EBITDA Multiple</t>
  </si>
  <si>
    <t>Beta</t>
  </si>
  <si>
    <t>NVIDIA Corp</t>
  </si>
  <si>
    <t>NVDA</t>
  </si>
  <si>
    <t>1.69x</t>
  </si>
  <si>
    <t>Texas Instruments Inc</t>
  </si>
  <si>
    <t>TXN</t>
  </si>
  <si>
    <t>STMicroelectronics</t>
  </si>
  <si>
    <t>STM</t>
  </si>
  <si>
    <t xml:space="preserve"> Analog Devices Inc</t>
  </si>
  <si>
    <t>ADI</t>
  </si>
  <si>
    <t>Advanced Micro Devices</t>
  </si>
  <si>
    <t>AMD</t>
  </si>
  <si>
    <t xml:space="preserve">Broadcom </t>
  </si>
  <si>
    <t>AVGO</t>
  </si>
  <si>
    <t xml:space="preserve">Intel Corporation </t>
  </si>
  <si>
    <t>INTC</t>
  </si>
  <si>
    <t>Lattice</t>
  </si>
  <si>
    <t>LSCC</t>
  </si>
  <si>
    <t>Taiwan Semicondictor (REVIEW)</t>
  </si>
  <si>
    <t>TSM</t>
  </si>
  <si>
    <t>Average</t>
  </si>
  <si>
    <t>EBITDA * Average Multiple</t>
  </si>
  <si>
    <t>Excl. Outlier</t>
  </si>
  <si>
    <t xml:space="preserve"> (taken out the high and low)</t>
  </si>
  <si>
    <t>METHOD #4 - Discount Cash Flow Valuation Analysis</t>
  </si>
  <si>
    <t>Calculating WACC</t>
  </si>
  <si>
    <t>Amount</t>
  </si>
  <si>
    <t xml:space="preserve"> % Cap</t>
  </si>
  <si>
    <t>Return/Inter</t>
  </si>
  <si>
    <t>After Tax</t>
  </si>
  <si>
    <t xml:space="preserve"> WACC</t>
  </si>
  <si>
    <t>Market Value of Equity (Trading)</t>
  </si>
  <si>
    <t>CAPM: ER=RFR+beta*(ERM-RFR)</t>
  </si>
  <si>
    <t>Total Debt</t>
  </si>
  <si>
    <t xml:space="preserve">  Total Capital</t>
  </si>
  <si>
    <t>5-year Treasury Note =</t>
  </si>
  <si>
    <t>Company Beta =</t>
  </si>
  <si>
    <t>Historical Tax Rate =</t>
  </si>
  <si>
    <t xml:space="preserve">  year (n) =</t>
  </si>
  <si>
    <t>Discout Cash Flow Valuation Analysis</t>
  </si>
  <si>
    <t>Projected</t>
  </si>
  <si>
    <t>Input Actual</t>
  </si>
  <si>
    <t>EXIT YEAR</t>
  </si>
  <si>
    <t>Assumptions</t>
  </si>
  <si>
    <t>Revenues</t>
  </si>
  <si>
    <t xml:space="preserve">  Revenue Growth Assumptions</t>
  </si>
  <si>
    <t>Cost of Revenues (CoGS)</t>
  </si>
  <si>
    <t xml:space="preserve"> EBIT</t>
  </si>
  <si>
    <t>Less Taxes / % of EBIT</t>
  </si>
  <si>
    <t>Plus Depreciation</t>
  </si>
  <si>
    <t xml:space="preserve">Less Capex </t>
  </si>
  <si>
    <t>F Cash Flow</t>
  </si>
  <si>
    <t>Terminal Value</t>
  </si>
  <si>
    <t>Growth Rate (Revenue)</t>
  </si>
  <si>
    <t xml:space="preserve">  EBITDA Multiple Method</t>
  </si>
  <si>
    <t>(EBITDA x Market EBITDA Multiple)</t>
  </si>
  <si>
    <t xml:space="preserve">  Perpetuity Method </t>
  </si>
  <si>
    <t>Next Yr Cash Flow / (WACC - Next Yr Rev Growth)</t>
  </si>
  <si>
    <t>Discount Rate</t>
  </si>
  <si>
    <t>WACC</t>
  </si>
  <si>
    <t>Less Debt Outstanding (at Exit)</t>
  </si>
  <si>
    <t xml:space="preserve">        (75% of orginal Debt)</t>
  </si>
  <si>
    <t>Plus Cash (at Exit)</t>
  </si>
  <si>
    <t>Equity Value at Terminal</t>
  </si>
  <si>
    <t>Equity Cash Flows</t>
  </si>
  <si>
    <t>x</t>
  </si>
  <si>
    <t>PV Table</t>
  </si>
  <si>
    <t>or ( 1 / [ ( 1 + i ) ^ n ]</t>
  </si>
  <si>
    <t>=</t>
  </si>
  <si>
    <t>PV (1) =</t>
  </si>
  <si>
    <t>PV (2) =</t>
  </si>
  <si>
    <t>PV (3) =</t>
  </si>
  <si>
    <t>PV (4) =</t>
  </si>
  <si>
    <t>PV (5) =</t>
  </si>
  <si>
    <t>PV=</t>
  </si>
  <si>
    <t>at Discount Rate using Average of Purchase Multiple and Perpetuity Method</t>
  </si>
  <si>
    <t>Enteprise Value =</t>
  </si>
  <si>
    <t>PV of Equity + PV of Debt</t>
  </si>
  <si>
    <t xml:space="preserve">PV of Equity = </t>
  </si>
  <si>
    <t xml:space="preserve">+ PV of Debt = </t>
  </si>
  <si>
    <t xml:space="preserve">- Less Cash  = </t>
  </si>
  <si>
    <t>Stock Price</t>
  </si>
  <si>
    <t>ENTEPRISE VALUATION ANALYSIS</t>
  </si>
  <si>
    <t>EV</t>
  </si>
  <si>
    <t>Debt</t>
  </si>
  <si>
    <t>Cash</t>
  </si>
  <si>
    <t>Eq Value</t>
  </si>
  <si>
    <t>Shares Outs</t>
  </si>
  <si>
    <t>Method #1 - Current Market Price</t>
  </si>
  <si>
    <t>Method #2</t>
  </si>
  <si>
    <t>Method #4</t>
  </si>
  <si>
    <t xml:space="preserve">  Avg of other methods</t>
  </si>
  <si>
    <t>Debt / Equity Ratio</t>
  </si>
  <si>
    <t>Historical Industry Premium =</t>
  </si>
  <si>
    <t>SENSITIVITY ANALYSIS</t>
  </si>
  <si>
    <t>1)Assumptions</t>
  </si>
  <si>
    <t>Average was 12.92%, however we took a sustainable rate of 3% QoQ and grew them steadily from 5% to 8 % for 5 years</t>
  </si>
  <si>
    <t xml:space="preserve">Gross Margin Growth </t>
  </si>
  <si>
    <t xml:space="preserve">Average was 58.75% , we have taken the gross margin growth as 51.25% because the growth rate was decresing n the past 2 years </t>
  </si>
  <si>
    <t>COGS Growth</t>
  </si>
  <si>
    <t>48.8% , Calculated on behalf of gross margin growth</t>
  </si>
  <si>
    <t xml:space="preserve">Operating Expense </t>
  </si>
  <si>
    <t>Stick to 30% the historical average of 34%</t>
  </si>
  <si>
    <t>Increased to 6% as we believe Qcom needs to start upgrading its current technology to compete</t>
  </si>
  <si>
    <t>4% , historical average was around 5%</t>
  </si>
  <si>
    <t>Divyaraj Parihar</t>
  </si>
  <si>
    <t>Tashveen Kaur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</si>
</sst>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\x"/>
    <numFmt numFmtId="166" formatCode="0.0%"/>
    <numFmt numFmtId="167" formatCode="0.000%"/>
    <numFmt numFmtId="168" formatCode="_(* #,##0.000_);_(* \(#,##0.000\);_(* &quot;-&quot;??_);_(@_)"/>
    <numFmt numFmtId="169" formatCode="0.0\x"/>
    <numFmt numFmtId="170" formatCode="_(* #,##0.0000000_);_(* \(#,##0.0000000\);_(* &quot;-&quot;??_);_(@_)"/>
    <numFmt numFmtId="171" formatCode="0.00000\x"/>
  </numFmts>
  <fonts count="50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7.9"/>
      <name val="Arial"/>
      <family val="2"/>
    </font>
    <font>
      <b/>
      <sz val="7.9"/>
      <name val="Arial"/>
      <family val="2"/>
    </font>
    <font>
      <sz val="8"/>
      <name val="Times New Roman"/>
      <family val="1"/>
    </font>
    <font>
      <b/>
      <sz val="8.1"/>
      <name val="Verdana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u val="singleAccounting"/>
      <sz val="10"/>
      <name val="Arial"/>
      <family val="2"/>
    </font>
    <font>
      <b/>
      <u val="singleAccounting"/>
      <sz val="8"/>
      <name val="Arial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b/>
      <sz val="10"/>
      <color indexed="48"/>
      <name val="Arial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i/>
      <sz val="8"/>
      <name val="Arial"/>
      <family val="2"/>
    </font>
    <font>
      <sz val="9"/>
      <color indexed="10"/>
      <name val="Arial"/>
      <family val="2"/>
    </font>
    <font>
      <b/>
      <sz val="28"/>
      <name val="Arial"/>
      <family val="2"/>
    </font>
    <font>
      <b/>
      <sz val="8"/>
      <color indexed="12"/>
      <name val="Arial"/>
      <family val="2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8"/>
      <color theme="4"/>
      <name val="Arial"/>
      <family val="2"/>
    </font>
    <font>
      <sz val="10"/>
      <color rgb="FF232A31"/>
      <name val="Yahoo Sans Finance"/>
      <charset val="1"/>
    </font>
    <font>
      <b/>
      <u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9"/>
      <color rgb="FF232A31"/>
      <name val="Yahoo Sans Finance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imes New Roman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232A3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5" fontId="4" fillId="2" borderId="1" xfId="1" applyNumberFormat="1" applyFont="1" applyFill="1" applyBorder="1" applyAlignment="1">
      <alignment horizontal="right" wrapText="1"/>
    </xf>
    <xf numFmtId="43" fontId="5" fillId="0" borderId="0" xfId="1" applyFont="1"/>
    <xf numFmtId="15" fontId="4" fillId="2" borderId="2" xfId="0" applyNumberFormat="1" applyFont="1" applyFill="1" applyBorder="1" applyAlignment="1">
      <alignment horizontal="right" wrapText="1"/>
    </xf>
    <xf numFmtId="15" fontId="4" fillId="2" borderId="1" xfId="0" applyNumberFormat="1" applyFont="1" applyFill="1" applyBorder="1" applyAlignment="1">
      <alignment horizontal="right" wrapText="1"/>
    </xf>
    <xf numFmtId="15" fontId="4" fillId="2" borderId="3" xfId="0" applyNumberFormat="1" applyFont="1" applyFill="1" applyBorder="1" applyAlignment="1">
      <alignment horizontal="right" wrapText="1"/>
    </xf>
    <xf numFmtId="0" fontId="5" fillId="0" borderId="0" xfId="0" applyFont="1"/>
    <xf numFmtId="164" fontId="4" fillId="0" borderId="4" xfId="1" applyNumberFormat="1" applyFont="1" applyBorder="1" applyAlignment="1">
      <alignment wrapText="1"/>
    </xf>
    <xf numFmtId="164" fontId="4" fillId="0" borderId="0" xfId="1" applyNumberFormat="1" applyFont="1" applyAlignment="1">
      <alignment horizontal="right" wrapText="1"/>
    </xf>
    <xf numFmtId="164" fontId="5" fillId="0" borderId="0" xfId="1" applyNumberFormat="1" applyFont="1"/>
    <xf numFmtId="164" fontId="5" fillId="0" borderId="5" xfId="1" applyNumberFormat="1" applyFont="1" applyBorder="1" applyAlignment="1">
      <alignment wrapText="1"/>
    </xf>
    <xf numFmtId="164" fontId="5" fillId="0" borderId="6" xfId="1" applyNumberFormat="1" applyFont="1" applyBorder="1" applyAlignment="1">
      <alignment horizontal="right" wrapText="1"/>
    </xf>
    <xf numFmtId="164" fontId="4" fillId="0" borderId="4" xfId="1" applyNumberFormat="1" applyFont="1" applyBorder="1" applyAlignment="1">
      <alignment horizontal="right" wrapText="1"/>
    </xf>
    <xf numFmtId="164" fontId="5" fillId="0" borderId="0" xfId="1" applyNumberFormat="1" applyFont="1" applyAlignment="1"/>
    <xf numFmtId="164" fontId="5" fillId="0" borderId="4" xfId="1" applyNumberFormat="1" applyFont="1" applyBorder="1" applyAlignment="1"/>
    <xf numFmtId="164" fontId="4" fillId="0" borderId="0" xfId="1" applyNumberFormat="1" applyFont="1" applyAlignment="1"/>
    <xf numFmtId="164" fontId="4" fillId="0" borderId="4" xfId="1" applyNumberFormat="1" applyFont="1" applyBorder="1" applyAlignment="1"/>
    <xf numFmtId="164" fontId="5" fillId="0" borderId="4" xfId="1" applyNumberFormat="1" applyFont="1" applyBorder="1" applyAlignment="1">
      <alignment wrapText="1"/>
    </xf>
    <xf numFmtId="164" fontId="5" fillId="0" borderId="0" xfId="1" applyNumberFormat="1" applyFont="1" applyAlignment="1">
      <alignment horizontal="right" wrapText="1"/>
    </xf>
    <xf numFmtId="164" fontId="5" fillId="0" borderId="0" xfId="1" applyNumberFormat="1" applyFont="1" applyAlignment="1">
      <alignment horizontal="right"/>
    </xf>
    <xf numFmtId="164" fontId="5" fillId="0" borderId="4" xfId="1" applyNumberFormat="1" applyFont="1" applyBorder="1" applyAlignment="1">
      <alignment horizontal="right" wrapText="1"/>
    </xf>
    <xf numFmtId="164" fontId="5" fillId="0" borderId="6" xfId="1" applyNumberFormat="1" applyFont="1" applyBorder="1" applyAlignment="1">
      <alignment horizontal="right"/>
    </xf>
    <xf numFmtId="164" fontId="4" fillId="0" borderId="7" xfId="1" applyNumberFormat="1" applyFont="1" applyBorder="1" applyAlignment="1">
      <alignment horizontal="right" wrapText="1"/>
    </xf>
    <xf numFmtId="164" fontId="4" fillId="0" borderId="0" xfId="1" applyNumberFormat="1" applyFont="1" applyBorder="1" applyAlignment="1">
      <alignment horizontal="right" wrapText="1"/>
    </xf>
    <xf numFmtId="0" fontId="4" fillId="2" borderId="2" xfId="0" applyFont="1" applyFill="1" applyBorder="1"/>
    <xf numFmtId="0" fontId="4" fillId="2" borderId="1" xfId="0" applyFont="1" applyFill="1" applyBorder="1"/>
    <xf numFmtId="15" fontId="4" fillId="2" borderId="8" xfId="0" applyNumberFormat="1" applyFont="1" applyFill="1" applyBorder="1" applyAlignment="1">
      <alignment horizontal="right"/>
    </xf>
    <xf numFmtId="15" fontId="4" fillId="2" borderId="1" xfId="0" applyNumberFormat="1" applyFont="1" applyFill="1" applyBorder="1" applyAlignment="1">
      <alignment horizontal="right"/>
    </xf>
    <xf numFmtId="15" fontId="4" fillId="2" borderId="3" xfId="0" applyNumberFormat="1" applyFont="1" applyFill="1" applyBorder="1" applyAlignment="1">
      <alignment horizontal="right"/>
    </xf>
    <xf numFmtId="43" fontId="6" fillId="0" borderId="0" xfId="1" applyFont="1" applyBorder="1" applyAlignment="1"/>
    <xf numFmtId="43" fontId="4" fillId="0" borderId="0" xfId="1" applyFont="1" applyAlignment="1"/>
    <xf numFmtId="43" fontId="4" fillId="0" borderId="4" xfId="1" applyFont="1" applyBorder="1" applyAlignment="1"/>
    <xf numFmtId="43" fontId="6" fillId="0" borderId="0" xfId="1" applyFont="1" applyBorder="1" applyAlignment="1">
      <alignment horizontal="right"/>
    </xf>
    <xf numFmtId="43" fontId="5" fillId="0" borderId="0" xfId="1" applyFont="1" applyAlignment="1"/>
    <xf numFmtId="43" fontId="5" fillId="0" borderId="4" xfId="1" applyFont="1" applyBorder="1" applyAlignment="1"/>
    <xf numFmtId="43" fontId="7" fillId="0" borderId="0" xfId="1" applyFont="1" applyBorder="1" applyAlignment="1"/>
    <xf numFmtId="43" fontId="7" fillId="0" borderId="0" xfId="1" applyFont="1" applyBorder="1" applyAlignment="1">
      <alignment horizontal="right"/>
    </xf>
    <xf numFmtId="164" fontId="5" fillId="0" borderId="5" xfId="1" applyNumberFormat="1" applyFont="1" applyBorder="1" applyAlignment="1"/>
    <xf numFmtId="164" fontId="4" fillId="0" borderId="4" xfId="1" applyNumberFormat="1" applyFont="1" applyBorder="1" applyAlignment="1">
      <alignment horizontal="right"/>
    </xf>
    <xf numFmtId="164" fontId="4" fillId="0" borderId="0" xfId="1" applyNumberFormat="1" applyFont="1" applyAlignment="1">
      <alignment horizontal="right"/>
    </xf>
    <xf numFmtId="164" fontId="4" fillId="0" borderId="9" xfId="1" applyNumberFormat="1" applyFont="1" applyBorder="1" applyAlignment="1">
      <alignment horizontal="right"/>
    </xf>
    <xf numFmtId="164" fontId="4" fillId="0" borderId="7" xfId="1" applyNumberFormat="1" applyFont="1" applyBorder="1" applyAlignment="1">
      <alignment horizontal="right"/>
    </xf>
    <xf numFmtId="0" fontId="8" fillId="0" borderId="0" xfId="0" applyFont="1"/>
    <xf numFmtId="164" fontId="8" fillId="0" borderId="10" xfId="0" applyNumberFormat="1" applyFont="1" applyBorder="1"/>
    <xf numFmtId="164" fontId="8" fillId="0" borderId="0" xfId="0" applyNumberFormat="1" applyFont="1"/>
    <xf numFmtId="15" fontId="4" fillId="2" borderId="2" xfId="0" applyNumberFormat="1" applyFont="1" applyFill="1" applyBorder="1" applyAlignment="1">
      <alignment horizontal="right"/>
    </xf>
    <xf numFmtId="43" fontId="0" fillId="0" borderId="0" xfId="1" applyFont="1" applyAlignment="1"/>
    <xf numFmtId="0" fontId="0" fillId="0" borderId="4" xfId="0" applyBorder="1"/>
    <xf numFmtId="0" fontId="5" fillId="0" borderId="4" xfId="0" applyFont="1" applyBorder="1"/>
    <xf numFmtId="165" fontId="5" fillId="0" borderId="4" xfId="1" applyNumberFormat="1" applyFont="1" applyBorder="1" applyAlignment="1"/>
    <xf numFmtId="165" fontId="5" fillId="0" borderId="0" xfId="1" applyNumberFormat="1" applyFont="1" applyAlignment="1"/>
    <xf numFmtId="166" fontId="5" fillId="0" borderId="4" xfId="3" applyNumberFormat="1" applyFont="1" applyBorder="1" applyAlignment="1"/>
    <xf numFmtId="166" fontId="5" fillId="0" borderId="0" xfId="3" applyNumberFormat="1" applyFont="1" applyAlignment="1"/>
    <xf numFmtId="43" fontId="0" fillId="0" borderId="0" xfId="1" applyFont="1"/>
    <xf numFmtId="41" fontId="5" fillId="0" borderId="0" xfId="1" applyNumberFormat="1" applyFont="1" applyAlignment="1"/>
    <xf numFmtId="0" fontId="5" fillId="0" borderId="10" xfId="0" applyFont="1" applyBorder="1"/>
    <xf numFmtId="0" fontId="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0" borderId="0" xfId="0" applyFont="1" applyAlignment="1">
      <alignment wrapText="1"/>
    </xf>
    <xf numFmtId="43" fontId="5" fillId="0" borderId="0" xfId="1" applyFont="1" applyBorder="1" applyAlignment="1"/>
    <xf numFmtId="164" fontId="5" fillId="0" borderId="6" xfId="1" applyNumberFormat="1" applyFont="1" applyBorder="1" applyAlignment="1"/>
    <xf numFmtId="166" fontId="5" fillId="0" borderId="0" xfId="3" applyNumberFormat="1" applyFont="1" applyBorder="1" applyAlignment="1"/>
    <xf numFmtId="3" fontId="4" fillId="0" borderId="0" xfId="0" applyNumberFormat="1" applyFont="1" applyAlignment="1">
      <alignment horizontal="right"/>
    </xf>
    <xf numFmtId="164" fontId="5" fillId="0" borderId="0" xfId="1" applyNumberFormat="1" applyFont="1" applyBorder="1" applyAlignment="1">
      <alignment horizontal="right"/>
    </xf>
    <xf numFmtId="6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3" fontId="0" fillId="0" borderId="0" xfId="0" applyNumberFormat="1"/>
    <xf numFmtId="3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10" fillId="0" borderId="0" xfId="0" applyFont="1"/>
    <xf numFmtId="15" fontId="4" fillId="2" borderId="8" xfId="1" quotePrefix="1" applyNumberFormat="1" applyFont="1" applyFill="1" applyBorder="1" applyAlignment="1">
      <alignment horizontal="center" wrapText="1"/>
    </xf>
    <xf numFmtId="15" fontId="4" fillId="2" borderId="8" xfId="0" applyNumberFormat="1" applyFont="1" applyFill="1" applyBorder="1"/>
    <xf numFmtId="0" fontId="11" fillId="0" borderId="0" xfId="0" applyFont="1"/>
    <xf numFmtId="0" fontId="12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15" fontId="3" fillId="2" borderId="18" xfId="0" applyNumberFormat="1" applyFont="1" applyFill="1" applyBorder="1"/>
    <xf numFmtId="0" fontId="3" fillId="0" borderId="0" xfId="0" applyFont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15" fontId="3" fillId="0" borderId="4" xfId="0" applyNumberFormat="1" applyFont="1" applyBorder="1" applyAlignment="1">
      <alignment horizontal="right" wrapText="1"/>
    </xf>
    <xf numFmtId="0" fontId="15" fillId="0" borderId="12" xfId="0" applyFont="1" applyBorder="1"/>
    <xf numFmtId="15" fontId="16" fillId="0" borderId="19" xfId="0" applyNumberFormat="1" applyFont="1" applyBorder="1" applyAlignment="1">
      <alignment horizontal="right" wrapText="1"/>
    </xf>
    <xf numFmtId="15" fontId="3" fillId="0" borderId="0" xfId="0" applyNumberFormat="1" applyFont="1" applyAlignment="1">
      <alignment horizontal="right" wrapText="1"/>
    </xf>
    <xf numFmtId="0" fontId="1" fillId="0" borderId="0" xfId="0" applyFont="1"/>
    <xf numFmtId="164" fontId="3" fillId="0" borderId="0" xfId="1" applyNumberFormat="1" applyFont="1" applyAlignment="1">
      <alignment wrapText="1"/>
    </xf>
    <xf numFmtId="164" fontId="16" fillId="0" borderId="0" xfId="1" applyNumberFormat="1" applyFont="1" applyAlignment="1">
      <alignment wrapText="1"/>
    </xf>
    <xf numFmtId="164" fontId="16" fillId="0" borderId="4" xfId="1" applyNumberFormat="1" applyFont="1" applyBorder="1" applyAlignment="1">
      <alignment horizontal="right" wrapText="1"/>
    </xf>
    <xf numFmtId="0" fontId="15" fillId="0" borderId="14" xfId="0" applyFont="1" applyBorder="1"/>
    <xf numFmtId="164" fontId="16" fillId="0" borderId="15" xfId="1" applyNumberFormat="1" applyFont="1" applyBorder="1" applyAlignment="1">
      <alignment horizontal="right" wrapText="1"/>
    </xf>
    <xf numFmtId="164" fontId="3" fillId="0" borderId="0" xfId="1" applyNumberFormat="1" applyFont="1" applyAlignment="1">
      <alignment horizontal="right" wrapText="1"/>
    </xf>
    <xf numFmtId="164" fontId="16" fillId="0" borderId="0" xfId="1" applyNumberFormat="1" applyFont="1" applyAlignment="1">
      <alignment horizontal="right" wrapText="1"/>
    </xf>
    <xf numFmtId="164" fontId="15" fillId="0" borderId="6" xfId="1" applyNumberFormat="1" applyFont="1" applyBorder="1" applyAlignment="1">
      <alignment wrapText="1"/>
    </xf>
    <xf numFmtId="164" fontId="15" fillId="0" borderId="5" xfId="1" applyNumberFormat="1" applyFont="1" applyBorder="1" applyAlignment="1">
      <alignment horizontal="right" wrapText="1"/>
    </xf>
    <xf numFmtId="164" fontId="15" fillId="0" borderId="15" xfId="1" applyNumberFormat="1" applyFont="1" applyBorder="1" applyAlignment="1">
      <alignment horizontal="right" wrapText="1"/>
    </xf>
    <xf numFmtId="164" fontId="15" fillId="0" borderId="6" xfId="1" applyNumberFormat="1" applyFont="1" applyBorder="1" applyAlignment="1">
      <alignment horizontal="right" wrapText="1"/>
    </xf>
    <xf numFmtId="164" fontId="15" fillId="0" borderId="0" xfId="1" applyNumberFormat="1" applyFont="1" applyAlignment="1">
      <alignment wrapText="1"/>
    </xf>
    <xf numFmtId="164" fontId="15" fillId="0" borderId="4" xfId="1" applyNumberFormat="1" applyFont="1" applyBorder="1" applyAlignment="1">
      <alignment wrapText="1"/>
    </xf>
    <xf numFmtId="164" fontId="15" fillId="0" borderId="15" xfId="1" applyNumberFormat="1" applyFont="1" applyBorder="1" applyAlignment="1">
      <alignment wrapText="1"/>
    </xf>
    <xf numFmtId="164" fontId="15" fillId="0" borderId="0" xfId="1" applyNumberFormat="1" applyFont="1" applyAlignment="1">
      <alignment horizontal="right" wrapText="1"/>
    </xf>
    <xf numFmtId="164" fontId="15" fillId="0" borderId="4" xfId="1" applyNumberFormat="1" applyFont="1" applyBorder="1" applyAlignment="1">
      <alignment horizontal="right" wrapText="1"/>
    </xf>
    <xf numFmtId="164" fontId="15" fillId="0" borderId="14" xfId="1" applyNumberFormat="1" applyFont="1" applyBorder="1" applyAlignment="1">
      <alignment horizontal="right" wrapText="1"/>
    </xf>
    <xf numFmtId="164" fontId="17" fillId="0" borderId="14" xfId="1" applyNumberFormat="1" applyFont="1" applyBorder="1" applyAlignment="1">
      <alignment horizontal="right" wrapText="1"/>
    </xf>
    <xf numFmtId="164" fontId="15" fillId="0" borderId="14" xfId="1" applyNumberFormat="1" applyFont="1" applyBorder="1" applyAlignment="1">
      <alignment wrapText="1"/>
    </xf>
    <xf numFmtId="164" fontId="18" fillId="0" borderId="0" xfId="1" applyNumberFormat="1" applyFont="1" applyAlignment="1">
      <alignment wrapText="1"/>
    </xf>
    <xf numFmtId="164" fontId="19" fillId="0" borderId="0" xfId="1" applyNumberFormat="1" applyFont="1" applyAlignment="1">
      <alignment wrapText="1"/>
    </xf>
    <xf numFmtId="10" fontId="15" fillId="0" borderId="4" xfId="3" applyNumberFormat="1" applyFont="1" applyBorder="1" applyAlignment="1">
      <alignment wrapText="1"/>
    </xf>
    <xf numFmtId="10" fontId="15" fillId="0" borderId="14" xfId="3" applyNumberFormat="1" applyFont="1" applyBorder="1" applyAlignment="1">
      <alignment wrapText="1"/>
    </xf>
    <xf numFmtId="10" fontId="15" fillId="0" borderId="15" xfId="3" applyNumberFormat="1" applyFont="1" applyBorder="1"/>
    <xf numFmtId="10" fontId="1" fillId="0" borderId="0" xfId="3" applyNumberFormat="1" applyFont="1"/>
    <xf numFmtId="10" fontId="15" fillId="0" borderId="0" xfId="3" applyNumberFormat="1" applyFont="1" applyAlignment="1">
      <alignment wrapText="1"/>
    </xf>
    <xf numFmtId="10" fontId="15" fillId="0" borderId="4" xfId="3" applyNumberFormat="1" applyFont="1" applyBorder="1" applyAlignment="1">
      <alignment horizontal="right" wrapText="1"/>
    </xf>
    <xf numFmtId="10" fontId="15" fillId="0" borderId="14" xfId="3" applyNumberFormat="1" applyFont="1" applyBorder="1" applyAlignment="1">
      <alignment horizontal="right" wrapText="1"/>
    </xf>
    <xf numFmtId="10" fontId="17" fillId="0" borderId="15" xfId="3" applyNumberFormat="1" applyFont="1" applyBorder="1"/>
    <xf numFmtId="10" fontId="15" fillId="0" borderId="0" xfId="3" applyNumberFormat="1" applyFont="1" applyAlignment="1">
      <alignment horizontal="right" wrapText="1"/>
    </xf>
    <xf numFmtId="9" fontId="15" fillId="0" borderId="0" xfId="3" applyFont="1" applyAlignment="1">
      <alignment horizontal="right" wrapText="1"/>
    </xf>
    <xf numFmtId="10" fontId="17" fillId="0" borderId="15" xfId="3" applyNumberFormat="1" applyFont="1" applyBorder="1" applyAlignment="1">
      <alignment horizontal="right" wrapText="1"/>
    </xf>
    <xf numFmtId="10" fontId="17" fillId="0" borderId="4" xfId="3" applyNumberFormat="1" applyFont="1" applyBorder="1" applyAlignment="1">
      <alignment horizontal="right" wrapText="1"/>
    </xf>
    <xf numFmtId="10" fontId="17" fillId="0" borderId="14" xfId="3" applyNumberFormat="1" applyFont="1" applyBorder="1" applyAlignment="1">
      <alignment horizontal="right" wrapText="1"/>
    </xf>
    <xf numFmtId="10" fontId="15" fillId="0" borderId="15" xfId="3" applyNumberFormat="1" applyFont="1" applyBorder="1" applyAlignment="1">
      <alignment horizontal="right" wrapText="1"/>
    </xf>
    <xf numFmtId="10" fontId="17" fillId="0" borderId="0" xfId="3" applyNumberFormat="1" applyFont="1" applyAlignment="1">
      <alignment horizontal="right" wrapText="1"/>
    </xf>
    <xf numFmtId="164" fontId="20" fillId="0" borderId="0" xfId="1" applyNumberFormat="1" applyFont="1" applyAlignment="1">
      <alignment wrapText="1"/>
    </xf>
    <xf numFmtId="164" fontId="21" fillId="0" borderId="0" xfId="1" applyNumberFormat="1" applyFont="1" applyAlignment="1">
      <alignment wrapText="1"/>
    </xf>
    <xf numFmtId="0" fontId="15" fillId="0" borderId="0" xfId="0" applyFont="1"/>
    <xf numFmtId="164" fontId="15" fillId="0" borderId="0" xfId="1" applyNumberFormat="1" applyFont="1" applyBorder="1" applyAlignment="1">
      <alignment wrapText="1"/>
    </xf>
    <xf numFmtId="0" fontId="15" fillId="0" borderId="4" xfId="0" applyFont="1" applyBorder="1"/>
    <xf numFmtId="0" fontId="15" fillId="0" borderId="15" xfId="0" applyFont="1" applyBorder="1"/>
    <xf numFmtId="164" fontId="17" fillId="0" borderId="14" xfId="1" applyNumberFormat="1" applyFont="1" applyBorder="1"/>
    <xf numFmtId="167" fontId="15" fillId="0" borderId="14" xfId="3" applyNumberFormat="1" applyFont="1" applyBorder="1" applyAlignment="1">
      <alignment horizontal="right" wrapText="1"/>
    </xf>
    <xf numFmtId="164" fontId="1" fillId="0" borderId="0" xfId="1" applyNumberFormat="1" applyFont="1"/>
    <xf numFmtId="164" fontId="15" fillId="0" borderId="0" xfId="1" applyNumberFormat="1" applyFont="1"/>
    <xf numFmtId="164" fontId="15" fillId="0" borderId="4" xfId="1" applyNumberFormat="1" applyFont="1" applyBorder="1"/>
    <xf numFmtId="164" fontId="15" fillId="0" borderId="14" xfId="1" applyNumberFormat="1" applyFont="1" applyBorder="1"/>
    <xf numFmtId="164" fontId="15" fillId="0" borderId="15" xfId="1" applyNumberFormat="1" applyFont="1" applyBorder="1"/>
    <xf numFmtId="164" fontId="3" fillId="0" borderId="0" xfId="1" applyNumberFormat="1" applyFont="1"/>
    <xf numFmtId="164" fontId="16" fillId="0" borderId="0" xfId="1" applyNumberFormat="1" applyFont="1"/>
    <xf numFmtId="166" fontId="15" fillId="0" borderId="0" xfId="3" applyNumberFormat="1" applyFont="1" applyAlignment="1">
      <alignment wrapText="1"/>
    </xf>
    <xf numFmtId="165" fontId="15" fillId="0" borderId="4" xfId="1" applyNumberFormat="1" applyFont="1" applyBorder="1" applyAlignment="1">
      <alignment horizontal="right" wrapText="1"/>
    </xf>
    <xf numFmtId="165" fontId="15" fillId="0" borderId="14" xfId="1" applyNumberFormat="1" applyFont="1" applyBorder="1" applyAlignment="1">
      <alignment horizontal="right" wrapText="1"/>
    </xf>
    <xf numFmtId="165" fontId="15" fillId="0" borderId="15" xfId="1" applyNumberFormat="1" applyFont="1" applyBorder="1" applyAlignment="1">
      <alignment horizontal="right" wrapText="1"/>
    </xf>
    <xf numFmtId="165" fontId="15" fillId="0" borderId="0" xfId="1" applyNumberFormat="1" applyFont="1" applyAlignment="1">
      <alignment horizontal="right" wrapText="1"/>
    </xf>
    <xf numFmtId="164" fontId="15" fillId="0" borderId="10" xfId="1" applyNumberFormat="1" applyFont="1" applyBorder="1" applyAlignment="1">
      <alignment horizontal="right" wrapText="1"/>
    </xf>
    <xf numFmtId="164" fontId="15" fillId="0" borderId="16" xfId="1" applyNumberFormat="1" applyFont="1" applyBorder="1" applyAlignment="1">
      <alignment horizontal="right" wrapText="1"/>
    </xf>
    <xf numFmtId="164" fontId="15" fillId="0" borderId="17" xfId="1" applyNumberFormat="1" applyFont="1" applyBorder="1" applyAlignment="1">
      <alignment horizontal="right" wrapText="1"/>
    </xf>
    <xf numFmtId="164" fontId="15" fillId="0" borderId="0" xfId="1" applyNumberFormat="1" applyFont="1" applyBorder="1" applyAlignment="1">
      <alignment horizontal="right" wrapText="1"/>
    </xf>
    <xf numFmtId="164" fontId="6" fillId="0" borderId="0" xfId="1" applyNumberFormat="1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4" borderId="20" xfId="0" applyFont="1" applyFill="1" applyBorder="1"/>
    <xf numFmtId="0" fontId="3" fillId="4" borderId="21" xfId="0" applyFont="1" applyFill="1" applyBorder="1"/>
    <xf numFmtId="0" fontId="3" fillId="4" borderId="21" xfId="0" applyFont="1" applyFill="1" applyBorder="1" applyAlignment="1">
      <alignment horizontal="center" wrapText="1"/>
    </xf>
    <xf numFmtId="0" fontId="3" fillId="4" borderId="22" xfId="0" applyFont="1" applyFill="1" applyBorder="1" applyAlignment="1">
      <alignment horizontal="center" wrapText="1"/>
    </xf>
    <xf numFmtId="0" fontId="3" fillId="4" borderId="23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22" fillId="0" borderId="24" xfId="0" applyFont="1" applyBorder="1" applyAlignment="1">
      <alignment horizontal="left" vertical="center" wrapText="1"/>
    </xf>
    <xf numFmtId="43" fontId="16" fillId="5" borderId="5" xfId="1" applyFont="1" applyFill="1" applyBorder="1"/>
    <xf numFmtId="0" fontId="22" fillId="0" borderId="27" xfId="0" applyFont="1" applyBorder="1" applyAlignment="1">
      <alignment horizontal="left" vertical="center" wrapText="1"/>
    </xf>
    <xf numFmtId="43" fontId="16" fillId="5" borderId="31" xfId="1" applyFont="1" applyFill="1" applyBorder="1"/>
    <xf numFmtId="164" fontId="16" fillId="5" borderId="31" xfId="1" applyNumberFormat="1" applyFont="1" applyFill="1" applyBorder="1"/>
    <xf numFmtId="164" fontId="0" fillId="0" borderId="0" xfId="1" applyNumberFormat="1" applyFont="1"/>
    <xf numFmtId="0" fontId="24" fillId="4" borderId="2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wrapText="1"/>
    </xf>
    <xf numFmtId="165" fontId="16" fillId="5" borderId="5" xfId="1" applyNumberFormat="1" applyFont="1" applyFill="1" applyBorder="1"/>
    <xf numFmtId="165" fontId="15" fillId="0" borderId="0" xfId="0" applyNumberFormat="1" applyFont="1"/>
    <xf numFmtId="165" fontId="16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3" fillId="4" borderId="3" xfId="0" applyNumberFormat="1" applyFont="1" applyFill="1" applyBorder="1"/>
    <xf numFmtId="165" fontId="3" fillId="0" borderId="0" xfId="0" applyNumberFormat="1" applyFont="1"/>
    <xf numFmtId="0" fontId="3" fillId="4" borderId="36" xfId="0" applyFont="1" applyFill="1" applyBorder="1" applyAlignment="1">
      <alignment horizontal="center"/>
    </xf>
    <xf numFmtId="15" fontId="3" fillId="4" borderId="11" xfId="0" applyNumberFormat="1" applyFont="1" applyFill="1" applyBorder="1" applyAlignment="1">
      <alignment horizontal="right"/>
    </xf>
    <xf numFmtId="15" fontId="3" fillId="4" borderId="10" xfId="0" applyNumberFormat="1" applyFont="1" applyFill="1" applyBorder="1" applyAlignment="1">
      <alignment horizontal="right"/>
    </xf>
    <xf numFmtId="9" fontId="0" fillId="0" borderId="0" xfId="0" applyNumberFormat="1"/>
    <xf numFmtId="164" fontId="0" fillId="0" borderId="0" xfId="1" applyNumberFormat="1" applyFont="1" applyBorder="1"/>
    <xf numFmtId="164" fontId="0" fillId="0" borderId="4" xfId="1" applyNumberFormat="1" applyFont="1" applyBorder="1"/>
    <xf numFmtId="166" fontId="0" fillId="0" borderId="0" xfId="0" applyNumberFormat="1"/>
    <xf numFmtId="166" fontId="15" fillId="0" borderId="0" xfId="3" applyNumberFormat="1" applyFont="1" applyBorder="1"/>
    <xf numFmtId="166" fontId="15" fillId="0" borderId="4" xfId="3" applyNumberFormat="1" applyFont="1" applyBorder="1"/>
    <xf numFmtId="164" fontId="0" fillId="0" borderId="6" xfId="1" applyNumberFormat="1" applyFont="1" applyBorder="1"/>
    <xf numFmtId="164" fontId="0" fillId="0" borderId="5" xfId="1" applyNumberFormat="1" applyFont="1" applyBorder="1"/>
    <xf numFmtId="164" fontId="3" fillId="0" borderId="9" xfId="1" applyNumberFormat="1" applyFont="1" applyBorder="1"/>
    <xf numFmtId="164" fontId="3" fillId="0" borderId="7" xfId="1" applyNumberFormat="1" applyFont="1" applyBorder="1"/>
    <xf numFmtId="164" fontId="3" fillId="0" borderId="0" xfId="0" applyNumberFormat="1" applyFont="1"/>
    <xf numFmtId="164" fontId="3" fillId="0" borderId="4" xfId="0" applyNumberFormat="1" applyFont="1" applyBorder="1"/>
    <xf numFmtId="0" fontId="18" fillId="0" borderId="0" xfId="0" applyFont="1"/>
    <xf numFmtId="0" fontId="3" fillId="0" borderId="11" xfId="0" applyFont="1" applyBorder="1" applyAlignment="1">
      <alignment horizontal="right"/>
    </xf>
    <xf numFmtId="169" fontId="0" fillId="0" borderId="0" xfId="0" applyNumberFormat="1"/>
    <xf numFmtId="0" fontId="0" fillId="0" borderId="0" xfId="0" quotePrefix="1"/>
    <xf numFmtId="164" fontId="0" fillId="0" borderId="4" xfId="0" applyNumberFormat="1" applyBorder="1"/>
    <xf numFmtId="167" fontId="0" fillId="0" borderId="0" xfId="0" applyNumberFormat="1"/>
    <xf numFmtId="0" fontId="3" fillId="0" borderId="0" xfId="0" applyFont="1" applyAlignment="1">
      <alignment horizontal="right"/>
    </xf>
    <xf numFmtId="170" fontId="3" fillId="0" borderId="0" xfId="1" applyNumberFormat="1" applyFont="1" applyBorder="1" applyAlignment="1">
      <alignment horizontal="center"/>
    </xf>
    <xf numFmtId="6" fontId="3" fillId="0" borderId="0" xfId="0" applyNumberFormat="1" applyFont="1"/>
    <xf numFmtId="43" fontId="0" fillId="0" borderId="0" xfId="0" applyNumberFormat="1"/>
    <xf numFmtId="6" fontId="3" fillId="0" borderId="7" xfId="0" applyNumberFormat="1" applyFont="1" applyBorder="1"/>
    <xf numFmtId="0" fontId="26" fillId="0" borderId="0" xfId="0" applyFont="1" applyAlignment="1">
      <alignment horizontal="right"/>
    </xf>
    <xf numFmtId="6" fontId="26" fillId="0" borderId="0" xfId="0" applyNumberFormat="1" applyFont="1"/>
    <xf numFmtId="0" fontId="26" fillId="0" borderId="0" xfId="0" applyFont="1"/>
    <xf numFmtId="0" fontId="0" fillId="0" borderId="0" xfId="0" quotePrefix="1" applyAlignment="1">
      <alignment horizontal="right"/>
    </xf>
    <xf numFmtId="0" fontId="0" fillId="4" borderId="1" xfId="0" applyFill="1" applyBorder="1"/>
    <xf numFmtId="0" fontId="27" fillId="0" borderId="12" xfId="0" applyFont="1" applyBorder="1"/>
    <xf numFmtId="0" fontId="0" fillId="0" borderId="19" xfId="0" applyBorder="1"/>
    <xf numFmtId="0" fontId="3" fillId="4" borderId="11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0" borderId="37" xfId="0" applyBorder="1"/>
    <xf numFmtId="164" fontId="0" fillId="0" borderId="6" xfId="0" applyNumberFormat="1" applyBorder="1"/>
    <xf numFmtId="0" fontId="0" fillId="0" borderId="38" xfId="0" applyBorder="1"/>
    <xf numFmtId="164" fontId="0" fillId="0" borderId="30" xfId="0" applyNumberFormat="1" applyBorder="1"/>
    <xf numFmtId="164" fontId="3" fillId="0" borderId="7" xfId="0" applyNumberFormat="1" applyFont="1" applyBorder="1"/>
    <xf numFmtId="0" fontId="0" fillId="0" borderId="17" xfId="0" applyBorder="1"/>
    <xf numFmtId="164" fontId="16" fillId="5" borderId="5" xfId="1" applyNumberFormat="1" applyFont="1" applyFill="1" applyBorder="1"/>
    <xf numFmtId="10" fontId="29" fillId="0" borderId="0" xfId="0" applyNumberFormat="1" applyFont="1"/>
    <xf numFmtId="170" fontId="20" fillId="0" borderId="0" xfId="1" applyNumberFormat="1" applyFont="1" applyBorder="1"/>
    <xf numFmtId="170" fontId="20" fillId="0" borderId="10" xfId="1" applyNumberFormat="1" applyFont="1" applyBorder="1"/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164" fontId="0" fillId="0" borderId="39" xfId="1" applyNumberFormat="1" applyFont="1" applyBorder="1"/>
    <xf numFmtId="164" fontId="0" fillId="0" borderId="5" xfId="0" applyNumberFormat="1" applyBorder="1"/>
    <xf numFmtId="170" fontId="3" fillId="0" borderId="4" xfId="1" applyNumberFormat="1" applyFont="1" applyBorder="1" applyAlignment="1">
      <alignment horizontal="center"/>
    </xf>
    <xf numFmtId="44" fontId="0" fillId="0" borderId="5" xfId="2" applyFont="1" applyBorder="1" applyAlignment="1"/>
    <xf numFmtId="44" fontId="3" fillId="0" borderId="40" xfId="2" applyFont="1" applyBorder="1" applyAlignment="1"/>
    <xf numFmtId="0" fontId="31" fillId="0" borderId="28" xfId="0" applyFont="1" applyBorder="1" applyAlignment="1">
      <alignment horizontal="center" vertical="center"/>
    </xf>
    <xf numFmtId="0" fontId="31" fillId="0" borderId="28" xfId="0" quotePrefix="1" applyFont="1" applyBorder="1" applyAlignment="1">
      <alignment horizontal="center" vertical="center"/>
    </xf>
    <xf numFmtId="0" fontId="0" fillId="2" borderId="3" xfId="0" applyFill="1" applyBorder="1"/>
    <xf numFmtId="0" fontId="0" fillId="4" borderId="2" xfId="0" applyFill="1" applyBorder="1"/>
    <xf numFmtId="0" fontId="3" fillId="4" borderId="8" xfId="0" applyFont="1" applyFill="1" applyBorder="1" applyAlignment="1">
      <alignment horizontal="center" wrapText="1"/>
    </xf>
    <xf numFmtId="10" fontId="17" fillId="0" borderId="15" xfId="3" applyNumberFormat="1" applyFont="1" applyBorder="1" applyAlignment="1">
      <alignment horizontal="right"/>
    </xf>
    <xf numFmtId="164" fontId="21" fillId="0" borderId="0" xfId="1" applyNumberFormat="1" applyFont="1" applyBorder="1" applyAlignment="1">
      <alignment wrapText="1"/>
    </xf>
    <xf numFmtId="164" fontId="15" fillId="0" borderId="0" xfId="1" applyNumberFormat="1" applyFont="1" applyBorder="1"/>
    <xf numFmtId="165" fontId="33" fillId="5" borderId="5" xfId="1" applyNumberFormat="1" applyFont="1" applyFill="1" applyBorder="1"/>
    <xf numFmtId="165" fontId="33" fillId="5" borderId="10" xfId="1" applyNumberFormat="1" applyFont="1" applyFill="1" applyBorder="1"/>
    <xf numFmtId="15" fontId="25" fillId="4" borderId="10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wrapText="1"/>
    </xf>
    <xf numFmtId="0" fontId="3" fillId="4" borderId="21" xfId="0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right" wrapText="1"/>
    </xf>
    <xf numFmtId="0" fontId="3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37" xfId="1" applyNumberFormat="1" applyFont="1" applyBorder="1"/>
    <xf numFmtId="164" fontId="3" fillId="0" borderId="41" xfId="1" applyNumberFormat="1" applyFont="1" applyBorder="1"/>
    <xf numFmtId="15" fontId="3" fillId="0" borderId="37" xfId="0" applyNumberFormat="1" applyFont="1" applyBorder="1" applyAlignment="1">
      <alignment horizontal="right"/>
    </xf>
    <xf numFmtId="0" fontId="3" fillId="0" borderId="0" xfId="0" quotePrefix="1" applyFont="1" applyAlignment="1">
      <alignment horizontal="left"/>
    </xf>
    <xf numFmtId="0" fontId="22" fillId="0" borderId="20" xfId="0" applyFont="1" applyBorder="1" applyAlignment="1">
      <alignment horizontal="left" vertical="center" wrapText="1"/>
    </xf>
    <xf numFmtId="164" fontId="16" fillId="5" borderId="8" xfId="1" applyNumberFormat="1" applyFont="1" applyFill="1" applyBorder="1"/>
    <xf numFmtId="165" fontId="16" fillId="5" borderId="8" xfId="1" applyNumberFormat="1" applyFont="1" applyFill="1" applyBorder="1"/>
    <xf numFmtId="165" fontId="33" fillId="5" borderId="8" xfId="1" applyNumberFormat="1" applyFont="1" applyFill="1" applyBorder="1"/>
    <xf numFmtId="164" fontId="16" fillId="5" borderId="10" xfId="1" applyNumberFormat="1" applyFont="1" applyFill="1" applyBorder="1"/>
    <xf numFmtId="165" fontId="16" fillId="5" borderId="10" xfId="1" applyNumberFormat="1" applyFont="1" applyFill="1" applyBorder="1"/>
    <xf numFmtId="6" fontId="0" fillId="0" borderId="15" xfId="0" applyNumberFormat="1" applyBorder="1"/>
    <xf numFmtId="164" fontId="5" fillId="0" borderId="0" xfId="1" applyNumberFormat="1" applyFont="1" applyBorder="1" applyAlignment="1"/>
    <xf numFmtId="164" fontId="4" fillId="0" borderId="44" xfId="1" applyNumberFormat="1" applyFont="1" applyBorder="1" applyAlignment="1">
      <alignment horizontal="right"/>
    </xf>
    <xf numFmtId="164" fontId="15" fillId="0" borderId="7" xfId="1" applyNumberFormat="1" applyFont="1" applyBorder="1" applyAlignment="1">
      <alignment horizontal="right" wrapText="1"/>
    </xf>
    <xf numFmtId="0" fontId="3" fillId="0" borderId="11" xfId="0" applyFont="1" applyBorder="1"/>
    <xf numFmtId="166" fontId="29" fillId="0" borderId="0" xfId="0" applyNumberFormat="1" applyFont="1"/>
    <xf numFmtId="0" fontId="3" fillId="4" borderId="3" xfId="0" applyFont="1" applyFill="1" applyBorder="1" applyAlignment="1">
      <alignment horizontal="center"/>
    </xf>
    <xf numFmtId="3" fontId="0" fillId="0" borderId="13" xfId="0" applyNumberFormat="1" applyBorder="1"/>
    <xf numFmtId="3" fontId="0" fillId="0" borderId="19" xfId="0" applyNumberFormat="1" applyBorder="1"/>
    <xf numFmtId="3" fontId="0" fillId="0" borderId="11" xfId="0" applyNumberFormat="1" applyBorder="1"/>
    <xf numFmtId="3" fontId="0" fillId="0" borderId="17" xfId="0" applyNumberFormat="1" applyBorder="1"/>
    <xf numFmtId="164" fontId="4" fillId="0" borderId="0" xfId="1" applyNumberFormat="1" applyFont="1" applyBorder="1" applyAlignment="1"/>
    <xf numFmtId="15" fontId="16" fillId="2" borderId="8" xfId="0" applyNumberFormat="1" applyFont="1" applyFill="1" applyBorder="1" applyAlignment="1">
      <alignment horizontal="right" wrapText="1"/>
    </xf>
    <xf numFmtId="44" fontId="4" fillId="0" borderId="0" xfId="2" applyFont="1" applyAlignment="1">
      <alignment wrapText="1"/>
    </xf>
    <xf numFmtId="166" fontId="4" fillId="0" borderId="0" xfId="3" applyNumberFormat="1" applyFont="1"/>
    <xf numFmtId="43" fontId="34" fillId="0" borderId="0" xfId="1" applyFont="1"/>
    <xf numFmtId="166" fontId="34" fillId="0" borderId="0" xfId="3" applyNumberFormat="1" applyFont="1"/>
    <xf numFmtId="43" fontId="35" fillId="0" borderId="0" xfId="1" applyFont="1"/>
    <xf numFmtId="164" fontId="35" fillId="0" borderId="0" xfId="1" applyNumberFormat="1" applyFont="1" applyAlignment="1">
      <alignment horizontal="right"/>
    </xf>
    <xf numFmtId="165" fontId="15" fillId="0" borderId="0" xfId="1" applyNumberFormat="1" applyFont="1" applyBorder="1" applyAlignment="1">
      <alignment horizontal="right" wrapText="1"/>
    </xf>
    <xf numFmtId="164" fontId="15" fillId="0" borderId="9" xfId="1" applyNumberFormat="1" applyFont="1" applyBorder="1" applyAlignment="1">
      <alignment horizontal="right" wrapText="1"/>
    </xf>
    <xf numFmtId="15" fontId="16" fillId="2" borderId="2" xfId="0" applyNumberFormat="1" applyFont="1" applyFill="1" applyBorder="1" applyAlignment="1">
      <alignment horizontal="right" wrapText="1"/>
    </xf>
    <xf numFmtId="15" fontId="16" fillId="2" borderId="1" xfId="0" applyNumberFormat="1" applyFont="1" applyFill="1" applyBorder="1" applyAlignment="1">
      <alignment horizontal="right" wrapText="1"/>
    </xf>
    <xf numFmtId="15" fontId="16" fillId="2" borderId="3" xfId="0" applyNumberFormat="1" applyFont="1" applyFill="1" applyBorder="1" applyAlignment="1">
      <alignment horizontal="right" wrapText="1"/>
    </xf>
    <xf numFmtId="15" fontId="3" fillId="2" borderId="2" xfId="0" applyNumberFormat="1" applyFont="1" applyFill="1" applyBorder="1" applyAlignment="1">
      <alignment horizontal="right" wrapText="1"/>
    </xf>
    <xf numFmtId="15" fontId="3" fillId="2" borderId="1" xfId="0" applyNumberFormat="1" applyFont="1" applyFill="1" applyBorder="1" applyAlignment="1">
      <alignment horizontal="right" wrapText="1"/>
    </xf>
    <xf numFmtId="15" fontId="3" fillId="2" borderId="8" xfId="0" applyNumberFormat="1" applyFont="1" applyFill="1" applyBorder="1" applyAlignment="1">
      <alignment horizontal="right" wrapText="1"/>
    </xf>
    <xf numFmtId="15" fontId="3" fillId="2" borderId="3" xfId="0" applyNumberFormat="1" applyFont="1" applyFill="1" applyBorder="1" applyAlignment="1">
      <alignment horizontal="right" wrapText="1"/>
    </xf>
    <xf numFmtId="164" fontId="15" fillId="0" borderId="0" xfId="1" applyNumberFormat="1" applyFont="1" applyBorder="1" applyAlignment="1">
      <alignment horizontal="right"/>
    </xf>
    <xf numFmtId="15" fontId="3" fillId="2" borderId="19" xfId="0" applyNumberFormat="1" applyFont="1" applyFill="1" applyBorder="1"/>
    <xf numFmtId="0" fontId="15" fillId="0" borderId="25" xfId="0" applyFont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10" fontId="0" fillId="0" borderId="0" xfId="3" applyNumberFormat="1" applyFont="1" applyBorder="1"/>
    <xf numFmtId="0" fontId="3" fillId="0" borderId="16" xfId="0" applyFont="1" applyBorder="1"/>
    <xf numFmtId="166" fontId="3" fillId="0" borderId="7" xfId="3" applyNumberFormat="1" applyFont="1" applyBorder="1"/>
    <xf numFmtId="10" fontId="3" fillId="0" borderId="7" xfId="0" applyNumberFormat="1" applyFont="1" applyBorder="1"/>
    <xf numFmtId="0" fontId="3" fillId="0" borderId="41" xfId="0" applyFont="1" applyBorder="1"/>
    <xf numFmtId="44" fontId="15" fillId="0" borderId="28" xfId="2" applyFont="1" applyFill="1" applyBorder="1" applyAlignment="1">
      <alignment horizontal="center"/>
    </xf>
    <xf numFmtId="166" fontId="36" fillId="0" borderId="28" xfId="3" applyNumberFormat="1" applyFont="1" applyBorder="1"/>
    <xf numFmtId="10" fontId="15" fillId="0" borderId="0" xfId="3" applyNumberFormat="1" applyFont="1"/>
    <xf numFmtId="0" fontId="15" fillId="0" borderId="25" xfId="0" applyFont="1" applyBorder="1"/>
    <xf numFmtId="44" fontId="15" fillId="0" borderId="25" xfId="2" applyFont="1" applyBorder="1"/>
    <xf numFmtId="168" fontId="15" fillId="0" borderId="25" xfId="1" applyNumberFormat="1" applyFont="1" applyBorder="1"/>
    <xf numFmtId="43" fontId="15" fillId="0" borderId="25" xfId="1" applyFont="1" applyBorder="1"/>
    <xf numFmtId="43" fontId="15" fillId="0" borderId="26" xfId="1" applyFont="1" applyBorder="1"/>
    <xf numFmtId="43" fontId="15" fillId="0" borderId="6" xfId="1" applyFont="1" applyBorder="1"/>
    <xf numFmtId="0" fontId="15" fillId="0" borderId="28" xfId="0" applyFont="1" applyBorder="1"/>
    <xf numFmtId="44" fontId="15" fillId="0" borderId="28" xfId="2" applyFont="1" applyBorder="1"/>
    <xf numFmtId="168" fontId="15" fillId="0" borderId="28" xfId="1" applyNumberFormat="1" applyFont="1" applyBorder="1"/>
    <xf numFmtId="43" fontId="15" fillId="0" borderId="29" xfId="1" applyFont="1" applyBorder="1"/>
    <xf numFmtId="43" fontId="15" fillId="0" borderId="30" xfId="1" applyFont="1" applyBorder="1"/>
    <xf numFmtId="44" fontId="15" fillId="0" borderId="28" xfId="2" applyFont="1" applyFill="1" applyBorder="1"/>
    <xf numFmtId="164" fontId="15" fillId="0" borderId="25" xfId="1" applyNumberFormat="1" applyFont="1" applyBorder="1"/>
    <xf numFmtId="44" fontId="15" fillId="6" borderId="25" xfId="2" applyFont="1" applyFill="1" applyBorder="1"/>
    <xf numFmtId="164" fontId="17" fillId="0" borderId="25" xfId="1" applyNumberFormat="1" applyFont="1" applyBorder="1"/>
    <xf numFmtId="164" fontId="17" fillId="0" borderId="26" xfId="1" applyNumberFormat="1" applyFont="1" applyBorder="1"/>
    <xf numFmtId="0" fontId="15" fillId="0" borderId="28" xfId="0" applyFont="1" applyBorder="1" applyAlignment="1">
      <alignment horizontal="center"/>
    </xf>
    <xf numFmtId="44" fontId="15" fillId="6" borderId="28" xfId="2" applyFont="1" applyFill="1" applyBorder="1"/>
    <xf numFmtId="164" fontId="17" fillId="0" borderId="28" xfId="1" applyNumberFormat="1" applyFont="1" applyBorder="1"/>
    <xf numFmtId="164" fontId="17" fillId="0" borderId="29" xfId="1" applyNumberFormat="1" applyFont="1" applyBorder="1"/>
    <xf numFmtId="164" fontId="17" fillId="0" borderId="32" xfId="1" applyNumberFormat="1" applyFont="1" applyBorder="1"/>
    <xf numFmtId="44" fontId="15" fillId="0" borderId="28" xfId="2" applyFont="1" applyBorder="1" applyAlignment="1">
      <alignment horizontal="center"/>
    </xf>
    <xf numFmtId="44" fontId="15" fillId="0" borderId="34" xfId="2" applyFont="1" applyFill="1" applyBorder="1" applyAlignment="1">
      <alignment horizontal="center"/>
    </xf>
    <xf numFmtId="44" fontId="15" fillId="6" borderId="34" xfId="2" applyFont="1" applyFill="1" applyBorder="1"/>
    <xf numFmtId="164" fontId="17" fillId="0" borderId="34" xfId="1" applyNumberFormat="1" applyFont="1" applyBorder="1"/>
    <xf numFmtId="164" fontId="15" fillId="0" borderId="42" xfId="1" applyNumberFormat="1" applyFont="1" applyBorder="1"/>
    <xf numFmtId="164" fontId="17" fillId="0" borderId="43" xfId="1" applyNumberFormat="1" applyFont="1" applyBorder="1"/>
    <xf numFmtId="164" fontId="17" fillId="0" borderId="35" xfId="1" applyNumberFormat="1" applyFont="1" applyBorder="1"/>
    <xf numFmtId="44" fontId="15" fillId="0" borderId="21" xfId="2" applyFont="1" applyFill="1" applyBorder="1" applyAlignment="1">
      <alignment horizontal="center"/>
    </xf>
    <xf numFmtId="164" fontId="15" fillId="0" borderId="21" xfId="1" applyNumberFormat="1" applyFont="1" applyBorder="1"/>
    <xf numFmtId="164" fontId="15" fillId="0" borderId="22" xfId="1" applyNumberFormat="1" applyFont="1" applyBorder="1"/>
    <xf numFmtId="164" fontId="15" fillId="0" borderId="23" xfId="1" applyNumberFormat="1" applyFont="1" applyBorder="1"/>
    <xf numFmtId="164" fontId="4" fillId="0" borderId="0" xfId="1" applyNumberFormat="1" applyFont="1" applyAlignment="1">
      <alignment wrapText="1"/>
    </xf>
    <xf numFmtId="0" fontId="0" fillId="3" borderId="11" xfId="0" applyFill="1" applyBorder="1" applyAlignment="1">
      <alignment horizontal="center" vertical="center" wrapText="1"/>
    </xf>
    <xf numFmtId="164" fontId="5" fillId="0" borderId="0" xfId="1" applyNumberFormat="1" applyFont="1" applyAlignment="1">
      <alignment wrapText="1"/>
    </xf>
    <xf numFmtId="165" fontId="16" fillId="7" borderId="5" xfId="1" applyNumberFormat="1" applyFont="1" applyFill="1" applyBorder="1"/>
    <xf numFmtId="44" fontId="15" fillId="8" borderId="21" xfId="2" applyFont="1" applyFill="1" applyBorder="1" applyAlignment="1">
      <alignment horizontal="right"/>
    </xf>
    <xf numFmtId="0" fontId="1" fillId="2" borderId="2" xfId="0" applyFont="1" applyFill="1" applyBorder="1"/>
    <xf numFmtId="15" fontId="3" fillId="2" borderId="45" xfId="0" applyNumberFormat="1" applyFont="1" applyFill="1" applyBorder="1"/>
    <xf numFmtId="15" fontId="3" fillId="2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37" fillId="0" borderId="0" xfId="0" applyNumberFormat="1" applyFont="1"/>
    <xf numFmtId="3" fontId="0" fillId="0" borderId="49" xfId="0" applyNumberFormat="1" applyBorder="1"/>
    <xf numFmtId="3" fontId="0" fillId="0" borderId="52" xfId="0" applyNumberFormat="1" applyBorder="1"/>
    <xf numFmtId="3" fontId="0" fillId="0" borderId="14" xfId="0" applyNumberFormat="1" applyBorder="1"/>
    <xf numFmtId="0" fontId="38" fillId="0" borderId="0" xfId="0" applyFont="1" applyAlignment="1">
      <alignment wrapText="1"/>
    </xf>
    <xf numFmtId="164" fontId="1" fillId="0" borderId="0" xfId="1" applyNumberFormat="1" applyFont="1" applyAlignment="1">
      <alignment wrapText="1"/>
    </xf>
    <xf numFmtId="164" fontId="1" fillId="0" borderId="0" xfId="1" applyNumberFormat="1" applyFont="1" applyBorder="1" applyAlignment="1">
      <alignment horizontal="right" wrapText="1"/>
    </xf>
    <xf numFmtId="164" fontId="1" fillId="0" borderId="0" xfId="1" applyNumberFormat="1" applyFont="1" applyAlignment="1">
      <alignment horizontal="right" wrapText="1"/>
    </xf>
    <xf numFmtId="10" fontId="1" fillId="0" borderId="0" xfId="3" applyNumberFormat="1" applyFont="1" applyAlignment="1">
      <alignment horizontal="right" wrapText="1"/>
    </xf>
    <xf numFmtId="165" fontId="1" fillId="0" borderId="0" xfId="1" applyNumberFormat="1" applyFont="1" applyAlignment="1">
      <alignment horizontal="right" wrapText="1"/>
    </xf>
    <xf numFmtId="0" fontId="1" fillId="0" borderId="12" xfId="0" applyFont="1" applyBorder="1"/>
    <xf numFmtId="0" fontId="1" fillId="0" borderId="13" xfId="0" applyFont="1" applyBorder="1"/>
    <xf numFmtId="0" fontId="1" fillId="0" borderId="19" xfId="0" applyFont="1" applyBorder="1"/>
    <xf numFmtId="0" fontId="1" fillId="0" borderId="14" xfId="0" applyFont="1" applyBorder="1"/>
    <xf numFmtId="164" fontId="1" fillId="0" borderId="0" xfId="0" applyNumberFormat="1" applyFont="1"/>
    <xf numFmtId="166" fontId="1" fillId="0" borderId="0" xfId="3" applyNumberFormat="1" applyFont="1" applyBorder="1"/>
    <xf numFmtId="0" fontId="1" fillId="0" borderId="15" xfId="0" applyFont="1" applyBorder="1"/>
    <xf numFmtId="10" fontId="1" fillId="0" borderId="0" xfId="0" applyNumberFormat="1" applyFont="1"/>
    <xf numFmtId="0" fontId="1" fillId="0" borderId="0" xfId="0" quotePrefix="1" applyFont="1"/>
    <xf numFmtId="165" fontId="1" fillId="0" borderId="0" xfId="1" applyNumberFormat="1" applyFont="1" applyFill="1" applyBorder="1"/>
    <xf numFmtId="0" fontId="1" fillId="0" borderId="11" xfId="0" applyFont="1" applyBorder="1"/>
    <xf numFmtId="0" fontId="1" fillId="0" borderId="17" xfId="0" applyFont="1" applyBorder="1"/>
    <xf numFmtId="164" fontId="1" fillId="0" borderId="4" xfId="1" applyNumberFormat="1" applyFont="1" applyBorder="1"/>
    <xf numFmtId="164" fontId="1" fillId="0" borderId="5" xfId="1" applyNumberFormat="1" applyFont="1" applyBorder="1"/>
    <xf numFmtId="3" fontId="37" fillId="0" borderId="54" xfId="0" applyNumberFormat="1" applyFont="1" applyBorder="1" applyAlignment="1">
      <alignment wrapText="1"/>
    </xf>
    <xf numFmtId="164" fontId="5" fillId="0" borderId="0" xfId="1" applyNumberFormat="1" applyFont="1" applyBorder="1" applyAlignment="1">
      <alignment horizontal="right" wrapText="1"/>
    </xf>
    <xf numFmtId="164" fontId="4" fillId="0" borderId="39" xfId="1" applyNumberFormat="1" applyFont="1" applyBorder="1" applyAlignment="1">
      <alignment horizontal="right" wrapText="1"/>
    </xf>
    <xf numFmtId="164" fontId="4" fillId="0" borderId="55" xfId="1" applyNumberFormat="1" applyFont="1" applyBorder="1" applyAlignment="1">
      <alignment horizontal="right" wrapText="1"/>
    </xf>
    <xf numFmtId="164" fontId="4" fillId="0" borderId="55" xfId="1" applyNumberFormat="1" applyFont="1" applyBorder="1" applyAlignment="1">
      <alignment horizontal="right"/>
    </xf>
    <xf numFmtId="0" fontId="39" fillId="0" borderId="0" xfId="0" applyFont="1"/>
    <xf numFmtId="0" fontId="40" fillId="0" borderId="0" xfId="0" applyFont="1"/>
    <xf numFmtId="164" fontId="5" fillId="8" borderId="4" xfId="1" applyNumberFormat="1" applyFont="1" applyFill="1" applyBorder="1" applyAlignment="1"/>
    <xf numFmtId="164" fontId="5" fillId="8" borderId="0" xfId="1" applyNumberFormat="1" applyFont="1" applyFill="1" applyAlignment="1">
      <alignment horizontal="right"/>
    </xf>
    <xf numFmtId="0" fontId="41" fillId="0" borderId="0" xfId="0" applyFont="1"/>
    <xf numFmtId="0" fontId="42" fillId="0" borderId="0" xfId="0" applyFont="1"/>
    <xf numFmtId="164" fontId="5" fillId="0" borderId="0" xfId="1" applyNumberFormat="1" applyFont="1" applyFill="1" applyAlignment="1">
      <alignment wrapText="1"/>
    </xf>
    <xf numFmtId="164" fontId="5" fillId="0" borderId="0" xfId="1" applyNumberFormat="1" applyFont="1" applyFill="1"/>
    <xf numFmtId="164" fontId="5" fillId="0" borderId="6" xfId="1" applyNumberFormat="1" applyFont="1" applyFill="1" applyBorder="1" applyAlignment="1">
      <alignment horizontal="right"/>
    </xf>
    <xf numFmtId="164" fontId="5" fillId="0" borderId="0" xfId="1" applyNumberFormat="1" applyFont="1" applyFill="1" applyAlignment="1"/>
    <xf numFmtId="171" fontId="15" fillId="0" borderId="0" xfId="1" applyNumberFormat="1" applyFont="1" applyBorder="1" applyAlignment="1">
      <alignment horizontal="right" wrapText="1"/>
    </xf>
    <xf numFmtId="171" fontId="15" fillId="0" borderId="4" xfId="1" applyNumberFormat="1" applyFont="1" applyBorder="1" applyAlignment="1">
      <alignment horizontal="right" wrapText="1"/>
    </xf>
    <xf numFmtId="0" fontId="5" fillId="8" borderId="0" xfId="0" applyFont="1" applyFill="1"/>
    <xf numFmtId="3" fontId="1" fillId="0" borderId="0" xfId="0" applyNumberFormat="1" applyFont="1"/>
    <xf numFmtId="3" fontId="1" fillId="0" borderId="15" xfId="0" applyNumberFormat="1" applyFont="1" applyBorder="1"/>
    <xf numFmtId="3" fontId="1" fillId="0" borderId="14" xfId="0" applyNumberFormat="1" applyFont="1" applyBorder="1"/>
    <xf numFmtId="44" fontId="4" fillId="0" borderId="0" xfId="2" applyFont="1" applyFill="1" applyAlignment="1">
      <alignment wrapText="1"/>
    </xf>
    <xf numFmtId="44" fontId="4" fillId="0" borderId="0" xfId="2" applyFont="1" applyFill="1" applyBorder="1" applyAlignment="1">
      <alignment horizontal="right" wrapText="1"/>
    </xf>
    <xf numFmtId="166" fontId="34" fillId="0" borderId="0" xfId="3" applyNumberFormat="1" applyFont="1" applyFill="1"/>
    <xf numFmtId="43" fontId="3" fillId="0" borderId="0" xfId="1" applyFont="1" applyAlignment="1"/>
    <xf numFmtId="0" fontId="22" fillId="0" borderId="24" xfId="0" applyFont="1" applyBorder="1" applyAlignment="1">
      <alignment horizontal="left" vertical="top" wrapText="1"/>
    </xf>
    <xf numFmtId="0" fontId="45" fillId="8" borderId="33" xfId="0" applyFont="1" applyFill="1" applyBorder="1" applyAlignment="1">
      <alignment horizontal="left" vertical="center" wrapText="1"/>
    </xf>
    <xf numFmtId="0" fontId="0" fillId="8" borderId="0" xfId="0" applyFill="1"/>
    <xf numFmtId="10" fontId="0" fillId="0" borderId="0" xfId="3" applyNumberFormat="1" applyFont="1" applyFill="1" applyBorder="1"/>
    <xf numFmtId="44" fontId="0" fillId="9" borderId="17" xfId="0" applyNumberFormat="1" applyFill="1" applyBorder="1"/>
    <xf numFmtId="44" fontId="15" fillId="0" borderId="21" xfId="2" applyFont="1" applyFill="1" applyBorder="1" applyAlignment="1">
      <alignment horizontal="right"/>
    </xf>
    <xf numFmtId="9" fontId="1" fillId="10" borderId="0" xfId="0" quotePrefix="1" applyNumberFormat="1" applyFont="1" applyFill="1" applyAlignment="1">
      <alignment shrinkToFit="1"/>
    </xf>
    <xf numFmtId="10" fontId="0" fillId="0" borderId="0" xfId="0" applyNumberFormat="1"/>
    <xf numFmtId="10" fontId="0" fillId="11" borderId="0" xfId="0" applyNumberFormat="1" applyFill="1"/>
    <xf numFmtId="166" fontId="0" fillId="11" borderId="0" xfId="0" applyNumberFormat="1" applyFill="1"/>
    <xf numFmtId="14" fontId="28" fillId="2" borderId="2" xfId="0" applyNumberFormat="1" applyFont="1" applyFill="1" applyBorder="1" applyAlignment="1">
      <alignment horizontal="right" wrapText="1"/>
    </xf>
    <xf numFmtId="44" fontId="0" fillId="10" borderId="5" xfId="2" applyFont="1" applyFill="1" applyBorder="1" applyAlignment="1"/>
    <xf numFmtId="3" fontId="39" fillId="0" borderId="0" xfId="0" applyNumberFormat="1" applyFont="1"/>
    <xf numFmtId="10" fontId="0" fillId="0" borderId="0" xfId="3" applyNumberFormat="1" applyFont="1"/>
    <xf numFmtId="164" fontId="4" fillId="0" borderId="7" xfId="1" applyNumberFormat="1" applyFont="1" applyFill="1" applyBorder="1" applyAlignment="1">
      <alignment horizontal="right"/>
    </xf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0" xfId="1" applyNumberFormat="1" applyFont="1" applyAlignment="1">
      <alignment wrapText="1"/>
    </xf>
    <xf numFmtId="0" fontId="4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164" fontId="5" fillId="0" borderId="0" xfId="1" applyNumberFormat="1" applyFont="1" applyAlignment="1">
      <alignment wrapText="1"/>
    </xf>
    <xf numFmtId="43" fontId="4" fillId="2" borderId="2" xfId="1" applyFont="1" applyFill="1" applyBorder="1" applyAlignment="1">
      <alignment wrapText="1"/>
    </xf>
    <xf numFmtId="43" fontId="4" fillId="2" borderId="1" xfId="1" applyFont="1" applyFill="1" applyBorder="1" applyAlignment="1">
      <alignment wrapText="1"/>
    </xf>
    <xf numFmtId="0" fontId="12" fillId="0" borderId="11" xfId="0" applyFont="1" applyBorder="1" applyAlignment="1">
      <alignment horizontal="center" wrapText="1"/>
    </xf>
    <xf numFmtId="0" fontId="13" fillId="0" borderId="11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123825</xdr:rowOff>
    </xdr:from>
    <xdr:to>
      <xdr:col>12</xdr:col>
      <xdr:colOff>342900</xdr:colOff>
      <xdr:row>3</xdr:row>
      <xdr:rowOff>104775</xdr:rowOff>
    </xdr:to>
    <xdr:sp macro="" textlink="">
      <xdr:nvSpPr>
        <xdr:cNvPr id="2083" name="Line 1">
          <a:extLst>
            <a:ext uri="{FF2B5EF4-FFF2-40B4-BE49-F238E27FC236}">
              <a16:creationId xmlns:a16="http://schemas.microsoft.com/office/drawing/2014/main" id="{85CB9CA2-9E1C-4E20-A86F-817049A9A48F}"/>
            </a:ext>
          </a:extLst>
        </xdr:cNvPr>
        <xdr:cNvSpPr>
          <a:spLocks noChangeShapeType="1"/>
        </xdr:cNvSpPr>
      </xdr:nvSpPr>
      <xdr:spPr bwMode="auto">
        <a:xfrm>
          <a:off x="11468100" y="638175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295275</xdr:colOff>
      <xdr:row>2</xdr:row>
      <xdr:rowOff>123825</xdr:rowOff>
    </xdr:from>
    <xdr:to>
      <xdr:col>13</xdr:col>
      <xdr:colOff>295275</xdr:colOff>
      <xdr:row>3</xdr:row>
      <xdr:rowOff>123825</xdr:rowOff>
    </xdr:to>
    <xdr:sp macro="" textlink="">
      <xdr:nvSpPr>
        <xdr:cNvPr id="2084" name="Line 2">
          <a:extLst>
            <a:ext uri="{FF2B5EF4-FFF2-40B4-BE49-F238E27FC236}">
              <a16:creationId xmlns:a16="http://schemas.microsoft.com/office/drawing/2014/main" id="{B2E7D69E-E41D-47ED-A1D7-AFCCBA81077D}"/>
            </a:ext>
          </a:extLst>
        </xdr:cNvPr>
        <xdr:cNvSpPr>
          <a:spLocks noChangeShapeType="1"/>
        </xdr:cNvSpPr>
      </xdr:nvSpPr>
      <xdr:spPr bwMode="auto">
        <a:xfrm>
          <a:off x="12058650" y="638175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119</xdr:row>
      <xdr:rowOff>9525</xdr:rowOff>
    </xdr:from>
    <xdr:to>
      <xdr:col>5</xdr:col>
      <xdr:colOff>400050</xdr:colOff>
      <xdr:row>121</xdr:row>
      <xdr:rowOff>95250</xdr:rowOff>
    </xdr:to>
    <xdr:sp macro="" textlink="">
      <xdr:nvSpPr>
        <xdr:cNvPr id="1313" name="Line 1">
          <a:extLst>
            <a:ext uri="{FF2B5EF4-FFF2-40B4-BE49-F238E27FC236}">
              <a16:creationId xmlns:a16="http://schemas.microsoft.com/office/drawing/2014/main" id="{C02F169B-D5EA-41D3-A353-631D76557D22}"/>
            </a:ext>
          </a:extLst>
        </xdr:cNvPr>
        <xdr:cNvSpPr>
          <a:spLocks noChangeShapeType="1"/>
        </xdr:cNvSpPr>
      </xdr:nvSpPr>
      <xdr:spPr bwMode="auto">
        <a:xfrm>
          <a:off x="6553200" y="21240750"/>
          <a:ext cx="0" cy="40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352425</xdr:colOff>
      <xdr:row>119</xdr:row>
      <xdr:rowOff>19050</xdr:rowOff>
    </xdr:from>
    <xdr:to>
      <xdr:col>6</xdr:col>
      <xdr:colOff>352425</xdr:colOff>
      <xdr:row>122</xdr:row>
      <xdr:rowOff>104775</xdr:rowOff>
    </xdr:to>
    <xdr:sp macro="" textlink="">
      <xdr:nvSpPr>
        <xdr:cNvPr id="1314" name="Line 2">
          <a:extLst>
            <a:ext uri="{FF2B5EF4-FFF2-40B4-BE49-F238E27FC236}">
              <a16:creationId xmlns:a16="http://schemas.microsoft.com/office/drawing/2014/main" id="{5F52E44F-9F14-4CB2-BEB9-A4C8E2EAAA24}"/>
            </a:ext>
          </a:extLst>
        </xdr:cNvPr>
        <xdr:cNvSpPr>
          <a:spLocks noChangeShapeType="1"/>
        </xdr:cNvSpPr>
      </xdr:nvSpPr>
      <xdr:spPr bwMode="auto">
        <a:xfrm>
          <a:off x="7334250" y="21250275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400050</xdr:colOff>
      <xdr:row>119</xdr:row>
      <xdr:rowOff>19050</xdr:rowOff>
    </xdr:from>
    <xdr:to>
      <xdr:col>7</xdr:col>
      <xdr:colOff>400050</xdr:colOff>
      <xdr:row>123</xdr:row>
      <xdr:rowOff>76200</xdr:rowOff>
    </xdr:to>
    <xdr:sp macro="" textlink="">
      <xdr:nvSpPr>
        <xdr:cNvPr id="1315" name="Line 3">
          <a:extLst>
            <a:ext uri="{FF2B5EF4-FFF2-40B4-BE49-F238E27FC236}">
              <a16:creationId xmlns:a16="http://schemas.microsoft.com/office/drawing/2014/main" id="{042DBD80-8F83-4024-9253-B3A8CBC780D2}"/>
            </a:ext>
          </a:extLst>
        </xdr:cNvPr>
        <xdr:cNvSpPr>
          <a:spLocks noChangeShapeType="1"/>
        </xdr:cNvSpPr>
      </xdr:nvSpPr>
      <xdr:spPr bwMode="auto">
        <a:xfrm>
          <a:off x="8191500" y="21250275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119</xdr:row>
      <xdr:rowOff>38100</xdr:rowOff>
    </xdr:from>
    <xdr:to>
      <xdr:col>8</xdr:col>
      <xdr:colOff>400050</xdr:colOff>
      <xdr:row>124</xdr:row>
      <xdr:rowOff>95250</xdr:rowOff>
    </xdr:to>
    <xdr:sp macro="" textlink="">
      <xdr:nvSpPr>
        <xdr:cNvPr id="1316" name="Line 4">
          <a:extLst>
            <a:ext uri="{FF2B5EF4-FFF2-40B4-BE49-F238E27FC236}">
              <a16:creationId xmlns:a16="http://schemas.microsoft.com/office/drawing/2014/main" id="{60451E5E-ECB5-4401-9228-D457D06F63CB}"/>
            </a:ext>
          </a:extLst>
        </xdr:cNvPr>
        <xdr:cNvSpPr>
          <a:spLocks noChangeShapeType="1"/>
        </xdr:cNvSpPr>
      </xdr:nvSpPr>
      <xdr:spPr bwMode="auto">
        <a:xfrm>
          <a:off x="8905875" y="21269325"/>
          <a:ext cx="0" cy="866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120</xdr:row>
      <xdr:rowOff>57150</xdr:rowOff>
    </xdr:from>
    <xdr:to>
      <xdr:col>4</xdr:col>
      <xdr:colOff>476250</xdr:colOff>
      <xdr:row>120</xdr:row>
      <xdr:rowOff>57150</xdr:rowOff>
    </xdr:to>
    <xdr:sp macro="" textlink="">
      <xdr:nvSpPr>
        <xdr:cNvPr id="1317" name="Line 6">
          <a:extLst>
            <a:ext uri="{FF2B5EF4-FFF2-40B4-BE49-F238E27FC236}">
              <a16:creationId xmlns:a16="http://schemas.microsoft.com/office/drawing/2014/main" id="{09F18D7C-8D2A-43A2-8756-2AC428F9D4E0}"/>
            </a:ext>
          </a:extLst>
        </xdr:cNvPr>
        <xdr:cNvSpPr>
          <a:spLocks noChangeShapeType="1"/>
        </xdr:cNvSpPr>
      </xdr:nvSpPr>
      <xdr:spPr bwMode="auto">
        <a:xfrm flipH="1">
          <a:off x="5257800" y="21450300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121</xdr:row>
      <xdr:rowOff>95250</xdr:rowOff>
    </xdr:from>
    <xdr:to>
      <xdr:col>5</xdr:col>
      <xdr:colOff>400050</xdr:colOff>
      <xdr:row>121</xdr:row>
      <xdr:rowOff>95250</xdr:rowOff>
    </xdr:to>
    <xdr:sp macro="" textlink="">
      <xdr:nvSpPr>
        <xdr:cNvPr id="1318" name="Line 7">
          <a:extLst>
            <a:ext uri="{FF2B5EF4-FFF2-40B4-BE49-F238E27FC236}">
              <a16:creationId xmlns:a16="http://schemas.microsoft.com/office/drawing/2014/main" id="{41B6F668-4888-474B-B881-8391593A886A}"/>
            </a:ext>
          </a:extLst>
        </xdr:cNvPr>
        <xdr:cNvSpPr>
          <a:spLocks noChangeShapeType="1"/>
        </xdr:cNvSpPr>
      </xdr:nvSpPr>
      <xdr:spPr bwMode="auto">
        <a:xfrm flipH="1">
          <a:off x="5257800" y="216503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122</xdr:row>
      <xdr:rowOff>95250</xdr:rowOff>
    </xdr:from>
    <xdr:to>
      <xdr:col>6</xdr:col>
      <xdr:colOff>352425</xdr:colOff>
      <xdr:row>122</xdr:row>
      <xdr:rowOff>95250</xdr:rowOff>
    </xdr:to>
    <xdr:sp macro="" textlink="">
      <xdr:nvSpPr>
        <xdr:cNvPr id="1319" name="Line 8">
          <a:extLst>
            <a:ext uri="{FF2B5EF4-FFF2-40B4-BE49-F238E27FC236}">
              <a16:creationId xmlns:a16="http://schemas.microsoft.com/office/drawing/2014/main" id="{9B0FD400-23B9-4FFA-B2B9-CFB3C1C3ABC7}"/>
            </a:ext>
          </a:extLst>
        </xdr:cNvPr>
        <xdr:cNvSpPr>
          <a:spLocks noChangeShapeType="1"/>
        </xdr:cNvSpPr>
      </xdr:nvSpPr>
      <xdr:spPr bwMode="auto">
        <a:xfrm flipH="1">
          <a:off x="5257800" y="21812250"/>
          <a:ext cx="2076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123</xdr:row>
      <xdr:rowOff>66675</xdr:rowOff>
    </xdr:from>
    <xdr:to>
      <xdr:col>7</xdr:col>
      <xdr:colOff>400050</xdr:colOff>
      <xdr:row>123</xdr:row>
      <xdr:rowOff>66675</xdr:rowOff>
    </xdr:to>
    <xdr:sp macro="" textlink="">
      <xdr:nvSpPr>
        <xdr:cNvPr id="1320" name="Line 9">
          <a:extLst>
            <a:ext uri="{FF2B5EF4-FFF2-40B4-BE49-F238E27FC236}">
              <a16:creationId xmlns:a16="http://schemas.microsoft.com/office/drawing/2014/main" id="{F47DD6B7-5CFC-4CCD-AF32-DA0860199A06}"/>
            </a:ext>
          </a:extLst>
        </xdr:cNvPr>
        <xdr:cNvSpPr>
          <a:spLocks noChangeShapeType="1"/>
        </xdr:cNvSpPr>
      </xdr:nvSpPr>
      <xdr:spPr bwMode="auto">
        <a:xfrm flipH="1">
          <a:off x="5257800" y="21945600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124</xdr:row>
      <xdr:rowOff>85725</xdr:rowOff>
    </xdr:from>
    <xdr:to>
      <xdr:col>8</xdr:col>
      <xdr:colOff>409575</xdr:colOff>
      <xdr:row>124</xdr:row>
      <xdr:rowOff>85725</xdr:rowOff>
    </xdr:to>
    <xdr:sp macro="" textlink="">
      <xdr:nvSpPr>
        <xdr:cNvPr id="1321" name="Line 10">
          <a:extLst>
            <a:ext uri="{FF2B5EF4-FFF2-40B4-BE49-F238E27FC236}">
              <a16:creationId xmlns:a16="http://schemas.microsoft.com/office/drawing/2014/main" id="{767408FE-DAE6-4B4F-8678-28C303B82322}"/>
            </a:ext>
          </a:extLst>
        </xdr:cNvPr>
        <xdr:cNvSpPr>
          <a:spLocks noChangeShapeType="1"/>
        </xdr:cNvSpPr>
      </xdr:nvSpPr>
      <xdr:spPr bwMode="auto">
        <a:xfrm flipH="1">
          <a:off x="5257800" y="2212657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466725</xdr:colOff>
      <xdr:row>119</xdr:row>
      <xdr:rowOff>0</xdr:rowOff>
    </xdr:from>
    <xdr:to>
      <xdr:col>4</xdr:col>
      <xdr:colOff>466725</xdr:colOff>
      <xdr:row>120</xdr:row>
      <xdr:rowOff>57150</xdr:rowOff>
    </xdr:to>
    <xdr:sp macro="" textlink="">
      <xdr:nvSpPr>
        <xdr:cNvPr id="1322" name="Line 12">
          <a:extLst>
            <a:ext uri="{FF2B5EF4-FFF2-40B4-BE49-F238E27FC236}">
              <a16:creationId xmlns:a16="http://schemas.microsoft.com/office/drawing/2014/main" id="{2C7F6C88-EBB1-4A3A-8BB2-5C1E27ADE7D0}"/>
            </a:ext>
          </a:extLst>
        </xdr:cNvPr>
        <xdr:cNvSpPr>
          <a:spLocks noChangeShapeType="1"/>
        </xdr:cNvSpPr>
      </xdr:nvSpPr>
      <xdr:spPr bwMode="auto">
        <a:xfrm>
          <a:off x="5724525" y="212312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762000</xdr:colOff>
      <xdr:row>6</xdr:row>
      <xdr:rowOff>190500</xdr:rowOff>
    </xdr:from>
    <xdr:to>
      <xdr:col>2</xdr:col>
      <xdr:colOff>523875</xdr:colOff>
      <xdr:row>6</xdr:row>
      <xdr:rowOff>190500</xdr:rowOff>
    </xdr:to>
    <xdr:sp macro="" textlink="">
      <xdr:nvSpPr>
        <xdr:cNvPr id="1323" name="Line 14">
          <a:extLst>
            <a:ext uri="{FF2B5EF4-FFF2-40B4-BE49-F238E27FC236}">
              <a16:creationId xmlns:a16="http://schemas.microsoft.com/office/drawing/2014/main" id="{61551564-6345-428E-89B9-9E3A07378FEF}"/>
            </a:ext>
          </a:extLst>
        </xdr:cNvPr>
        <xdr:cNvSpPr>
          <a:spLocks noChangeShapeType="1"/>
        </xdr:cNvSpPr>
      </xdr:nvSpPr>
      <xdr:spPr bwMode="auto">
        <a:xfrm>
          <a:off x="1019175" y="1333500"/>
          <a:ext cx="2038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18</xdr:row>
      <xdr:rowOff>0</xdr:rowOff>
    </xdr:from>
    <xdr:to>
      <xdr:col>8</xdr:col>
      <xdr:colOff>228600</xdr:colOff>
      <xdr:row>19</xdr:row>
      <xdr:rowOff>266700</xdr:rowOff>
    </xdr:to>
    <xdr:sp macro="" textlink="">
      <xdr:nvSpPr>
        <xdr:cNvPr id="1324" name="Line 15">
          <a:extLst>
            <a:ext uri="{FF2B5EF4-FFF2-40B4-BE49-F238E27FC236}">
              <a16:creationId xmlns:a16="http://schemas.microsoft.com/office/drawing/2014/main" id="{A18A8A38-EBDC-4AE4-A2B1-79193D6E688C}"/>
            </a:ext>
          </a:extLst>
        </xdr:cNvPr>
        <xdr:cNvSpPr>
          <a:spLocks noChangeShapeType="1"/>
        </xdr:cNvSpPr>
      </xdr:nvSpPr>
      <xdr:spPr bwMode="auto">
        <a:xfrm flipV="1">
          <a:off x="4029075" y="2314575"/>
          <a:ext cx="470535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103</xdr:row>
      <xdr:rowOff>104775</xdr:rowOff>
    </xdr:from>
    <xdr:to>
      <xdr:col>9</xdr:col>
      <xdr:colOff>266700</xdr:colOff>
      <xdr:row>109</xdr:row>
      <xdr:rowOff>0</xdr:rowOff>
    </xdr:to>
    <xdr:sp macro="" textlink="">
      <xdr:nvSpPr>
        <xdr:cNvPr id="1326" name="Line 20">
          <a:extLst>
            <a:ext uri="{FF2B5EF4-FFF2-40B4-BE49-F238E27FC236}">
              <a16:creationId xmlns:a16="http://schemas.microsoft.com/office/drawing/2014/main" id="{CD2D1FAA-873A-422B-9F57-F4E946FBA2BF}"/>
            </a:ext>
          </a:extLst>
        </xdr:cNvPr>
        <xdr:cNvSpPr>
          <a:spLocks noChangeShapeType="1"/>
        </xdr:cNvSpPr>
      </xdr:nvSpPr>
      <xdr:spPr bwMode="auto">
        <a:xfrm flipV="1">
          <a:off x="9439275" y="18830925"/>
          <a:ext cx="257175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47625</xdr:colOff>
      <xdr:row>111</xdr:row>
      <xdr:rowOff>85725</xdr:rowOff>
    </xdr:from>
    <xdr:to>
      <xdr:col>9</xdr:col>
      <xdr:colOff>333375</xdr:colOff>
      <xdr:row>111</xdr:row>
      <xdr:rowOff>85725</xdr:rowOff>
    </xdr:to>
    <xdr:sp macro="" textlink="">
      <xdr:nvSpPr>
        <xdr:cNvPr id="1327" name="Line 21">
          <a:extLst>
            <a:ext uri="{FF2B5EF4-FFF2-40B4-BE49-F238E27FC236}">
              <a16:creationId xmlns:a16="http://schemas.microsoft.com/office/drawing/2014/main" id="{D9B0292D-D435-4C70-95B0-7988F67100E1}"/>
            </a:ext>
          </a:extLst>
        </xdr:cNvPr>
        <xdr:cNvSpPr>
          <a:spLocks noChangeShapeType="1"/>
        </xdr:cNvSpPr>
      </xdr:nvSpPr>
      <xdr:spPr bwMode="auto">
        <a:xfrm flipH="1">
          <a:off x="9477375" y="19983450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361950</xdr:colOff>
      <xdr:row>117</xdr:row>
      <xdr:rowOff>76200</xdr:rowOff>
    </xdr:from>
    <xdr:to>
      <xdr:col>4</xdr:col>
      <xdr:colOff>47625</xdr:colOff>
      <xdr:row>117</xdr:row>
      <xdr:rowOff>76200</xdr:rowOff>
    </xdr:to>
    <xdr:sp macro="" textlink="">
      <xdr:nvSpPr>
        <xdr:cNvPr id="1328" name="Line 24">
          <a:extLst>
            <a:ext uri="{FF2B5EF4-FFF2-40B4-BE49-F238E27FC236}">
              <a16:creationId xmlns:a16="http://schemas.microsoft.com/office/drawing/2014/main" id="{42D974ED-CAA6-4814-BCD2-0EB685FECE52}"/>
            </a:ext>
          </a:extLst>
        </xdr:cNvPr>
        <xdr:cNvSpPr>
          <a:spLocks noChangeShapeType="1"/>
        </xdr:cNvSpPr>
      </xdr:nvSpPr>
      <xdr:spPr bwMode="auto">
        <a:xfrm>
          <a:off x="4362450" y="20945475"/>
          <a:ext cx="942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vya Raj Singh Parihar" id="{97A19CB9-F149-4967-9168-D428F0BD1EDB}" userId="S::dparihar@stevens.edu::5e93e38e-6fec-4231-a09d-53dba454e73e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3-11-19T09:54:18.22" personId="{97A19CB9-F149-4967-9168-D428F0BD1EDB}" id="{8A39D902-30A4-46DE-B70D-C06332A6D793}">
    <text>I HAVE ADDED STM , AMD,BROADCOM,LATTICE,INTC,. PLEASE CORRECT THE NUMBERS FOR NVDA , TEXAS,ANALOG. WE NEED THEM IN THOUSANDS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48"/>
  <sheetViews>
    <sheetView zoomScale="88" workbookViewId="0">
      <selection activeCell="D144" sqref="D144"/>
    </sheetView>
  </sheetViews>
  <sheetFormatPr defaultRowHeight="12.5"/>
  <cols>
    <col min="1" max="1" width="2.81640625" customWidth="1"/>
    <col min="2" max="2" width="17" customWidth="1"/>
    <col min="3" max="3" width="31.54296875" customWidth="1"/>
    <col min="4" max="4" width="11.81640625" bestFit="1" customWidth="1"/>
    <col min="5" max="5" width="11.54296875" bestFit="1" customWidth="1"/>
    <col min="6" max="6" width="10.54296875" customWidth="1"/>
    <col min="7" max="7" width="11.453125" customWidth="1"/>
    <col min="8" max="8" width="3.1796875" customWidth="1"/>
    <col min="9" max="9" width="31.81640625" customWidth="1"/>
    <col min="10" max="10" width="32" customWidth="1"/>
    <col min="11" max="11" width="12" customWidth="1"/>
    <col min="12" max="12" width="11" bestFit="1" customWidth="1"/>
    <col min="13" max="13" width="13.81640625" customWidth="1"/>
    <col min="14" max="14" width="14.1796875" customWidth="1"/>
    <col min="15" max="15" width="33.1796875" customWidth="1"/>
    <col min="16" max="16" width="9.1796875" bestFit="1" customWidth="1"/>
    <col min="17" max="18" width="9.453125" bestFit="1" customWidth="1"/>
  </cols>
  <sheetData>
    <row r="1" spans="2:14" ht="25">
      <c r="B1" s="76" t="s">
        <v>0</v>
      </c>
    </row>
    <row r="2" spans="2:14" ht="13">
      <c r="B2" s="335" t="s">
        <v>1</v>
      </c>
      <c r="C2" s="234"/>
      <c r="E2" s="235" t="s">
        <v>2</v>
      </c>
      <c r="F2" s="264">
        <v>128.91999999999999</v>
      </c>
    </row>
    <row r="3" spans="2:14">
      <c r="K3" s="89" t="s">
        <v>3</v>
      </c>
      <c r="M3" t="s">
        <v>4</v>
      </c>
    </row>
    <row r="4" spans="2:14">
      <c r="F4" s="71"/>
      <c r="G4" s="71"/>
    </row>
    <row r="5" spans="2:14" ht="13">
      <c r="B5" s="2" t="s">
        <v>5</v>
      </c>
      <c r="I5" s="2" t="s">
        <v>6</v>
      </c>
      <c r="J5" s="2"/>
      <c r="K5" s="2"/>
      <c r="L5" s="2"/>
      <c r="M5" s="2"/>
      <c r="N5" s="2"/>
    </row>
    <row r="6" spans="2:14" ht="13">
      <c r="B6" s="68" t="s">
        <v>7</v>
      </c>
      <c r="C6" s="69"/>
      <c r="D6" s="82">
        <v>44834</v>
      </c>
      <c r="E6" s="82">
        <v>44469</v>
      </c>
      <c r="F6" s="82">
        <v>44104</v>
      </c>
      <c r="G6" s="287"/>
      <c r="I6" s="338" t="s">
        <v>7</v>
      </c>
      <c r="J6" s="339"/>
      <c r="K6" s="336">
        <v>45199</v>
      </c>
      <c r="L6" s="336">
        <v>45107</v>
      </c>
      <c r="M6" s="336">
        <v>45016</v>
      </c>
      <c r="N6" s="337">
        <v>44926</v>
      </c>
    </row>
    <row r="7" spans="2:14">
      <c r="B7" s="70" t="s">
        <v>8</v>
      </c>
      <c r="D7" s="71">
        <v>44200000</v>
      </c>
      <c r="E7" s="71">
        <v>33566000</v>
      </c>
      <c r="F7" s="345">
        <v>23531000</v>
      </c>
      <c r="G7" s="72"/>
      <c r="I7" s="340" t="s">
        <v>8</v>
      </c>
      <c r="K7" s="71">
        <v>8631000</v>
      </c>
      <c r="L7" s="71">
        <v>8451000</v>
      </c>
      <c r="M7" s="71">
        <v>9275000</v>
      </c>
      <c r="N7" s="341">
        <v>9463000</v>
      </c>
    </row>
    <row r="8" spans="2:14">
      <c r="B8" s="70" t="s">
        <v>9</v>
      </c>
      <c r="D8" s="71">
        <v>18635000</v>
      </c>
      <c r="E8" s="71">
        <v>14262000</v>
      </c>
      <c r="F8" s="345">
        <v>9255000</v>
      </c>
      <c r="G8" s="72"/>
      <c r="I8" s="340" t="s">
        <v>9</v>
      </c>
      <c r="K8" s="71">
        <v>3880000</v>
      </c>
      <c r="L8" s="71">
        <v>3792000</v>
      </c>
      <c r="M8" s="71">
        <v>4153000</v>
      </c>
      <c r="N8" s="341">
        <v>4044000</v>
      </c>
    </row>
    <row r="9" spans="2:14">
      <c r="B9" s="70"/>
      <c r="F9" s="71"/>
      <c r="G9" s="73"/>
      <c r="I9" s="340"/>
      <c r="K9" s="71"/>
      <c r="L9" s="71"/>
      <c r="M9" s="71"/>
      <c r="N9" s="341"/>
    </row>
    <row r="10" spans="2:14">
      <c r="B10" s="70" t="s">
        <v>10</v>
      </c>
      <c r="D10" s="71">
        <v>25565000</v>
      </c>
      <c r="E10" s="71">
        <v>19304000</v>
      </c>
      <c r="F10" s="345">
        <v>14276000</v>
      </c>
      <c r="G10" s="72"/>
      <c r="I10" s="340" t="s">
        <v>10</v>
      </c>
      <c r="K10" s="71">
        <v>4751000</v>
      </c>
      <c r="L10" s="71">
        <v>4659000</v>
      </c>
      <c r="M10" s="71">
        <v>5122000</v>
      </c>
      <c r="N10" s="341">
        <v>5419000</v>
      </c>
    </row>
    <row r="11" spans="2:14">
      <c r="B11" s="70"/>
      <c r="F11" s="71"/>
      <c r="G11" s="73"/>
      <c r="I11" s="340"/>
      <c r="K11" s="71"/>
      <c r="L11" s="71"/>
      <c r="M11" s="71"/>
      <c r="N11" s="341"/>
    </row>
    <row r="12" spans="2:14">
      <c r="B12" s="70"/>
      <c r="C12" t="s">
        <v>11</v>
      </c>
      <c r="F12" s="71"/>
      <c r="G12" s="73"/>
      <c r="I12" s="340"/>
      <c r="J12" t="s">
        <v>11</v>
      </c>
      <c r="K12" s="71"/>
      <c r="L12" s="71"/>
      <c r="M12" s="71"/>
      <c r="N12" s="341"/>
    </row>
    <row r="13" spans="2:14">
      <c r="B13" s="70"/>
      <c r="C13" t="s">
        <v>12</v>
      </c>
      <c r="D13" s="345">
        <v>8194000</v>
      </c>
      <c r="F13" s="345">
        <v>5975000</v>
      </c>
      <c r="G13" s="73"/>
      <c r="I13" s="340"/>
      <c r="J13" t="s">
        <v>12</v>
      </c>
      <c r="K13" s="71">
        <v>2135000</v>
      </c>
      <c r="L13" s="71">
        <v>2222000</v>
      </c>
      <c r="M13" s="71">
        <v>2210000</v>
      </c>
      <c r="N13" s="341">
        <v>2251000</v>
      </c>
    </row>
    <row r="14" spans="2:14">
      <c r="B14" s="70"/>
      <c r="C14" t="s">
        <v>13</v>
      </c>
      <c r="D14" s="71">
        <v>2570000</v>
      </c>
      <c r="E14" s="71">
        <v>2339000</v>
      </c>
      <c r="F14" s="345">
        <v>2074000</v>
      </c>
      <c r="G14" s="72"/>
      <c r="I14" s="340"/>
      <c r="J14" t="s">
        <v>13</v>
      </c>
      <c r="K14" s="71">
        <v>628000</v>
      </c>
      <c r="L14" s="71">
        <v>618000</v>
      </c>
      <c r="M14" s="71">
        <v>614000</v>
      </c>
      <c r="N14" s="341">
        <v>623000</v>
      </c>
    </row>
    <row r="15" spans="2:14">
      <c r="B15" s="70"/>
      <c r="C15" t="s">
        <v>14</v>
      </c>
      <c r="D15" s="71"/>
      <c r="E15" s="71">
        <v>7176000</v>
      </c>
      <c r="F15" s="71"/>
      <c r="G15" s="72"/>
      <c r="I15" s="340"/>
      <c r="J15" t="s">
        <v>14</v>
      </c>
      <c r="K15" s="71"/>
      <c r="L15" s="71"/>
      <c r="M15" s="71"/>
      <c r="N15" s="341"/>
    </row>
    <row r="16" spans="2:14">
      <c r="B16" s="70"/>
      <c r="C16" t="s">
        <v>15</v>
      </c>
      <c r="D16" s="71">
        <v>-1059000</v>
      </c>
      <c r="E16" s="71">
        <v>0</v>
      </c>
      <c r="F16" s="345">
        <v>-28000</v>
      </c>
      <c r="G16" s="72"/>
      <c r="I16" s="340"/>
      <c r="J16" t="s">
        <v>15</v>
      </c>
      <c r="K16" s="71">
        <v>577000</v>
      </c>
      <c r="L16" s="71">
        <v>0</v>
      </c>
      <c r="M16" s="71">
        <v>208000</v>
      </c>
      <c r="N16" s="341">
        <v>80000</v>
      </c>
    </row>
    <row r="17" spans="2:14">
      <c r="B17" s="70"/>
      <c r="F17" s="71"/>
      <c r="G17" s="73"/>
      <c r="I17" s="340"/>
      <c r="N17" s="341"/>
    </row>
    <row r="18" spans="2:14">
      <c r="B18" s="70"/>
      <c r="C18" t="s">
        <v>16</v>
      </c>
      <c r="D18" s="71">
        <f>D14+D13+D16</f>
        <v>9705000</v>
      </c>
      <c r="E18" s="71">
        <f>E14+E15+E16</f>
        <v>9515000</v>
      </c>
      <c r="F18" s="345">
        <v>8021000</v>
      </c>
      <c r="G18" s="73"/>
      <c r="I18" s="340"/>
      <c r="J18" t="s">
        <v>16</v>
      </c>
      <c r="K18" s="71">
        <f>SUM(K13:K16)</f>
        <v>3340000</v>
      </c>
      <c r="L18" s="71">
        <f t="shared" ref="L18:N18" si="0">SUM(L13:L16)</f>
        <v>2840000</v>
      </c>
      <c r="M18" s="71">
        <f>SUM(M13:M16)</f>
        <v>3032000</v>
      </c>
      <c r="N18" s="341">
        <f t="shared" si="0"/>
        <v>2954000</v>
      </c>
    </row>
    <row r="19" spans="2:14">
      <c r="B19" s="70"/>
      <c r="F19" s="71"/>
      <c r="G19" s="73"/>
      <c r="I19" s="340"/>
      <c r="N19" s="341"/>
    </row>
    <row r="20" spans="2:14">
      <c r="B20" s="70"/>
      <c r="F20" s="71"/>
      <c r="G20" s="73"/>
      <c r="I20" s="340"/>
      <c r="N20" s="341"/>
    </row>
    <row r="21" spans="2:14">
      <c r="B21" s="70" t="s">
        <v>17</v>
      </c>
      <c r="D21" s="71">
        <f>D10-D18</f>
        <v>15860000</v>
      </c>
      <c r="E21" s="71">
        <v>9789000</v>
      </c>
      <c r="F21" s="345">
        <v>6255000</v>
      </c>
      <c r="G21" s="72"/>
      <c r="I21" s="340" t="s">
        <v>17</v>
      </c>
      <c r="K21" s="71">
        <v>1411000</v>
      </c>
      <c r="L21" s="71">
        <v>1819000</v>
      </c>
      <c r="M21" s="71">
        <v>2090000</v>
      </c>
      <c r="N21" s="341">
        <v>2465000</v>
      </c>
    </row>
    <row r="22" spans="2:14">
      <c r="B22" s="70"/>
      <c r="F22" s="71"/>
      <c r="G22" s="73"/>
      <c r="I22" s="340"/>
      <c r="N22" s="341"/>
    </row>
    <row r="23" spans="2:14">
      <c r="B23" s="70"/>
      <c r="C23" t="s">
        <v>18</v>
      </c>
      <c r="F23" s="71"/>
      <c r="G23" s="73"/>
      <c r="I23" s="340"/>
      <c r="J23" t="s">
        <v>18</v>
      </c>
      <c r="N23" s="341"/>
    </row>
    <row r="24" spans="2:14">
      <c r="B24" s="70"/>
      <c r="C24" t="s">
        <v>19</v>
      </c>
      <c r="D24" s="71">
        <v>-463000</v>
      </c>
      <c r="E24" s="71">
        <v>1044000</v>
      </c>
      <c r="F24" s="345">
        <v>66000</v>
      </c>
      <c r="G24" s="72"/>
      <c r="I24" s="340"/>
      <c r="J24" t="s">
        <v>19</v>
      </c>
      <c r="K24" s="71">
        <f>K21-K25</f>
        <v>-183000</v>
      </c>
      <c r="L24" s="71">
        <f t="shared" ref="L24:N24" si="1">L21-L25</f>
        <v>-110000</v>
      </c>
      <c r="M24" s="71">
        <f>M21-M25</f>
        <v>16000</v>
      </c>
      <c r="N24" s="341">
        <f t="shared" si="1"/>
        <v>-76000</v>
      </c>
    </row>
    <row r="25" spans="2:14">
      <c r="B25" s="70"/>
      <c r="C25" t="s">
        <v>20</v>
      </c>
      <c r="D25" s="71">
        <f>D21+D24</f>
        <v>15397000</v>
      </c>
      <c r="E25" s="71">
        <f>E21+E24</f>
        <v>10833000</v>
      </c>
      <c r="F25" s="71">
        <v>6321000</v>
      </c>
      <c r="G25" s="72">
        <f>F21+F24</f>
        <v>6321000</v>
      </c>
      <c r="I25" s="340"/>
      <c r="J25" t="s">
        <v>20</v>
      </c>
      <c r="K25" s="71">
        <v>1594000</v>
      </c>
      <c r="L25" s="71">
        <v>1929000</v>
      </c>
      <c r="M25" s="71">
        <v>2074000</v>
      </c>
      <c r="N25" s="341">
        <v>2541000</v>
      </c>
    </row>
    <row r="26" spans="2:14">
      <c r="B26" s="70"/>
      <c r="C26" t="s">
        <v>21</v>
      </c>
      <c r="D26" s="71">
        <v>-399000</v>
      </c>
      <c r="E26" s="71">
        <v>-559000</v>
      </c>
      <c r="F26" s="71">
        <v>602000</v>
      </c>
      <c r="G26" s="72"/>
      <c r="I26" s="340"/>
      <c r="J26" t="s">
        <v>21</v>
      </c>
      <c r="K26" s="71">
        <v>174000</v>
      </c>
      <c r="L26" s="71">
        <v>172000</v>
      </c>
      <c r="M26" s="71">
        <v>179000</v>
      </c>
      <c r="N26" s="341">
        <v>170000</v>
      </c>
    </row>
    <row r="27" spans="2:14">
      <c r="B27" s="70"/>
      <c r="C27" t="s">
        <v>22</v>
      </c>
      <c r="D27" s="71">
        <f>D25+D26</f>
        <v>14998000</v>
      </c>
      <c r="E27" s="71">
        <f>E25+E26</f>
        <v>10274000</v>
      </c>
      <c r="F27" s="71">
        <v>5719000</v>
      </c>
      <c r="G27" s="72"/>
      <c r="I27" s="340"/>
      <c r="J27" t="s">
        <v>22</v>
      </c>
      <c r="K27" s="71">
        <f>K25-K26</f>
        <v>1420000</v>
      </c>
      <c r="L27" s="71">
        <f t="shared" ref="L27:N27" si="2">L25-L26</f>
        <v>1757000</v>
      </c>
      <c r="M27" s="71">
        <f>M25-M26</f>
        <v>1895000</v>
      </c>
      <c r="N27" s="341">
        <f t="shared" si="2"/>
        <v>2371000</v>
      </c>
    </row>
    <row r="28" spans="2:14">
      <c r="B28" s="389"/>
      <c r="C28" t="s">
        <v>23</v>
      </c>
      <c r="D28" s="71">
        <v>2012000</v>
      </c>
      <c r="E28" s="71">
        <v>1231000</v>
      </c>
      <c r="F28" s="71">
        <v>521000</v>
      </c>
      <c r="G28" s="72"/>
      <c r="I28" s="340"/>
      <c r="J28" t="s">
        <v>23</v>
      </c>
      <c r="K28" s="71">
        <v>-209000</v>
      </c>
      <c r="L28" s="71">
        <v>22000</v>
      </c>
      <c r="M28" s="71">
        <v>193000</v>
      </c>
      <c r="N28" s="341">
        <v>98000</v>
      </c>
    </row>
    <row r="29" spans="2:14">
      <c r="B29" s="70"/>
      <c r="C29" t="s">
        <v>24</v>
      </c>
      <c r="D29" s="71"/>
      <c r="E29" s="71"/>
      <c r="F29" s="71"/>
      <c r="G29" s="388" t="s">
        <v>3</v>
      </c>
      <c r="I29" s="340"/>
      <c r="J29" t="s">
        <v>24</v>
      </c>
      <c r="K29" s="71"/>
      <c r="L29" s="71"/>
      <c r="M29" s="71"/>
      <c r="N29" s="341"/>
    </row>
    <row r="30" spans="2:14">
      <c r="B30" s="348"/>
      <c r="D30" s="71"/>
      <c r="E30" s="71"/>
      <c r="F30" s="71"/>
      <c r="G30" s="73"/>
      <c r="I30" s="346"/>
      <c r="K30" s="71"/>
    </row>
    <row r="31" spans="2:14">
      <c r="B31" s="70"/>
      <c r="C31" t="s">
        <v>25</v>
      </c>
      <c r="D31" s="71">
        <f>D27-D28</f>
        <v>12986000</v>
      </c>
      <c r="E31" s="71">
        <f>E27-E28</f>
        <v>9043000</v>
      </c>
      <c r="F31" s="345">
        <v>5198000</v>
      </c>
      <c r="G31" s="72"/>
      <c r="I31" s="340"/>
      <c r="J31" t="s">
        <v>25</v>
      </c>
      <c r="K31" s="71">
        <v>1489000</v>
      </c>
      <c r="L31" s="71">
        <f>L27-L28</f>
        <v>1735000</v>
      </c>
      <c r="M31" s="71">
        <f>M27-M28</f>
        <v>1702000</v>
      </c>
      <c r="N31" s="71">
        <f>N27-N28</f>
        <v>2273000</v>
      </c>
    </row>
    <row r="32" spans="2:14">
      <c r="B32" s="70"/>
      <c r="F32" s="71"/>
      <c r="G32" s="73"/>
      <c r="I32" s="340"/>
      <c r="K32" s="71"/>
      <c r="L32" s="71"/>
      <c r="M32" s="71"/>
      <c r="N32" s="71"/>
    </row>
    <row r="33" spans="2:14">
      <c r="B33" s="70"/>
      <c r="C33" t="s">
        <v>26</v>
      </c>
      <c r="F33" s="71"/>
      <c r="G33" s="73"/>
      <c r="I33" s="340"/>
      <c r="J33" t="s">
        <v>26</v>
      </c>
      <c r="K33" s="71"/>
      <c r="L33" s="71"/>
      <c r="M33" s="71"/>
      <c r="N33" s="71"/>
    </row>
    <row r="34" spans="2:14">
      <c r="B34" s="70"/>
      <c r="C34" t="s">
        <v>27</v>
      </c>
      <c r="D34" s="71">
        <v>-50000</v>
      </c>
      <c r="E34" s="387" t="s">
        <v>3</v>
      </c>
      <c r="F34" s="71"/>
      <c r="G34" s="72"/>
      <c r="I34" s="340"/>
      <c r="J34" t="s">
        <v>27</v>
      </c>
      <c r="K34" s="71">
        <v>-140000</v>
      </c>
      <c r="L34" s="71">
        <v>68000</v>
      </c>
      <c r="M34" s="71">
        <v>2000</v>
      </c>
      <c r="N34" s="71">
        <v>-38000</v>
      </c>
    </row>
    <row r="35" spans="2:14">
      <c r="B35" s="70"/>
      <c r="C35" t="s">
        <v>28</v>
      </c>
      <c r="F35" s="71"/>
      <c r="G35" s="73"/>
      <c r="I35" s="340"/>
      <c r="J35" t="s">
        <v>28</v>
      </c>
      <c r="K35" s="71"/>
      <c r="L35" s="71"/>
      <c r="M35" s="71"/>
      <c r="N35" s="71"/>
    </row>
    <row r="36" spans="2:14">
      <c r="B36" s="70"/>
      <c r="C36" t="s">
        <v>29</v>
      </c>
      <c r="D36" s="71"/>
      <c r="E36" s="71"/>
      <c r="F36" s="71"/>
      <c r="G36" s="72"/>
      <c r="I36" s="340"/>
      <c r="J36" t="s">
        <v>29</v>
      </c>
      <c r="K36" s="71"/>
      <c r="L36" s="71"/>
      <c r="M36" s="71"/>
      <c r="N36" s="71"/>
    </row>
    <row r="37" spans="2:14">
      <c r="B37" s="70"/>
      <c r="C37" t="s">
        <v>30</v>
      </c>
      <c r="F37" s="71"/>
      <c r="G37" s="73"/>
      <c r="I37" s="340"/>
      <c r="J37" t="s">
        <v>30</v>
      </c>
      <c r="K37" s="71"/>
      <c r="L37" s="71"/>
      <c r="M37" s="387" t="s">
        <v>3</v>
      </c>
      <c r="N37" s="341"/>
    </row>
    <row r="38" spans="2:14">
      <c r="B38" s="70"/>
      <c r="F38" s="71"/>
      <c r="G38" s="73"/>
      <c r="I38" s="340"/>
      <c r="K38" s="71"/>
      <c r="L38" s="71"/>
      <c r="M38" s="71"/>
      <c r="N38" s="341"/>
    </row>
    <row r="39" spans="2:14">
      <c r="B39" s="70"/>
      <c r="F39" s="71"/>
      <c r="G39" s="73"/>
      <c r="I39" s="340"/>
      <c r="K39" s="71"/>
      <c r="L39" s="71"/>
      <c r="M39" s="71"/>
      <c r="N39" s="341"/>
    </row>
    <row r="40" spans="2:14">
      <c r="B40" s="70" t="s">
        <v>31</v>
      </c>
      <c r="D40" s="71">
        <v>12936000</v>
      </c>
      <c r="E40" s="71">
        <v>9043000</v>
      </c>
      <c r="F40" s="71">
        <v>5198000</v>
      </c>
      <c r="G40" s="72"/>
      <c r="I40" s="340" t="s">
        <v>31</v>
      </c>
      <c r="K40" s="71">
        <f>K31-K34</f>
        <v>1629000</v>
      </c>
      <c r="L40" s="71">
        <f>L31+L34</f>
        <v>1803000</v>
      </c>
      <c r="M40" s="71">
        <f t="shared" ref="M40:N40" si="3">M31+M34</f>
        <v>1704000</v>
      </c>
      <c r="N40" s="71">
        <f t="shared" si="3"/>
        <v>2235000</v>
      </c>
    </row>
    <row r="41" spans="2:14">
      <c r="B41" s="70" t="s">
        <v>32</v>
      </c>
      <c r="F41" s="71"/>
      <c r="G41" s="73"/>
      <c r="I41" s="340" t="s">
        <v>32</v>
      </c>
      <c r="K41" s="71"/>
      <c r="L41" s="71"/>
      <c r="M41" s="71"/>
      <c r="N41" s="341"/>
    </row>
    <row r="42" spans="2:14">
      <c r="B42" s="70"/>
      <c r="F42" s="71"/>
      <c r="G42" s="73"/>
      <c r="I42" s="340"/>
      <c r="K42" s="71"/>
      <c r="L42" s="71"/>
      <c r="M42" s="71"/>
      <c r="N42" s="341"/>
    </row>
    <row r="43" spans="2:14">
      <c r="B43" s="74" t="s">
        <v>33</v>
      </c>
      <c r="C43" s="75"/>
      <c r="D43" s="71">
        <v>12936000</v>
      </c>
      <c r="E43" s="71">
        <v>9043000</v>
      </c>
      <c r="F43" s="71">
        <v>5198000</v>
      </c>
      <c r="G43" s="258"/>
      <c r="I43" s="342" t="s">
        <v>33</v>
      </c>
      <c r="J43" s="343"/>
      <c r="K43" s="347">
        <f>K40</f>
        <v>1629000</v>
      </c>
      <c r="L43" s="347">
        <v>1803000</v>
      </c>
      <c r="M43" s="347">
        <v>1704000</v>
      </c>
      <c r="N43" s="344">
        <v>2235000</v>
      </c>
    </row>
    <row r="44" spans="2:14">
      <c r="B44" s="68"/>
      <c r="C44" s="69"/>
      <c r="D44" s="265"/>
      <c r="E44" s="265"/>
      <c r="F44" s="265"/>
      <c r="G44" s="72"/>
      <c r="I44" s="68"/>
      <c r="J44" s="69"/>
      <c r="K44" s="265"/>
      <c r="L44" s="265"/>
      <c r="M44" s="265"/>
      <c r="N44" s="266"/>
    </row>
    <row r="45" spans="2:14">
      <c r="B45" s="70" t="s">
        <v>34</v>
      </c>
      <c r="D45" s="71"/>
      <c r="E45" s="71"/>
      <c r="F45" s="71"/>
      <c r="G45" s="72"/>
      <c r="I45" s="70" t="s">
        <v>34</v>
      </c>
      <c r="K45" s="71"/>
      <c r="L45" s="71"/>
      <c r="M45" s="71"/>
      <c r="N45" s="72"/>
    </row>
    <row r="46" spans="2:14">
      <c r="B46" s="70" t="s">
        <v>35</v>
      </c>
      <c r="D46" s="71"/>
      <c r="E46" s="71"/>
      <c r="F46" s="71"/>
      <c r="G46" s="72"/>
      <c r="I46" s="70" t="s">
        <v>35</v>
      </c>
      <c r="K46" s="71"/>
      <c r="L46" s="71"/>
      <c r="M46" s="71"/>
      <c r="N46" s="72"/>
    </row>
    <row r="47" spans="2:14" ht="13" thickBot="1">
      <c r="B47" s="74" t="s">
        <v>36</v>
      </c>
      <c r="C47" s="75"/>
      <c r="D47" s="267"/>
      <c r="E47" s="267"/>
      <c r="F47" s="267"/>
      <c r="G47" s="268"/>
      <c r="I47" s="70" t="s">
        <v>36</v>
      </c>
      <c r="K47" s="71"/>
      <c r="L47" s="71"/>
      <c r="M47" s="71"/>
      <c r="N47" s="72"/>
    </row>
    <row r="49" spans="2:14" ht="13">
      <c r="B49" s="2" t="s">
        <v>37</v>
      </c>
    </row>
    <row r="50" spans="2:14" ht="13">
      <c r="B50" s="68" t="s">
        <v>7</v>
      </c>
      <c r="C50" s="69"/>
      <c r="D50" s="82">
        <v>44834</v>
      </c>
      <c r="E50" s="82">
        <v>44469</v>
      </c>
      <c r="F50" s="82">
        <v>44104</v>
      </c>
      <c r="I50" s="338" t="s">
        <v>7</v>
      </c>
      <c r="J50" s="339"/>
      <c r="K50" s="336">
        <v>45199</v>
      </c>
      <c r="L50" s="336">
        <v>45107</v>
      </c>
      <c r="M50" s="336">
        <v>45016</v>
      </c>
      <c r="N50" s="337">
        <v>44926</v>
      </c>
    </row>
    <row r="51" spans="2:14">
      <c r="B51" s="70"/>
      <c r="I51" s="340"/>
      <c r="N51" s="341"/>
    </row>
    <row r="52" spans="2:14">
      <c r="B52" s="70" t="s">
        <v>38</v>
      </c>
      <c r="I52" s="340" t="s">
        <v>38</v>
      </c>
      <c r="N52" s="341"/>
    </row>
    <row r="53" spans="2:14">
      <c r="B53" s="70" t="s">
        <v>39</v>
      </c>
      <c r="D53" s="71"/>
      <c r="E53" s="71"/>
      <c r="I53" s="340" t="s">
        <v>39</v>
      </c>
      <c r="N53" s="341"/>
    </row>
    <row r="54" spans="2:14">
      <c r="B54" s="70"/>
      <c r="C54" t="s">
        <v>40</v>
      </c>
      <c r="D54" s="71">
        <v>6382000</v>
      </c>
      <c r="E54" s="71">
        <v>12414000</v>
      </c>
      <c r="F54" s="71">
        <v>11214000</v>
      </c>
      <c r="G54" s="71"/>
      <c r="I54" s="340"/>
      <c r="J54" t="s">
        <v>40</v>
      </c>
      <c r="K54" s="71">
        <v>8450000</v>
      </c>
      <c r="L54" s="71">
        <v>6087000</v>
      </c>
      <c r="M54" s="71">
        <v>3488000</v>
      </c>
      <c r="N54" s="341">
        <v>4808000</v>
      </c>
    </row>
    <row r="55" spans="2:14">
      <c r="B55" s="70"/>
      <c r="C55" t="s">
        <v>41</v>
      </c>
      <c r="D55" s="71"/>
      <c r="E55" s="71"/>
      <c r="I55" s="340"/>
      <c r="J55" t="s">
        <v>41</v>
      </c>
      <c r="K55" s="71">
        <v>2874000</v>
      </c>
      <c r="L55" s="71">
        <v>2544000</v>
      </c>
      <c r="M55" s="71">
        <v>3188000</v>
      </c>
      <c r="N55" s="341">
        <v>3430000</v>
      </c>
    </row>
    <row r="56" spans="2:14">
      <c r="B56" s="70"/>
      <c r="C56" t="s">
        <v>42</v>
      </c>
      <c r="D56" s="71">
        <v>5643000</v>
      </c>
      <c r="E56" s="71">
        <v>3579000</v>
      </c>
      <c r="F56" s="71">
        <v>4003000</v>
      </c>
      <c r="G56" s="71"/>
      <c r="I56" s="340"/>
      <c r="J56" t="s">
        <v>42</v>
      </c>
      <c r="K56" s="71">
        <v>3183000</v>
      </c>
      <c r="L56" s="71">
        <v>3850000</v>
      </c>
      <c r="M56" s="71">
        <v>3691000</v>
      </c>
      <c r="N56" s="341">
        <v>3960000</v>
      </c>
    </row>
    <row r="57" spans="2:14">
      <c r="B57" s="70"/>
      <c r="C57" t="s">
        <v>43</v>
      </c>
      <c r="D57" s="71">
        <v>6341000</v>
      </c>
      <c r="E57" s="71">
        <v>3228000</v>
      </c>
      <c r="F57" s="71">
        <v>2598000</v>
      </c>
      <c r="G57" s="71"/>
      <c r="I57" s="340"/>
      <c r="J57" t="s">
        <v>43</v>
      </c>
      <c r="K57" s="71">
        <v>6422000</v>
      </c>
      <c r="L57" s="71">
        <v>6628000</v>
      </c>
      <c r="M57" s="71">
        <v>6858000</v>
      </c>
      <c r="N57" s="341">
        <v>6932000</v>
      </c>
    </row>
    <row r="58" spans="2:14">
      <c r="B58" s="70"/>
      <c r="C58" t="s">
        <v>44</v>
      </c>
      <c r="D58" s="71">
        <v>1625000</v>
      </c>
      <c r="E58" s="71">
        <v>854000</v>
      </c>
      <c r="F58" s="71">
        <v>704000</v>
      </c>
      <c r="G58" s="71"/>
      <c r="I58" s="340"/>
      <c r="J58" t="s">
        <v>44</v>
      </c>
      <c r="K58" s="71">
        <v>1194000</v>
      </c>
      <c r="L58" s="71">
        <v>1050000</v>
      </c>
      <c r="M58" s="71">
        <v>1032000</v>
      </c>
      <c r="N58" s="341">
        <v>1247000</v>
      </c>
    </row>
    <row r="59" spans="2:14">
      <c r="B59" s="70"/>
      <c r="C59" t="s">
        <v>45</v>
      </c>
      <c r="D59" s="71">
        <v>733000</v>
      </c>
      <c r="E59" s="71">
        <v>0</v>
      </c>
      <c r="F59" s="71">
        <v>0</v>
      </c>
      <c r="I59" s="340"/>
      <c r="J59" t="s">
        <v>45</v>
      </c>
      <c r="K59" s="71">
        <v>341000</v>
      </c>
      <c r="L59" s="71">
        <v>317000</v>
      </c>
      <c r="M59" s="71">
        <v>816000</v>
      </c>
      <c r="N59" s="341">
        <v>721000</v>
      </c>
    </row>
    <row r="60" spans="2:14">
      <c r="B60" s="70" t="s">
        <v>46</v>
      </c>
      <c r="D60" s="71">
        <v>20724000</v>
      </c>
      <c r="E60" s="71">
        <v>20075000</v>
      </c>
      <c r="F60" s="71">
        <v>18519000</v>
      </c>
      <c r="G60" s="71"/>
      <c r="I60" s="340" t="s">
        <v>46</v>
      </c>
      <c r="K60" s="71">
        <f>SUM(K54:K59)</f>
        <v>22464000</v>
      </c>
      <c r="L60" s="71">
        <f>SUM(L54:L59)</f>
        <v>20476000</v>
      </c>
      <c r="M60" s="71">
        <f>SUM(M54:M59)</f>
        <v>19073000</v>
      </c>
      <c r="N60" s="341">
        <f>SUM(N54:N59)</f>
        <v>21098000</v>
      </c>
    </row>
    <row r="61" spans="2:14">
      <c r="B61" s="70" t="s">
        <v>47</v>
      </c>
      <c r="D61" s="71"/>
      <c r="E61" s="71"/>
      <c r="G61" s="71"/>
      <c r="I61" s="340" t="s">
        <v>47</v>
      </c>
      <c r="K61" s="71"/>
      <c r="L61" s="71"/>
      <c r="M61" s="71"/>
      <c r="N61" s="341"/>
    </row>
    <row r="62" spans="2:14">
      <c r="B62" s="70" t="s">
        <v>48</v>
      </c>
      <c r="D62" s="71">
        <v>5168000</v>
      </c>
      <c r="E62" s="71">
        <v>4559000</v>
      </c>
      <c r="F62" s="71">
        <v>3711000</v>
      </c>
      <c r="G62" s="71"/>
      <c r="I62" s="340" t="s">
        <v>48</v>
      </c>
      <c r="K62" s="71">
        <f>12710000-7668000</f>
        <v>5042000</v>
      </c>
      <c r="L62" s="71">
        <v>5216000</v>
      </c>
      <c r="M62" s="71">
        <v>5281000</v>
      </c>
      <c r="N62" s="341">
        <v>5215000</v>
      </c>
    </row>
    <row r="63" spans="2:14">
      <c r="B63" s="70" t="s">
        <v>49</v>
      </c>
      <c r="D63" s="71">
        <v>10508000</v>
      </c>
      <c r="E63" s="71">
        <v>7246000</v>
      </c>
      <c r="F63" s="71">
        <v>6323000</v>
      </c>
      <c r="G63" s="71"/>
      <c r="I63" s="340" t="s">
        <v>49</v>
      </c>
      <c r="K63" s="71">
        <v>10642000</v>
      </c>
      <c r="L63" s="71">
        <v>10591000</v>
      </c>
      <c r="M63" s="71">
        <v>10579000</v>
      </c>
      <c r="N63" s="341">
        <v>10566000</v>
      </c>
    </row>
    <row r="64" spans="2:14">
      <c r="B64" s="70" t="s">
        <v>50</v>
      </c>
      <c r="D64" s="71">
        <v>1882000</v>
      </c>
      <c r="E64" s="71">
        <v>1458000</v>
      </c>
      <c r="F64" s="71">
        <v>1653000</v>
      </c>
      <c r="G64" s="71"/>
      <c r="I64" s="340" t="s">
        <v>50</v>
      </c>
      <c r="K64" s="71">
        <v>1408000</v>
      </c>
      <c r="L64" s="71">
        <v>1618000</v>
      </c>
      <c r="M64" s="71">
        <v>1727000</v>
      </c>
      <c r="N64" s="341">
        <v>1796000</v>
      </c>
    </row>
    <row r="65" spans="2:14">
      <c r="B65" s="70" t="s">
        <v>51</v>
      </c>
      <c r="D65" s="71"/>
      <c r="E65" s="71"/>
      <c r="I65" s="340" t="s">
        <v>51</v>
      </c>
      <c r="N65" s="341"/>
    </row>
    <row r="66" spans="2:14">
      <c r="B66" s="70" t="s">
        <v>52</v>
      </c>
      <c r="D66" s="71">
        <v>8929000</v>
      </c>
      <c r="E66" s="71">
        <v>6311000</v>
      </c>
      <c r="F66" s="71">
        <v>4037000</v>
      </c>
      <c r="G66" s="71"/>
      <c r="I66" s="340" t="s">
        <v>52</v>
      </c>
      <c r="K66" s="71">
        <v>8174000</v>
      </c>
      <c r="L66" s="71">
        <v>8328000</v>
      </c>
      <c r="M66" s="71">
        <v>9225000</v>
      </c>
      <c r="N66" s="341">
        <v>9247000</v>
      </c>
    </row>
    <row r="67" spans="2:14">
      <c r="B67" s="70" t="s">
        <v>53</v>
      </c>
      <c r="D67" s="71">
        <v>1803000</v>
      </c>
      <c r="E67" s="71">
        <v>1591000</v>
      </c>
      <c r="F67" s="71">
        <v>1351000</v>
      </c>
      <c r="G67" s="71"/>
      <c r="I67" s="340" t="s">
        <v>53</v>
      </c>
      <c r="K67">
        <v>3310000</v>
      </c>
      <c r="L67">
        <v>2773000</v>
      </c>
      <c r="M67">
        <v>2477000</v>
      </c>
      <c r="N67" s="341">
        <v>2092000</v>
      </c>
    </row>
    <row r="68" spans="2:14">
      <c r="B68" s="70"/>
      <c r="C68" s="71">
        <f>D68+D60</f>
        <v>49014000</v>
      </c>
      <c r="D68" s="71">
        <f>SUM(D62:D67)</f>
        <v>28290000</v>
      </c>
      <c r="E68" s="71"/>
      <c r="I68" s="340"/>
    </row>
    <row r="69" spans="2:14">
      <c r="B69" s="70" t="s">
        <v>54</v>
      </c>
      <c r="D69" s="71">
        <v>49014000</v>
      </c>
      <c r="E69" s="71">
        <v>41240000</v>
      </c>
      <c r="F69" s="71">
        <v>35594000</v>
      </c>
      <c r="G69" s="71"/>
      <c r="I69" s="340" t="s">
        <v>54</v>
      </c>
      <c r="K69" s="71">
        <f>SUM(K60:K67)</f>
        <v>51040000</v>
      </c>
      <c r="L69" s="71">
        <f>SUM(L60:L67)</f>
        <v>49002000</v>
      </c>
      <c r="M69" s="71">
        <f>SUM(M60:M67)</f>
        <v>48362000</v>
      </c>
      <c r="N69" s="71">
        <f>SUM(N60:N67)</f>
        <v>50014000</v>
      </c>
    </row>
    <row r="70" spans="2:14">
      <c r="B70" s="70"/>
      <c r="C70" s="71"/>
      <c r="D70" s="71"/>
      <c r="E70" s="71"/>
      <c r="I70" s="340"/>
      <c r="K70" s="71"/>
      <c r="N70" s="341"/>
    </row>
    <row r="71" spans="2:14">
      <c r="B71" s="70" t="s">
        <v>55</v>
      </c>
      <c r="I71" s="340" t="s">
        <v>55</v>
      </c>
      <c r="N71" s="341"/>
    </row>
    <row r="72" spans="2:14">
      <c r="B72" s="70" t="s">
        <v>56</v>
      </c>
      <c r="I72" s="340" t="s">
        <v>56</v>
      </c>
      <c r="N72" s="341"/>
    </row>
    <row r="73" spans="2:14">
      <c r="B73" s="70"/>
      <c r="C73" t="s">
        <v>57</v>
      </c>
      <c r="D73" s="345">
        <v>3796000</v>
      </c>
      <c r="E73" s="369">
        <v>2750000</v>
      </c>
      <c r="F73" s="369">
        <v>2248000</v>
      </c>
      <c r="G73" s="71"/>
      <c r="I73" s="340"/>
      <c r="J73" t="s">
        <v>57</v>
      </c>
      <c r="K73" s="71">
        <v>1847000</v>
      </c>
      <c r="L73" s="71">
        <v>1853000</v>
      </c>
      <c r="M73" s="71">
        <v>1798000</v>
      </c>
      <c r="N73" s="341">
        <v>1825000</v>
      </c>
    </row>
    <row r="74" spans="2:14">
      <c r="B74" s="70"/>
      <c r="C74" t="s">
        <v>58</v>
      </c>
      <c r="D74" s="71">
        <v>1945000</v>
      </c>
      <c r="E74" s="71">
        <v>2044000</v>
      </c>
      <c r="F74" s="71">
        <v>500000</v>
      </c>
      <c r="G74" s="71"/>
      <c r="I74" s="340"/>
      <c r="J74" t="s">
        <v>58</v>
      </c>
      <c r="K74" s="71">
        <v>84000</v>
      </c>
      <c r="L74" s="71">
        <v>89000</v>
      </c>
      <c r="M74" s="71">
        <v>95000</v>
      </c>
      <c r="N74" s="341">
        <v>99000</v>
      </c>
    </row>
    <row r="75" spans="2:14">
      <c r="B75" s="70"/>
      <c r="C75" t="s">
        <v>59</v>
      </c>
      <c r="D75" s="71">
        <v>3391000</v>
      </c>
      <c r="E75" s="71">
        <v>5014000</v>
      </c>
      <c r="F75" s="345">
        <v>4303000</v>
      </c>
      <c r="I75" s="340"/>
      <c r="J75" t="s">
        <v>59</v>
      </c>
      <c r="N75" s="341"/>
    </row>
    <row r="76" spans="2:14">
      <c r="B76" s="70"/>
      <c r="C76" t="s">
        <v>60</v>
      </c>
      <c r="D76" s="71">
        <v>369000</v>
      </c>
      <c r="E76" s="71">
        <v>612000</v>
      </c>
      <c r="F76" s="71">
        <v>568000</v>
      </c>
      <c r="I76" s="340"/>
      <c r="N76" s="341"/>
    </row>
    <row r="77" spans="2:14">
      <c r="B77" s="70" t="s">
        <v>61</v>
      </c>
      <c r="D77" s="71">
        <v>11866000</v>
      </c>
      <c r="E77" s="71">
        <v>11951000</v>
      </c>
      <c r="F77" s="71">
        <v>8672000</v>
      </c>
      <c r="G77" s="71"/>
      <c r="I77" s="340" t="s">
        <v>61</v>
      </c>
      <c r="K77" s="71">
        <v>9628000</v>
      </c>
      <c r="L77" s="71">
        <v>8463000</v>
      </c>
      <c r="M77" s="71">
        <v>7866000</v>
      </c>
      <c r="N77" s="341">
        <v>10081000</v>
      </c>
    </row>
    <row r="78" spans="2:14">
      <c r="B78" s="70" t="s">
        <v>62</v>
      </c>
      <c r="D78" s="71">
        <v>13537000</v>
      </c>
      <c r="E78" s="71">
        <v>13701000</v>
      </c>
      <c r="F78" s="71">
        <v>15226000</v>
      </c>
      <c r="G78" s="71"/>
      <c r="I78" s="340" t="s">
        <v>62</v>
      </c>
      <c r="K78" s="71">
        <v>14484000</v>
      </c>
      <c r="L78" s="71">
        <v>14530000</v>
      </c>
      <c r="M78" s="71">
        <v>15486000</v>
      </c>
      <c r="N78" s="341">
        <v>15431000</v>
      </c>
    </row>
    <row r="79" spans="2:14">
      <c r="B79" s="70" t="s">
        <v>63</v>
      </c>
      <c r="D79" s="71">
        <v>3863000</v>
      </c>
      <c r="E79" s="71">
        <v>3561000</v>
      </c>
      <c r="F79" s="71">
        <v>2986000</v>
      </c>
      <c r="G79" s="71"/>
      <c r="I79" s="340" t="s">
        <v>63</v>
      </c>
      <c r="K79">
        <v>4130000</v>
      </c>
      <c r="L79">
        <v>4113000</v>
      </c>
      <c r="M79">
        <v>4008000</v>
      </c>
      <c r="N79" s="341">
        <v>4004000</v>
      </c>
    </row>
    <row r="80" spans="2:14">
      <c r="B80" s="70" t="s">
        <v>64</v>
      </c>
      <c r="D80" s="71">
        <v>144000</v>
      </c>
      <c r="E80" s="71">
        <v>364000</v>
      </c>
      <c r="F80" s="71">
        <v>761000</v>
      </c>
      <c r="G80" s="71"/>
      <c r="I80" s="340" t="s">
        <v>64</v>
      </c>
      <c r="K80" s="71">
        <v>99000</v>
      </c>
      <c r="L80" s="71">
        <v>92000</v>
      </c>
      <c r="M80" s="71">
        <v>104000</v>
      </c>
      <c r="N80" s="341">
        <v>105000</v>
      </c>
    </row>
    <row r="81" spans="2:14">
      <c r="B81" s="70" t="s">
        <v>65</v>
      </c>
      <c r="D81" s="71">
        <v>1472000</v>
      </c>
      <c r="E81" s="71">
        <v>1713000</v>
      </c>
      <c r="F81" s="71">
        <v>1872000</v>
      </c>
      <c r="G81" s="71"/>
      <c r="I81" s="70" t="s">
        <v>65</v>
      </c>
      <c r="K81" s="71">
        <v>1080000</v>
      </c>
      <c r="L81" s="71">
        <v>1098000</v>
      </c>
      <c r="M81" s="71">
        <v>1084000</v>
      </c>
      <c r="N81" s="341">
        <v>1472000</v>
      </c>
    </row>
    <row r="82" spans="2:14">
      <c r="B82" s="70" t="s">
        <v>66</v>
      </c>
      <c r="D82" s="71">
        <v>119000</v>
      </c>
      <c r="E82" s="71">
        <v>0</v>
      </c>
      <c r="F82" s="71">
        <f>E82</f>
        <v>0</v>
      </c>
      <c r="I82" s="70" t="s">
        <v>66</v>
      </c>
      <c r="K82">
        <v>38000</v>
      </c>
      <c r="L82">
        <v>36000</v>
      </c>
      <c r="M82">
        <v>116000</v>
      </c>
      <c r="N82">
        <v>111000</v>
      </c>
    </row>
    <row r="83" spans="2:14">
      <c r="B83" s="70"/>
      <c r="D83" s="71"/>
      <c r="E83" s="71"/>
      <c r="I83" s="340"/>
      <c r="N83" s="341"/>
    </row>
    <row r="84" spans="2:14">
      <c r="B84" s="70" t="s">
        <v>67</v>
      </c>
      <c r="D84" s="71">
        <v>31001000</v>
      </c>
      <c r="E84" s="71">
        <v>31290000</v>
      </c>
      <c r="F84" s="345">
        <v>29517000</v>
      </c>
      <c r="G84" s="71"/>
      <c r="I84" s="340" t="s">
        <v>67</v>
      </c>
      <c r="K84" s="71">
        <f>SUM(K77:K83)</f>
        <v>29459000</v>
      </c>
      <c r="L84" s="71">
        <f>SUM(L77:L83)</f>
        <v>28332000</v>
      </c>
      <c r="M84" s="71">
        <f>SUM(M77:M83)</f>
        <v>28664000</v>
      </c>
      <c r="N84" s="71">
        <f>SUM(N77:N83)</f>
        <v>31204000</v>
      </c>
    </row>
    <row r="85" spans="2:14">
      <c r="B85" s="70"/>
      <c r="I85" s="340"/>
      <c r="N85" s="341"/>
    </row>
    <row r="86" spans="2:14">
      <c r="B86" s="70" t="s">
        <v>68</v>
      </c>
      <c r="I86" s="340" t="s">
        <v>68</v>
      </c>
      <c r="N86" s="341"/>
    </row>
    <row r="87" spans="2:14">
      <c r="B87" s="70" t="s">
        <v>69</v>
      </c>
      <c r="I87" s="340" t="s">
        <v>69</v>
      </c>
      <c r="N87" s="341"/>
    </row>
    <row r="88" spans="2:14">
      <c r="B88" s="70" t="s">
        <v>70</v>
      </c>
      <c r="I88" s="340" t="s">
        <v>70</v>
      </c>
      <c r="N88" s="341"/>
    </row>
    <row r="89" spans="2:14">
      <c r="B89" s="70" t="s">
        <v>71</v>
      </c>
      <c r="I89" s="340" t="s">
        <v>71</v>
      </c>
      <c r="K89">
        <v>0</v>
      </c>
      <c r="L89">
        <v>0</v>
      </c>
      <c r="M89">
        <v>0</v>
      </c>
      <c r="N89" s="341">
        <v>0</v>
      </c>
    </row>
    <row r="90" spans="2:14">
      <c r="B90" s="70" t="s">
        <v>72</v>
      </c>
      <c r="D90" s="71">
        <v>195000</v>
      </c>
      <c r="E90" s="71">
        <v>0</v>
      </c>
      <c r="F90" s="71">
        <v>586000</v>
      </c>
      <c r="G90" s="71"/>
      <c r="I90" s="340" t="s">
        <v>72</v>
      </c>
      <c r="K90" s="71">
        <v>490000</v>
      </c>
      <c r="L90" s="71">
        <v>77000</v>
      </c>
      <c r="M90" s="71">
        <v>0</v>
      </c>
      <c r="N90" s="341">
        <v>0</v>
      </c>
    </row>
    <row r="91" spans="2:14">
      <c r="B91" s="70" t="s">
        <v>73</v>
      </c>
      <c r="D91" s="71">
        <v>17840000</v>
      </c>
      <c r="E91" s="71">
        <v>9822000</v>
      </c>
      <c r="F91" s="71">
        <v>5284000</v>
      </c>
      <c r="G91" s="71"/>
      <c r="I91" s="340" t="s">
        <v>73</v>
      </c>
      <c r="K91" s="71">
        <v>20733000</v>
      </c>
      <c r="L91" s="71">
        <v>20163000</v>
      </c>
      <c r="M91" s="71">
        <v>19280000</v>
      </c>
      <c r="N91" s="341">
        <v>18517000</v>
      </c>
    </row>
    <row r="92" spans="2:14">
      <c r="B92" s="70" t="s">
        <v>74</v>
      </c>
      <c r="D92" s="71"/>
      <c r="E92" s="71"/>
      <c r="I92" s="340" t="s">
        <v>74</v>
      </c>
      <c r="N92" s="341"/>
    </row>
    <row r="93" spans="2:14">
      <c r="B93" s="70" t="s">
        <v>75</v>
      </c>
      <c r="D93" s="71"/>
      <c r="E93" s="71"/>
      <c r="G93" s="71"/>
      <c r="I93" s="340" t="s">
        <v>75</v>
      </c>
      <c r="K93" s="71"/>
      <c r="L93" s="71"/>
      <c r="M93" s="71"/>
      <c r="N93" s="341"/>
    </row>
    <row r="94" spans="2:14">
      <c r="B94" s="70" t="s">
        <v>76</v>
      </c>
      <c r="D94" s="71">
        <v>-22000</v>
      </c>
      <c r="E94" s="71">
        <v>128000</v>
      </c>
      <c r="F94" s="71">
        <v>207000</v>
      </c>
      <c r="G94" s="71"/>
      <c r="I94" s="340" t="s">
        <v>76</v>
      </c>
      <c r="K94" s="71">
        <v>358000</v>
      </c>
      <c r="L94" s="71">
        <v>430000</v>
      </c>
      <c r="M94" s="71">
        <v>418000</v>
      </c>
      <c r="N94" s="341">
        <v>293000</v>
      </c>
    </row>
    <row r="95" spans="2:14">
      <c r="B95" s="70"/>
      <c r="D95" s="71"/>
      <c r="E95" s="71"/>
      <c r="I95" s="340"/>
      <c r="N95" s="341"/>
    </row>
    <row r="96" spans="2:14">
      <c r="B96" s="70" t="s">
        <v>77</v>
      </c>
      <c r="D96" s="71">
        <v>18013000</v>
      </c>
      <c r="E96" s="71">
        <v>9950000</v>
      </c>
      <c r="F96" s="71">
        <v>6077000</v>
      </c>
      <c r="G96" s="71"/>
      <c r="I96" s="340" t="s">
        <v>77</v>
      </c>
      <c r="K96" s="71">
        <f>SUM(K87:K95)</f>
        <v>21581000</v>
      </c>
      <c r="L96" s="71">
        <f>SUM(L87:L95)</f>
        <v>20670000</v>
      </c>
      <c r="M96" s="71">
        <f>SUM(M87:M95)</f>
        <v>19698000</v>
      </c>
      <c r="N96" s="71">
        <f>SUM(N87:N95)</f>
        <v>18810000</v>
      </c>
    </row>
    <row r="97" spans="2:14">
      <c r="B97" s="70"/>
      <c r="D97" s="71"/>
      <c r="E97" s="71"/>
      <c r="I97" s="340"/>
      <c r="K97" s="71">
        <f>21581000-K96</f>
        <v>0</v>
      </c>
      <c r="N97" s="341"/>
    </row>
    <row r="98" spans="2:14">
      <c r="B98" s="70" t="s">
        <v>78</v>
      </c>
      <c r="D98" s="71">
        <v>5623000</v>
      </c>
      <c r="E98" s="71">
        <v>1246000</v>
      </c>
      <c r="F98" s="71">
        <v>-1899000</v>
      </c>
      <c r="G98" s="67"/>
      <c r="I98" s="340" t="s">
        <v>78</v>
      </c>
      <c r="K98" s="67">
        <v>8461000</v>
      </c>
      <c r="L98" s="67">
        <v>7392000</v>
      </c>
      <c r="M98" s="67">
        <v>6448000</v>
      </c>
      <c r="N98" s="341">
        <v>5623000</v>
      </c>
    </row>
    <row r="99" spans="2:14">
      <c r="B99" s="70"/>
      <c r="F99" s="73"/>
      <c r="I99" s="340"/>
      <c r="N99" s="341"/>
    </row>
    <row r="100" spans="2:14">
      <c r="B100" s="70" t="s">
        <v>34</v>
      </c>
      <c r="F100" s="73"/>
      <c r="I100" s="340" t="s">
        <v>34</v>
      </c>
      <c r="N100" s="341"/>
    </row>
    <row r="101" spans="2:14">
      <c r="B101" s="70" t="s">
        <v>35</v>
      </c>
      <c r="F101" s="73"/>
      <c r="I101" s="340" t="s">
        <v>35</v>
      </c>
      <c r="N101" s="341"/>
    </row>
    <row r="102" spans="2:14" ht="13" thickBot="1">
      <c r="B102" s="74" t="s">
        <v>36</v>
      </c>
      <c r="C102" s="75"/>
      <c r="D102" s="75"/>
      <c r="E102" s="75"/>
      <c r="F102" s="219"/>
      <c r="I102" s="342" t="s">
        <v>36</v>
      </c>
      <c r="J102" s="343"/>
      <c r="K102" s="343"/>
      <c r="L102" s="343"/>
      <c r="M102" s="343"/>
      <c r="N102" s="344"/>
    </row>
    <row r="104" spans="2:14" ht="13.5" thickBot="1">
      <c r="B104" s="2" t="s">
        <v>79</v>
      </c>
    </row>
    <row r="105" spans="2:14" ht="13">
      <c r="B105" s="68" t="s">
        <v>7</v>
      </c>
      <c r="C105" s="69"/>
      <c r="D105" s="82">
        <v>44834</v>
      </c>
      <c r="E105" s="82">
        <v>44469</v>
      </c>
      <c r="F105" s="82">
        <v>44104</v>
      </c>
      <c r="I105" s="338" t="s">
        <v>7</v>
      </c>
      <c r="J105" s="339"/>
      <c r="K105" s="336">
        <v>45199</v>
      </c>
      <c r="L105" s="336">
        <v>45107</v>
      </c>
      <c r="M105" s="336">
        <v>45016</v>
      </c>
      <c r="N105" s="337">
        <v>44926</v>
      </c>
    </row>
    <row r="106" spans="2:14">
      <c r="B106" s="70" t="s">
        <v>31</v>
      </c>
      <c r="D106" s="71">
        <v>12986000</v>
      </c>
      <c r="E106" s="71">
        <v>9043000</v>
      </c>
      <c r="F106">
        <v>5198000</v>
      </c>
      <c r="G106" s="71"/>
      <c r="I106" s="340" t="s">
        <v>31</v>
      </c>
      <c r="K106" s="71">
        <v>1629000</v>
      </c>
      <c r="L106" s="71">
        <v>1735000</v>
      </c>
      <c r="M106" s="71">
        <v>1702000</v>
      </c>
      <c r="N106" s="71">
        <v>2273000</v>
      </c>
    </row>
    <row r="107" spans="2:14">
      <c r="B107" s="70"/>
      <c r="D107" s="71"/>
      <c r="E107" s="71"/>
      <c r="I107" s="340"/>
      <c r="K107" s="71"/>
      <c r="L107" s="71"/>
      <c r="M107" s="71"/>
      <c r="N107" s="71"/>
    </row>
    <row r="108" spans="2:14">
      <c r="B108" s="70" t="s">
        <v>80</v>
      </c>
      <c r="D108" s="71"/>
      <c r="E108" s="71"/>
      <c r="I108" s="340" t="s">
        <v>80</v>
      </c>
      <c r="K108" s="71"/>
      <c r="L108" s="71"/>
      <c r="M108" s="71"/>
      <c r="N108" s="71"/>
    </row>
    <row r="109" spans="2:14">
      <c r="B109" s="70" t="s">
        <v>81</v>
      </c>
      <c r="D109" s="71">
        <v>1762000</v>
      </c>
      <c r="E109" s="71">
        <v>1582000</v>
      </c>
      <c r="F109" s="345">
        <v>1393000</v>
      </c>
      <c r="G109" s="71"/>
      <c r="I109" s="340" t="s">
        <v>81</v>
      </c>
      <c r="K109" s="71">
        <v>462000</v>
      </c>
      <c r="L109" s="71">
        <v>479000</v>
      </c>
      <c r="M109" s="71">
        <v>470000</v>
      </c>
      <c r="N109" s="71">
        <v>398000</v>
      </c>
    </row>
    <row r="110" spans="2:14">
      <c r="B110" s="70" t="s">
        <v>82</v>
      </c>
      <c r="D110" s="71">
        <v>0</v>
      </c>
      <c r="E110" s="71">
        <v>0</v>
      </c>
      <c r="G110" s="71"/>
      <c r="I110" s="340" t="s">
        <v>82</v>
      </c>
      <c r="K110" s="71">
        <v>0</v>
      </c>
      <c r="L110" s="71">
        <v>0</v>
      </c>
      <c r="M110" s="71">
        <v>0</v>
      </c>
      <c r="N110" s="71">
        <v>0</v>
      </c>
    </row>
    <row r="111" spans="2:14">
      <c r="B111" s="70" t="s">
        <v>83</v>
      </c>
      <c r="D111" s="71">
        <v>-2066000</v>
      </c>
      <c r="E111" s="71">
        <v>426000</v>
      </c>
      <c r="F111" s="345">
        <v>-1529000</v>
      </c>
      <c r="G111" s="71"/>
      <c r="I111" s="340" t="s">
        <v>83</v>
      </c>
      <c r="K111" s="71">
        <v>665000</v>
      </c>
      <c r="L111" s="71">
        <v>-157000</v>
      </c>
      <c r="M111" s="71">
        <v>270000</v>
      </c>
      <c r="N111" s="71">
        <v>1694000</v>
      </c>
    </row>
    <row r="112" spans="2:14">
      <c r="B112" s="70" t="s">
        <v>84</v>
      </c>
      <c r="D112" s="71">
        <v>-7000</v>
      </c>
      <c r="E112" s="71">
        <v>1586000</v>
      </c>
      <c r="F112" s="345">
        <v>1435000</v>
      </c>
      <c r="G112" s="71"/>
      <c r="I112" s="340" t="s">
        <v>84</v>
      </c>
      <c r="K112" s="71">
        <v>777000</v>
      </c>
      <c r="L112" s="71">
        <v>374000</v>
      </c>
      <c r="M112" s="71">
        <v>-1480000</v>
      </c>
      <c r="N112" s="71">
        <v>-1550000</v>
      </c>
    </row>
    <row r="113" spans="2:14">
      <c r="B113" s="70" t="s">
        <v>85</v>
      </c>
      <c r="D113" s="71">
        <v>-3137000</v>
      </c>
      <c r="E113" s="71">
        <v>-622000</v>
      </c>
      <c r="F113" s="345">
        <v>-1157000</v>
      </c>
      <c r="G113" s="71"/>
      <c r="I113" s="340" t="s">
        <v>85</v>
      </c>
      <c r="K113" s="71">
        <v>200000</v>
      </c>
      <c r="L113" s="71">
        <v>204000</v>
      </c>
      <c r="M113" s="71">
        <v>80000</v>
      </c>
      <c r="N113" s="71">
        <v>-476000</v>
      </c>
    </row>
    <row r="114" spans="2:14">
      <c r="B114" s="70" t="s">
        <v>86</v>
      </c>
      <c r="D114" s="71">
        <v>432000</v>
      </c>
      <c r="E114" s="71">
        <v>-1002000</v>
      </c>
      <c r="F114" s="71">
        <v>-336000</v>
      </c>
      <c r="G114" s="71"/>
      <c r="I114" s="70" t="s">
        <v>86</v>
      </c>
      <c r="K114" s="71">
        <v>-68000</v>
      </c>
      <c r="L114" s="71">
        <v>-39000</v>
      </c>
      <c r="M114" s="71">
        <v>-20000</v>
      </c>
      <c r="N114" s="71">
        <v>-25000</v>
      </c>
    </row>
    <row r="115" spans="2:14">
      <c r="B115" s="70" t="s">
        <v>87</v>
      </c>
      <c r="D115" s="71">
        <v>-138000</v>
      </c>
      <c r="E115" s="71">
        <v>-245000</v>
      </c>
      <c r="F115" s="71">
        <v>-309000</v>
      </c>
      <c r="I115" s="70" t="s">
        <v>87</v>
      </c>
      <c r="K115" s="71">
        <v>-433000</v>
      </c>
      <c r="L115" s="71">
        <v>-205000</v>
      </c>
      <c r="M115" s="71">
        <v>-511000</v>
      </c>
      <c r="N115" s="71">
        <v>-120000</v>
      </c>
    </row>
    <row r="116" spans="2:14">
      <c r="B116" s="70" t="s">
        <v>88</v>
      </c>
      <c r="D116" s="71">
        <v>-7800000</v>
      </c>
      <c r="E116" s="71">
        <v>-461000</v>
      </c>
      <c r="F116" s="71">
        <v>-1607000</v>
      </c>
      <c r="G116" s="71"/>
      <c r="I116" s="70" t="s">
        <v>88</v>
      </c>
      <c r="K116" s="71">
        <v>1701000</v>
      </c>
      <c r="L116" s="71">
        <v>380000</v>
      </c>
      <c r="M116" s="71">
        <v>-929000</v>
      </c>
      <c r="N116" s="71">
        <v>-4000</v>
      </c>
    </row>
    <row r="117" spans="2:14">
      <c r="B117" s="70" t="s">
        <v>89</v>
      </c>
      <c r="D117" s="71">
        <v>47000</v>
      </c>
      <c r="E117" s="71">
        <v>33000</v>
      </c>
      <c r="F117" s="345">
        <v>405000</v>
      </c>
      <c r="I117" s="70" t="s">
        <v>89</v>
      </c>
      <c r="K117" s="71">
        <v>191000</v>
      </c>
      <c r="L117" s="71">
        <v>19000</v>
      </c>
      <c r="M117" s="71">
        <v>87000</v>
      </c>
      <c r="N117" s="71">
        <v>0</v>
      </c>
    </row>
    <row r="118" spans="2:14">
      <c r="B118" s="70" t="s">
        <v>90</v>
      </c>
      <c r="D118" s="71">
        <v>2031000</v>
      </c>
      <c r="E118" s="71">
        <v>1663000</v>
      </c>
      <c r="F118" s="345">
        <v>1212000</v>
      </c>
      <c r="I118" s="70" t="s">
        <v>90</v>
      </c>
      <c r="K118" s="71">
        <v>608000</v>
      </c>
      <c r="L118" s="71">
        <v>614000</v>
      </c>
      <c r="M118" s="71">
        <v>628000</v>
      </c>
      <c r="N118" s="71">
        <v>634000</v>
      </c>
    </row>
    <row r="119" spans="2:14">
      <c r="B119" s="70" t="s">
        <v>91</v>
      </c>
      <c r="D119" s="71">
        <v>-54000</v>
      </c>
      <c r="E119" s="71">
        <v>-77000</v>
      </c>
      <c r="F119" s="345">
        <v>-142000</v>
      </c>
      <c r="G119" s="71"/>
      <c r="I119" s="70" t="s">
        <v>91</v>
      </c>
      <c r="K119" s="71">
        <v>5000</v>
      </c>
      <c r="L119" s="71">
        <v>7000</v>
      </c>
      <c r="M119" s="71">
        <v>63000</v>
      </c>
      <c r="N119" s="71">
        <v>-33000</v>
      </c>
    </row>
    <row r="120" spans="2:14">
      <c r="B120" s="70" t="s">
        <v>92</v>
      </c>
      <c r="D120" s="71">
        <v>-170000</v>
      </c>
      <c r="E120" s="71">
        <v>0</v>
      </c>
      <c r="F120" s="71">
        <f>E120</f>
        <v>0</v>
      </c>
      <c r="G120" s="71"/>
      <c r="I120" s="70" t="s">
        <v>92</v>
      </c>
      <c r="K120" s="71">
        <v>-5000</v>
      </c>
      <c r="L120" s="71">
        <v>-333000</v>
      </c>
      <c r="M120" s="71">
        <v>-33000</v>
      </c>
      <c r="N120" s="71">
        <v>-28000</v>
      </c>
    </row>
    <row r="121" spans="2:14">
      <c r="B121" s="70"/>
      <c r="E121" s="73"/>
      <c r="G121" s="71"/>
      <c r="I121" s="340"/>
      <c r="N121" s="341"/>
    </row>
    <row r="122" spans="2:14">
      <c r="B122" s="70" t="s">
        <v>93</v>
      </c>
      <c r="D122" s="71">
        <f>D106+D109+SUM(D114:D119)+D120</f>
        <v>9096000</v>
      </c>
      <c r="E122" s="71">
        <f>E106+E109+SUM(E114:E119)+E120</f>
        <v>10536000</v>
      </c>
      <c r="F122" s="345">
        <v>5814000</v>
      </c>
      <c r="I122" s="340" t="s">
        <v>93</v>
      </c>
      <c r="K122" s="71">
        <f>K106+K109+SUM(K114:K119)+K120</f>
        <v>4090000</v>
      </c>
      <c r="L122" s="71">
        <f>L106+L109+SUM(L114:L119)+L120</f>
        <v>2657000</v>
      </c>
      <c r="M122" s="71">
        <f>M106+M109+SUM(M114:M119)+M120</f>
        <v>1457000</v>
      </c>
      <c r="N122" s="71">
        <f>N106+N109+SUM(N114:N119)+N120</f>
        <v>3095000</v>
      </c>
    </row>
    <row r="123" spans="2:14">
      <c r="B123" s="70"/>
      <c r="E123" s="73"/>
      <c r="G123" s="71"/>
      <c r="I123" s="340"/>
      <c r="N123" s="341"/>
    </row>
    <row r="124" spans="2:14">
      <c r="B124" s="70" t="s">
        <v>94</v>
      </c>
      <c r="E124" s="73"/>
      <c r="I124" s="70" t="s">
        <v>94</v>
      </c>
      <c r="M124" s="73"/>
      <c r="N124" s="341"/>
    </row>
    <row r="125" spans="2:14">
      <c r="B125" s="70" t="s">
        <v>95</v>
      </c>
      <c r="D125" s="71">
        <v>-2262000</v>
      </c>
      <c r="E125" s="71">
        <v>-1888000</v>
      </c>
      <c r="F125" s="345">
        <v>-1407000</v>
      </c>
      <c r="I125" s="70" t="s">
        <v>95</v>
      </c>
      <c r="K125" s="71">
        <v>-293000</v>
      </c>
      <c r="L125" s="71">
        <v>-306000</v>
      </c>
      <c r="M125" s="71">
        <v>-453000</v>
      </c>
      <c r="N125" s="71">
        <v>-398000</v>
      </c>
    </row>
    <row r="126" spans="2:14">
      <c r="B126" s="70" t="s">
        <v>96</v>
      </c>
      <c r="D126" s="71">
        <v>0</v>
      </c>
      <c r="E126" s="71">
        <v>0</v>
      </c>
      <c r="F126" s="71">
        <f>E126</f>
        <v>0</v>
      </c>
      <c r="G126" s="71"/>
      <c r="I126" s="70" t="s">
        <v>96</v>
      </c>
      <c r="K126" s="71">
        <v>6000</v>
      </c>
      <c r="L126" s="71">
        <v>0</v>
      </c>
      <c r="M126" s="71">
        <v>10000</v>
      </c>
      <c r="N126" s="71">
        <v>111000</v>
      </c>
    </row>
    <row r="127" spans="2:14">
      <c r="B127" s="70" t="s">
        <v>97</v>
      </c>
      <c r="D127" s="71">
        <v>1340000</v>
      </c>
      <c r="E127" s="71">
        <v>-32000</v>
      </c>
      <c r="F127" s="345">
        <v>-3714000</v>
      </c>
      <c r="G127" s="71"/>
      <c r="I127" s="70" t="s">
        <v>97</v>
      </c>
      <c r="K127" s="71">
        <v>-192000</v>
      </c>
      <c r="L127" s="71">
        <v>630000</v>
      </c>
      <c r="M127" s="71">
        <v>279000</v>
      </c>
      <c r="N127" s="71">
        <v>201000</v>
      </c>
    </row>
    <row r="128" spans="2:14">
      <c r="B128" s="70" t="s">
        <v>98</v>
      </c>
      <c r="D128" s="71">
        <v>-4912000</v>
      </c>
      <c r="E128" s="71">
        <v>-1377000</v>
      </c>
      <c r="F128" s="345">
        <v>-185000</v>
      </c>
      <c r="G128" s="71"/>
      <c r="I128" s="70" t="s">
        <v>98</v>
      </c>
      <c r="K128" s="71">
        <v>-128000</v>
      </c>
      <c r="L128" s="71">
        <v>-46000</v>
      </c>
      <c r="M128" s="71">
        <v>-32000</v>
      </c>
      <c r="N128" s="71">
        <v>-29000</v>
      </c>
    </row>
    <row r="129" spans="2:14">
      <c r="B129" s="70" t="s">
        <v>99</v>
      </c>
      <c r="D129" s="71">
        <v>30000</v>
      </c>
      <c r="E129" s="71">
        <v>-59000</v>
      </c>
      <c r="F129" s="345">
        <v>43000</v>
      </c>
      <c r="G129" s="71"/>
      <c r="I129" s="70" t="s">
        <v>99</v>
      </c>
      <c r="K129" s="71">
        <v>1000</v>
      </c>
      <c r="L129" s="71">
        <v>22000</v>
      </c>
      <c r="M129" s="71">
        <v>-5000</v>
      </c>
      <c r="N129" s="71">
        <v>-18000</v>
      </c>
    </row>
    <row r="130" spans="2:14">
      <c r="B130" s="70" t="s">
        <v>100</v>
      </c>
      <c r="D130" s="71">
        <v>0</v>
      </c>
      <c r="E130" s="71">
        <v>0</v>
      </c>
      <c r="F130" s="71">
        <f>E130</f>
        <v>0</v>
      </c>
      <c r="I130" s="70" t="s">
        <v>100</v>
      </c>
      <c r="K130" s="71">
        <v>-12000</v>
      </c>
      <c r="L130" s="71">
        <v>1437000</v>
      </c>
      <c r="M130" s="71">
        <v>-23000</v>
      </c>
      <c r="N130" s="71">
        <v>0</v>
      </c>
    </row>
    <row r="131" spans="2:14">
      <c r="B131" s="70"/>
      <c r="E131" s="73"/>
      <c r="G131" s="71"/>
      <c r="I131" s="340"/>
    </row>
    <row r="132" spans="2:14">
      <c r="B132" s="70" t="s">
        <v>101</v>
      </c>
      <c r="D132" s="71">
        <f>SUM(D125:D131)</f>
        <v>-5804000</v>
      </c>
      <c r="E132" s="71">
        <f>SUM(E125:E131)</f>
        <v>-3356000</v>
      </c>
      <c r="F132" s="345">
        <v>-5263000</v>
      </c>
      <c r="G132" s="71"/>
      <c r="I132" s="340" t="s">
        <v>101</v>
      </c>
      <c r="K132" s="71">
        <f>SUM(K125:K131)</f>
        <v>-618000</v>
      </c>
      <c r="L132" s="71">
        <f>SUM(L125:L131)</f>
        <v>1737000</v>
      </c>
      <c r="M132" s="71">
        <f>SUM(M125:M131)</f>
        <v>-224000</v>
      </c>
      <c r="N132" s="71">
        <f>SUM(N125:N131)</f>
        <v>-133000</v>
      </c>
    </row>
    <row r="133" spans="2:14">
      <c r="B133" s="70"/>
      <c r="E133" s="73"/>
      <c r="I133" s="340"/>
      <c r="N133" s="341"/>
    </row>
    <row r="134" spans="2:14">
      <c r="B134" s="70" t="s">
        <v>102</v>
      </c>
      <c r="E134" s="73"/>
      <c r="G134" s="67"/>
      <c r="I134" s="340" t="s">
        <v>102</v>
      </c>
      <c r="N134" s="341"/>
    </row>
    <row r="135" spans="2:14">
      <c r="B135" s="70" t="s">
        <v>103</v>
      </c>
      <c r="D135" s="71">
        <v>-3212000</v>
      </c>
      <c r="E135" s="71">
        <v>-3008000</v>
      </c>
      <c r="F135" s="345">
        <v>-2882000</v>
      </c>
      <c r="I135" s="340" t="s">
        <v>103</v>
      </c>
      <c r="K135" s="71">
        <v>-893000</v>
      </c>
      <c r="L135" s="71">
        <v>-893000</v>
      </c>
      <c r="M135" s="71">
        <v>-834000</v>
      </c>
      <c r="N135" s="71">
        <v>-842000</v>
      </c>
    </row>
    <row r="136" spans="2:14">
      <c r="B136" s="70" t="s">
        <v>104</v>
      </c>
      <c r="D136" s="71">
        <v>-2773000</v>
      </c>
      <c r="E136" s="71">
        <v>-3019000</v>
      </c>
      <c r="F136" s="345">
        <v>-2450000</v>
      </c>
      <c r="I136" s="340" t="s">
        <v>104</v>
      </c>
      <c r="K136" s="71">
        <v>-199000</v>
      </c>
      <c r="L136" s="71">
        <v>-399000</v>
      </c>
      <c r="M136" s="71">
        <v>-709000</v>
      </c>
      <c r="N136" s="71">
        <v>-1270000</v>
      </c>
    </row>
    <row r="137" spans="2:14">
      <c r="B137" s="70" t="s">
        <v>105</v>
      </c>
      <c r="D137" s="71">
        <v>-415000</v>
      </c>
      <c r="E137" s="71">
        <v>1000</v>
      </c>
      <c r="F137" s="345">
        <v>2000</v>
      </c>
      <c r="I137" s="340" t="s">
        <v>105</v>
      </c>
      <c r="K137" s="71">
        <v>0</v>
      </c>
      <c r="L137" s="71">
        <v>-498000</v>
      </c>
      <c r="M137" s="71">
        <v>-949000</v>
      </c>
      <c r="N137" s="71">
        <v>1383000</v>
      </c>
    </row>
    <row r="138" spans="2:14">
      <c r="B138" s="70" t="s">
        <v>106</v>
      </c>
      <c r="D138" s="71">
        <v>-796000</v>
      </c>
      <c r="E138" s="71">
        <v>-772000</v>
      </c>
      <c r="F138" s="345">
        <v>-475000</v>
      </c>
      <c r="I138" s="340" t="s">
        <v>106</v>
      </c>
      <c r="K138" s="71">
        <v>-25000</v>
      </c>
      <c r="L138" s="71">
        <v>-140000</v>
      </c>
      <c r="M138" s="71">
        <v>-51000</v>
      </c>
      <c r="N138" s="71">
        <v>-286000</v>
      </c>
    </row>
    <row r="139" spans="2:14">
      <c r="B139" t="s">
        <v>107</v>
      </c>
      <c r="D139" s="71">
        <v>0</v>
      </c>
      <c r="E139" s="71">
        <v>0</v>
      </c>
      <c r="F139" s="71">
        <f>E139</f>
        <v>0</v>
      </c>
      <c r="I139" s="340"/>
      <c r="K139" s="71"/>
      <c r="L139" s="71"/>
      <c r="M139" s="71"/>
      <c r="N139" s="341"/>
    </row>
    <row r="140" spans="2:14">
      <c r="B140" s="70"/>
      <c r="E140" s="73"/>
      <c r="I140" s="340"/>
      <c r="N140" s="341"/>
    </row>
    <row r="141" spans="2:14">
      <c r="B141" s="70" t="s">
        <v>108</v>
      </c>
      <c r="D141" s="71">
        <f>SUM(D135:D140)</f>
        <v>-7196000</v>
      </c>
      <c r="E141" s="71">
        <f>SUM(E135:E140)</f>
        <v>-6798000</v>
      </c>
      <c r="F141" s="345">
        <v>-5707000</v>
      </c>
      <c r="I141" s="340" t="s">
        <v>108</v>
      </c>
      <c r="K141" s="71">
        <f>SUM(K135:K140)</f>
        <v>-1117000</v>
      </c>
      <c r="L141" s="71">
        <v>-1988000</v>
      </c>
      <c r="M141" s="71">
        <f>SUM(M135:M140)</f>
        <v>-2543000</v>
      </c>
      <c r="N141" s="71">
        <f>SUM(N135:N140)</f>
        <v>-1015000</v>
      </c>
    </row>
    <row r="142" spans="2:14">
      <c r="B142" s="70" t="s">
        <v>109</v>
      </c>
      <c r="D142" s="71"/>
      <c r="E142" s="71"/>
      <c r="I142" s="340" t="s">
        <v>109</v>
      </c>
      <c r="N142" s="341"/>
    </row>
    <row r="143" spans="2:14">
      <c r="B143" s="70"/>
      <c r="E143" s="73"/>
      <c r="G143" t="s">
        <v>3</v>
      </c>
      <c r="I143" s="340"/>
      <c r="N143" s="341"/>
    </row>
    <row r="144" spans="2:14">
      <c r="B144" s="70" t="s">
        <v>110</v>
      </c>
      <c r="D144" s="67">
        <f>D141+D132+D122</f>
        <v>-3904000</v>
      </c>
      <c r="E144" s="67">
        <f>E141+E132+E122</f>
        <v>382000</v>
      </c>
      <c r="F144" s="345">
        <v>-5156000</v>
      </c>
      <c r="I144" s="340" t="s">
        <v>110</v>
      </c>
      <c r="K144" s="67">
        <f>SUM(K141,K132,K122)</f>
        <v>2355000</v>
      </c>
      <c r="L144" s="67">
        <f>SUM(L141,L132,L122)</f>
        <v>2406000</v>
      </c>
      <c r="M144" s="67">
        <f>SUM(M141,M132,M122)</f>
        <v>-1310000</v>
      </c>
      <c r="N144" s="67">
        <f>SUM(N141,N132,N122)</f>
        <v>1947000</v>
      </c>
    </row>
    <row r="145" spans="2:14">
      <c r="B145" s="70"/>
      <c r="F145" s="73"/>
      <c r="I145" s="340"/>
      <c r="N145" s="341"/>
    </row>
    <row r="146" spans="2:14">
      <c r="B146" s="70" t="s">
        <v>34</v>
      </c>
      <c r="F146" s="73"/>
      <c r="G146" t="s">
        <v>3</v>
      </c>
      <c r="I146" s="340" t="s">
        <v>34</v>
      </c>
      <c r="N146" s="341"/>
    </row>
    <row r="147" spans="2:14">
      <c r="B147" s="70" t="s">
        <v>35</v>
      </c>
      <c r="F147" s="73"/>
      <c r="I147" s="340" t="s">
        <v>35</v>
      </c>
      <c r="N147" s="341"/>
    </row>
    <row r="148" spans="2:14">
      <c r="B148" s="74" t="s">
        <v>36</v>
      </c>
      <c r="C148" s="75"/>
      <c r="D148" s="75"/>
      <c r="E148" s="75"/>
      <c r="F148" s="219"/>
      <c r="I148" s="342" t="s">
        <v>36</v>
      </c>
      <c r="J148" s="343"/>
      <c r="K148" s="343"/>
      <c r="L148" s="343"/>
      <c r="M148" s="343"/>
      <c r="N148" s="344"/>
    </row>
  </sheetData>
  <phoneticPr fontId="0" type="noConversion"/>
  <pageMargins left="0.35" right="0.36" top="1" bottom="1" header="0.5" footer="0.5"/>
  <pageSetup scale="60" orientation="landscape" horizontalDpi="300" verticalDpi="300" r:id="rId1"/>
  <headerFooter alignWithMargins="0"/>
  <rowBreaks count="2" manualBreakCount="2">
    <brk id="44" max="16383" man="1"/>
    <brk id="9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18:O27"/>
  <sheetViews>
    <sheetView topLeftCell="A13" workbookViewId="0">
      <selection activeCell="K22" sqref="K22"/>
    </sheetView>
  </sheetViews>
  <sheetFormatPr defaultRowHeight="12.5"/>
  <sheetData>
    <row r="18" spans="3:15" ht="12.75" customHeight="1">
      <c r="C18" s="413" t="s">
        <v>111</v>
      </c>
      <c r="D18" s="414"/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</row>
    <row r="19" spans="3:15" ht="12.75" customHeight="1"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</row>
    <row r="20" spans="3:15" ht="38.25" customHeight="1"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</row>
    <row r="27" spans="3:15" ht="15.5">
      <c r="F27" s="415" t="s">
        <v>112</v>
      </c>
      <c r="G27" s="416"/>
      <c r="H27" s="416"/>
      <c r="I27" s="416"/>
      <c r="J27" s="416"/>
      <c r="K27" s="416"/>
      <c r="L27" s="416"/>
    </row>
  </sheetData>
  <mergeCells count="2">
    <mergeCell ref="C18:O20"/>
    <mergeCell ref="F27:L27"/>
  </mergeCells>
  <phoneticPr fontId="23" type="noConversion"/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302"/>
  <sheetViews>
    <sheetView topLeftCell="A11" zoomScale="99" zoomScaleNormal="100" workbookViewId="0">
      <pane xSplit="4" topLeftCell="E1" activePane="topRight" state="frozen"/>
      <selection activeCell="A11" sqref="A11"/>
      <selection pane="topRight" activeCell="I10" sqref="I10"/>
    </sheetView>
  </sheetViews>
  <sheetFormatPr defaultRowHeight="12.5"/>
  <cols>
    <col min="1" max="1" width="4.1796875" customWidth="1"/>
    <col min="2" max="2" width="2" customWidth="1"/>
    <col min="3" max="3" width="3.81640625" customWidth="1"/>
    <col min="4" max="4" width="44.1796875" customWidth="1"/>
    <col min="5" max="6" width="11.54296875" customWidth="1"/>
    <col min="7" max="7" width="12.1796875" customWidth="1"/>
    <col min="8" max="8" width="11.1796875" customWidth="1"/>
    <col min="9" max="9" width="13.453125" bestFit="1" customWidth="1"/>
    <col min="10" max="10" width="14.453125" bestFit="1" customWidth="1"/>
    <col min="11" max="11" width="12.81640625" customWidth="1"/>
    <col min="12" max="12" width="14" customWidth="1"/>
    <col min="13" max="13" width="6.81640625" bestFit="1" customWidth="1"/>
    <col min="14" max="14" width="10.54296875" customWidth="1"/>
    <col min="15" max="15" width="13.1796875" bestFit="1" customWidth="1"/>
    <col min="16" max="17" width="11.54296875" bestFit="1" customWidth="1"/>
    <col min="18" max="19" width="9.1796875" bestFit="1" customWidth="1"/>
    <col min="20" max="20" width="11.1796875" bestFit="1" customWidth="1"/>
  </cols>
  <sheetData>
    <row r="1" spans="1:22" ht="24" customHeight="1">
      <c r="C1" s="1" t="str">
        <f>+'Yahoo Fin Input'!B2</f>
        <v>QUALCOMM Incorporated (QCOM)</v>
      </c>
      <c r="K1" s="89" t="s">
        <v>3</v>
      </c>
    </row>
    <row r="2" spans="1:22" ht="13">
      <c r="C2" s="2" t="s">
        <v>113</v>
      </c>
      <c r="J2" s="89" t="s">
        <v>3</v>
      </c>
      <c r="L2">
        <v>1000</v>
      </c>
      <c r="N2" s="3"/>
    </row>
    <row r="3" spans="1:22" ht="13">
      <c r="C3" s="2"/>
      <c r="N3" s="3"/>
    </row>
    <row r="4" spans="1:22" ht="15" customHeight="1" thickBot="1">
      <c r="E4" s="418" t="s">
        <v>114</v>
      </c>
      <c r="F4" s="418"/>
      <c r="G4" s="419"/>
      <c r="H4" s="419"/>
      <c r="I4" s="331"/>
      <c r="J4" s="331"/>
      <c r="K4" s="331"/>
      <c r="L4" s="331"/>
      <c r="N4" s="418" t="s">
        <v>115</v>
      </c>
      <c r="O4" s="419"/>
      <c r="P4" s="419"/>
      <c r="Q4" s="419"/>
    </row>
    <row r="5" spans="1:22" ht="15" customHeight="1" thickBot="1">
      <c r="E5" s="59" t="s">
        <v>116</v>
      </c>
      <c r="F5" s="59"/>
      <c r="G5" s="60"/>
      <c r="H5" s="60"/>
      <c r="I5" s="247"/>
      <c r="J5" s="247"/>
      <c r="K5" s="247"/>
      <c r="L5" s="247"/>
      <c r="N5" s="59"/>
      <c r="O5" s="60"/>
      <c r="P5" s="60"/>
      <c r="Q5" s="60"/>
    </row>
    <row r="6" spans="1:22" ht="13">
      <c r="C6" s="421" t="s">
        <v>117</v>
      </c>
      <c r="D6" s="422"/>
      <c r="E6" s="77">
        <f>+'Yahoo Fin Input'!K6</f>
        <v>45199</v>
      </c>
      <c r="F6" s="4">
        <f>+'Yahoo Fin Input'!D6</f>
        <v>44834</v>
      </c>
      <c r="G6" s="4">
        <f>+'Yahoo Fin Input'!E6</f>
        <v>44469</v>
      </c>
      <c r="H6" s="4">
        <f>+'Yahoo Fin Input'!F6</f>
        <v>44104</v>
      </c>
      <c r="I6" s="4">
        <v>43738</v>
      </c>
      <c r="J6" s="4">
        <v>43373</v>
      </c>
      <c r="K6" s="4">
        <v>43008</v>
      </c>
      <c r="L6" s="4">
        <v>42643</v>
      </c>
      <c r="M6" s="5"/>
      <c r="N6" s="6">
        <f>+'Yahoo Fin Input'!K6</f>
        <v>45199</v>
      </c>
      <c r="O6" s="7">
        <f>+'Yahoo Fin Input'!L6</f>
        <v>45107</v>
      </c>
      <c r="P6" s="7">
        <f>+'Yahoo Fin Input'!M6</f>
        <v>45016</v>
      </c>
      <c r="Q6" s="8">
        <f>+'Yahoo Fin Input'!N6</f>
        <v>44926</v>
      </c>
      <c r="R6" s="9"/>
    </row>
    <row r="7" spans="1:22" ht="13.5" customHeight="1">
      <c r="A7">
        <f>ROW()</f>
        <v>7</v>
      </c>
      <c r="C7" s="417" t="s">
        <v>118</v>
      </c>
      <c r="D7" s="417"/>
      <c r="E7" s="10">
        <f>SUM(N7:Q7)</f>
        <v>35820000</v>
      </c>
      <c r="F7" s="11">
        <f>+'Yahoo Fin Input'!D7</f>
        <v>44200000</v>
      </c>
      <c r="G7" s="11">
        <f>+'Yahoo Fin Input'!E7</f>
        <v>33566000</v>
      </c>
      <c r="H7" s="11">
        <f>+'Yahoo Fin Input'!F7</f>
        <v>23531000</v>
      </c>
      <c r="I7" s="11">
        <v>24273000</v>
      </c>
      <c r="J7" s="11">
        <v>22611000</v>
      </c>
      <c r="K7" s="11">
        <v>22291000</v>
      </c>
      <c r="L7" s="11">
        <v>23554000</v>
      </c>
      <c r="M7" s="12"/>
      <c r="N7" s="11">
        <f>+'Yahoo Fin Input'!K7</f>
        <v>8631000</v>
      </c>
      <c r="O7" s="11">
        <f>+'Yahoo Fin Input'!L7</f>
        <v>8451000</v>
      </c>
      <c r="P7" s="11">
        <f>+'Yahoo Fin Input'!M7</f>
        <v>9275000</v>
      </c>
      <c r="Q7" s="11">
        <f>+'Yahoo Fin Input'!N7</f>
        <v>9463000</v>
      </c>
      <c r="R7" s="12"/>
    </row>
    <row r="8" spans="1:22" ht="13.5" customHeight="1">
      <c r="A8">
        <f>ROW()</f>
        <v>8</v>
      </c>
      <c r="B8" s="9"/>
      <c r="C8" s="420" t="s">
        <v>9</v>
      </c>
      <c r="D8" s="420"/>
      <c r="E8" s="13">
        <f>SUM(N8:Q8)</f>
        <v>15869000</v>
      </c>
      <c r="F8" s="14">
        <f>+'Yahoo Fin Input'!D8</f>
        <v>18635000</v>
      </c>
      <c r="G8" s="14">
        <f>+'Yahoo Fin Input'!E8</f>
        <v>14262000</v>
      </c>
      <c r="H8" s="14">
        <f>+'Yahoo Fin Input'!F8</f>
        <v>9255000</v>
      </c>
      <c r="I8" s="14">
        <v>8599000</v>
      </c>
      <c r="J8" s="14">
        <v>10244000</v>
      </c>
      <c r="K8" s="14">
        <v>9792000</v>
      </c>
      <c r="L8" s="14">
        <v>9749000</v>
      </c>
      <c r="M8" s="12"/>
      <c r="N8" s="14">
        <f>+'Yahoo Fin Input'!K8</f>
        <v>3880000</v>
      </c>
      <c r="O8" s="14">
        <f>+'Yahoo Fin Input'!L8</f>
        <v>3792000</v>
      </c>
      <c r="P8" s="14">
        <f>+'Yahoo Fin Input'!M8</f>
        <v>4153000</v>
      </c>
      <c r="Q8" s="14">
        <f>+'Yahoo Fin Input'!N8</f>
        <v>4044000</v>
      </c>
      <c r="R8" s="12"/>
    </row>
    <row r="9" spans="1:22" ht="13.5" customHeight="1">
      <c r="A9">
        <f>ROW()</f>
        <v>9</v>
      </c>
      <c r="B9" s="9"/>
      <c r="C9" s="417" t="s">
        <v>119</v>
      </c>
      <c r="D9" s="417"/>
      <c r="E9" s="15">
        <f>+E7-E8</f>
        <v>19951000</v>
      </c>
      <c r="F9" s="11">
        <f>+F7-F8</f>
        <v>25565000</v>
      </c>
      <c r="G9" s="11">
        <f>+G7-G8</f>
        <v>19304000</v>
      </c>
      <c r="H9" s="11">
        <f>+H7-H8</f>
        <v>14276000</v>
      </c>
      <c r="I9" s="372">
        <f>I7-I8</f>
        <v>15674000</v>
      </c>
      <c r="J9" s="372">
        <f t="shared" ref="J9:L9" si="0">J7-J8</f>
        <v>12367000</v>
      </c>
      <c r="K9" s="372">
        <f t="shared" si="0"/>
        <v>12499000</v>
      </c>
      <c r="L9" s="372">
        <f t="shared" si="0"/>
        <v>13805000</v>
      </c>
      <c r="M9" s="12"/>
      <c r="N9" s="11">
        <f>+N7-N8</f>
        <v>4751000</v>
      </c>
      <c r="O9" s="11">
        <f>+O7-O8</f>
        <v>4659000</v>
      </c>
      <c r="P9" s="11">
        <f>+P7-P8</f>
        <v>5122000</v>
      </c>
      <c r="Q9" s="11">
        <f>+Q7-Q8</f>
        <v>5419000</v>
      </c>
      <c r="R9" s="12"/>
      <c r="V9">
        <v>1000</v>
      </c>
    </row>
    <row r="10" spans="1:22" ht="13.5" customHeight="1">
      <c r="A10">
        <f>ROW()</f>
        <v>10</v>
      </c>
      <c r="B10" s="9"/>
      <c r="C10" s="16"/>
      <c r="D10" s="16"/>
      <c r="E10" s="17"/>
      <c r="F10" s="16"/>
      <c r="G10" s="16"/>
      <c r="H10" s="16"/>
      <c r="I10" s="11"/>
      <c r="J10" s="16"/>
      <c r="K10" s="16" t="s">
        <v>3</v>
      </c>
      <c r="L10" s="16"/>
      <c r="M10" s="12"/>
      <c r="N10" s="16"/>
      <c r="O10" s="16"/>
      <c r="P10" s="16"/>
      <c r="Q10" s="16"/>
      <c r="R10" s="12"/>
    </row>
    <row r="11" spans="1:22" ht="13.5" customHeight="1">
      <c r="A11">
        <f>ROW()</f>
        <v>11</v>
      </c>
      <c r="B11" s="9"/>
      <c r="C11" s="332"/>
      <c r="D11" s="18" t="s">
        <v>11</v>
      </c>
      <c r="E11" s="19"/>
      <c r="F11" s="18"/>
      <c r="G11" s="18"/>
      <c r="H11" s="18"/>
      <c r="I11" s="18" t="s">
        <v>3</v>
      </c>
      <c r="J11" s="18"/>
      <c r="K11" s="18"/>
      <c r="L11" s="18"/>
      <c r="M11" s="12"/>
      <c r="N11" s="16"/>
      <c r="O11" s="16"/>
      <c r="P11" s="16"/>
      <c r="Q11" s="16"/>
      <c r="R11" s="12"/>
    </row>
    <row r="12" spans="1:22" ht="13.5" customHeight="1">
      <c r="A12">
        <f>ROW()</f>
        <v>12</v>
      </c>
      <c r="B12" s="9"/>
      <c r="C12" s="332"/>
      <c r="D12" s="332" t="s">
        <v>12</v>
      </c>
      <c r="E12" s="20">
        <f>SUM(N12:Q12)</f>
        <v>8818000</v>
      </c>
      <c r="F12" s="21">
        <f>+'Yahoo Fin Input'!D13</f>
        <v>8194000</v>
      </c>
      <c r="G12" s="21">
        <f>+'Yahoo Fin Input'!E13</f>
        <v>0</v>
      </c>
      <c r="H12" s="21">
        <f>+'Yahoo Fin Input'!F13</f>
        <v>5975000</v>
      </c>
      <c r="I12" s="21">
        <v>5398000</v>
      </c>
      <c r="J12" s="21">
        <v>5625000</v>
      </c>
      <c r="K12" s="21">
        <v>5485000</v>
      </c>
      <c r="L12" s="21">
        <v>5151000</v>
      </c>
      <c r="M12" s="12"/>
      <c r="N12" s="22">
        <f>+'Yahoo Fin Input'!K13</f>
        <v>2135000</v>
      </c>
      <c r="O12" s="22">
        <f>+'Yahoo Fin Input'!L13</f>
        <v>2222000</v>
      </c>
      <c r="P12" s="22">
        <f>+'Yahoo Fin Input'!M13</f>
        <v>2210000</v>
      </c>
      <c r="Q12" s="22">
        <f>+'Yahoo Fin Input'!N13</f>
        <v>2251000</v>
      </c>
      <c r="R12" s="12"/>
    </row>
    <row r="13" spans="1:22" ht="13.5" customHeight="1">
      <c r="A13">
        <f>ROW()</f>
        <v>13</v>
      </c>
      <c r="B13" s="9"/>
      <c r="C13" s="332"/>
      <c r="D13" s="332" t="s">
        <v>13</v>
      </c>
      <c r="E13" s="20">
        <f>SUM(N13:Q13)</f>
        <v>2483000</v>
      </c>
      <c r="F13" s="21">
        <f>+'Yahoo Fin Input'!D14</f>
        <v>2570000</v>
      </c>
      <c r="G13" s="21">
        <f>+'Yahoo Fin Input'!E14</f>
        <v>2339000</v>
      </c>
      <c r="H13" s="21">
        <f>+'Yahoo Fin Input'!F14</f>
        <v>2074000</v>
      </c>
      <c r="I13" s="21">
        <v>2195000</v>
      </c>
      <c r="J13" s="21">
        <v>2986000</v>
      </c>
      <c r="K13" s="21">
        <v>2658000</v>
      </c>
      <c r="L13" s="21">
        <v>2385000</v>
      </c>
      <c r="M13" s="12"/>
      <c r="N13" s="22">
        <f>+'Yahoo Fin Input'!K14</f>
        <v>628000</v>
      </c>
      <c r="O13" s="22">
        <f>+'Yahoo Fin Input'!L14</f>
        <v>618000</v>
      </c>
      <c r="P13" s="22">
        <f>+'Yahoo Fin Input'!M14</f>
        <v>614000</v>
      </c>
      <c r="Q13" s="22">
        <f>+'Yahoo Fin Input'!N14</f>
        <v>623000</v>
      </c>
      <c r="R13" s="12"/>
      <c r="S13" s="89" t="s">
        <v>3</v>
      </c>
    </row>
    <row r="14" spans="1:22" ht="13.5" customHeight="1">
      <c r="A14">
        <f>ROW()</f>
        <v>14</v>
      </c>
      <c r="B14" s="9"/>
      <c r="C14" s="332"/>
      <c r="D14" s="332" t="s">
        <v>120</v>
      </c>
      <c r="E14" s="20">
        <f>SUM(N14:Q14)</f>
        <v>0</v>
      </c>
      <c r="F14" s="21">
        <f>+'Yahoo Fin Input'!D15</f>
        <v>0</v>
      </c>
      <c r="G14" s="21">
        <f>+'Yahoo Fin Input'!E15</f>
        <v>7176000</v>
      </c>
      <c r="H14" s="21">
        <f>+'Yahoo Fin Input'!F15</f>
        <v>0</v>
      </c>
      <c r="I14" s="21">
        <v>0</v>
      </c>
      <c r="J14" s="21">
        <v>0</v>
      </c>
      <c r="K14" s="21">
        <v>0</v>
      </c>
      <c r="L14" s="21">
        <v>0</v>
      </c>
      <c r="M14" s="12"/>
      <c r="N14" s="22">
        <f>+'Yahoo Fin Input'!K15</f>
        <v>0</v>
      </c>
      <c r="O14" s="22">
        <f>+'Yahoo Fin Input'!L15</f>
        <v>0</v>
      </c>
      <c r="P14" s="22">
        <f>+'Yahoo Fin Input'!M15</f>
        <v>0</v>
      </c>
      <c r="Q14" s="22">
        <f>+'Yahoo Fin Input'!N15</f>
        <v>0</v>
      </c>
      <c r="R14" s="12"/>
    </row>
    <row r="15" spans="1:22" ht="13.5" customHeight="1">
      <c r="A15">
        <f>ROW()</f>
        <v>15</v>
      </c>
      <c r="B15" s="9"/>
      <c r="C15" s="332"/>
      <c r="D15" s="332" t="s">
        <v>15</v>
      </c>
      <c r="E15" s="20">
        <f>SUM(N15:Q15)</f>
        <v>865000</v>
      </c>
      <c r="F15" s="370">
        <f>+'Yahoo Fin Input'!D16</f>
        <v>-1059000</v>
      </c>
      <c r="G15" s="370">
        <f>+'Yahoo Fin Input'!E16</f>
        <v>0</v>
      </c>
      <c r="H15" s="370">
        <f>+'Yahoo Fin Input'!F16</f>
        <v>-28000</v>
      </c>
      <c r="I15" s="21">
        <v>414000</v>
      </c>
      <c r="J15" s="21">
        <v>3135000</v>
      </c>
      <c r="K15" s="21">
        <v>1742000</v>
      </c>
      <c r="L15" s="21">
        <v>-226000</v>
      </c>
      <c r="M15" s="12"/>
      <c r="N15" s="24">
        <f>+'Yahoo Fin Input'!K16</f>
        <v>577000</v>
      </c>
      <c r="O15" s="24">
        <f>+'Yahoo Fin Input'!L16</f>
        <v>0</v>
      </c>
      <c r="P15" s="24">
        <f>+'Yahoo Fin Input'!M16</f>
        <v>208000</v>
      </c>
      <c r="Q15" s="24">
        <f>+'Yahoo Fin Input'!N16</f>
        <v>80000</v>
      </c>
      <c r="R15" s="12"/>
    </row>
    <row r="16" spans="1:22" ht="13.5" customHeight="1">
      <c r="A16">
        <f>ROW()</f>
        <v>16</v>
      </c>
      <c r="B16" s="9"/>
      <c r="C16" s="332"/>
      <c r="D16" s="330" t="s">
        <v>16</v>
      </c>
      <c r="E16" s="371">
        <f>SUM(E12:E15)</f>
        <v>12166000</v>
      </c>
      <c r="F16" s="372">
        <f>SUM(F12:F15)</f>
        <v>9705000</v>
      </c>
      <c r="G16" s="372">
        <f>SUM(G12:G15)</f>
        <v>9515000</v>
      </c>
      <c r="H16" s="372">
        <f>SUM(H12:H15)</f>
        <v>8021000</v>
      </c>
      <c r="I16" s="372">
        <f>(SUM(I12:I15))</f>
        <v>8007000</v>
      </c>
      <c r="J16" s="372">
        <f>(SUM(J12:J15))</f>
        <v>11746000</v>
      </c>
      <c r="K16" s="372">
        <f t="shared" ref="K16:L16" si="1">(SUM(K12:K15))</f>
        <v>9885000</v>
      </c>
      <c r="L16" s="372">
        <f t="shared" si="1"/>
        <v>7310000</v>
      </c>
      <c r="M16" s="12"/>
      <c r="N16" s="21">
        <f>SUM(N12:N15)</f>
        <v>3340000</v>
      </c>
      <c r="O16" s="21">
        <f>SUM(O12:O15)</f>
        <v>2840000</v>
      </c>
      <c r="P16" s="21">
        <f>SUM(P12:P15)</f>
        <v>3032000</v>
      </c>
      <c r="Q16" s="21">
        <f>SUM(Q12:Q15)</f>
        <v>2954000</v>
      </c>
      <c r="R16" s="12"/>
    </row>
    <row r="17" spans="1:23" ht="13.5" customHeight="1">
      <c r="A17">
        <f>ROW()</f>
        <v>17</v>
      </c>
      <c r="B17" s="9"/>
      <c r="C17" s="332"/>
      <c r="D17" s="330"/>
      <c r="E17" s="23"/>
      <c r="F17" s="21"/>
      <c r="G17" s="21" t="s">
        <v>3</v>
      </c>
      <c r="H17" s="21"/>
      <c r="I17" s="21"/>
      <c r="J17" s="21"/>
      <c r="K17" s="21"/>
      <c r="L17" s="21"/>
      <c r="M17" s="12"/>
      <c r="N17" s="21"/>
      <c r="O17" s="21"/>
      <c r="P17" s="21"/>
      <c r="Q17" s="21"/>
      <c r="R17" s="12"/>
      <c r="T17" t="s">
        <v>3</v>
      </c>
    </row>
    <row r="18" spans="1:23" ht="13.5" customHeight="1">
      <c r="A18">
        <f>ROW()</f>
        <v>18</v>
      </c>
      <c r="B18" s="9"/>
      <c r="C18" s="417" t="s">
        <v>121</v>
      </c>
      <c r="D18" s="417"/>
      <c r="E18" s="15">
        <f>+E9-E16</f>
        <v>7785000</v>
      </c>
      <c r="F18" s="11">
        <f>+F9-F16</f>
        <v>15860000</v>
      </c>
      <c r="G18" s="11">
        <f>+G9-G16</f>
        <v>9789000</v>
      </c>
      <c r="H18" s="11">
        <f>+H9-H16</f>
        <v>6255000</v>
      </c>
      <c r="I18" s="11">
        <f t="shared" ref="I18:K18" si="2">I9-I16</f>
        <v>7667000</v>
      </c>
      <c r="J18" s="11">
        <f t="shared" si="2"/>
        <v>621000</v>
      </c>
      <c r="K18" s="11">
        <f t="shared" si="2"/>
        <v>2614000</v>
      </c>
      <c r="L18" s="11">
        <v>6495</v>
      </c>
      <c r="M18" s="12"/>
      <c r="N18" s="11">
        <f>+N9-N16</f>
        <v>1411000</v>
      </c>
      <c r="O18" s="11">
        <f>+O9-O16</f>
        <v>1819000</v>
      </c>
      <c r="P18" s="11">
        <f>+P9-P16</f>
        <v>2090000</v>
      </c>
      <c r="Q18" s="11">
        <f>+Q9-Q16</f>
        <v>2465000</v>
      </c>
      <c r="R18" s="12"/>
      <c r="W18" s="89" t="s">
        <v>3</v>
      </c>
    </row>
    <row r="19" spans="1:23" ht="13.5" customHeight="1">
      <c r="A19">
        <f>ROW()</f>
        <v>19</v>
      </c>
      <c r="B19" s="9"/>
      <c r="C19" s="332"/>
      <c r="D19" s="332" t="s">
        <v>122</v>
      </c>
      <c r="E19" s="13">
        <f>SUM(N19:Q19)</f>
        <v>-16000</v>
      </c>
      <c r="F19" s="14">
        <f>'Yahoo Fin Input'!D24</f>
        <v>-463000</v>
      </c>
      <c r="G19" s="14">
        <f>'Yahoo Fin Input'!E24</f>
        <v>1044000</v>
      </c>
      <c r="H19" s="14">
        <f>'Yahoo Fin Input'!F24</f>
        <v>66000</v>
      </c>
      <c r="I19" s="14"/>
      <c r="J19" s="14"/>
      <c r="K19" s="14"/>
      <c r="L19" s="14"/>
      <c r="M19" s="12"/>
      <c r="N19" s="63"/>
      <c r="O19" s="63"/>
      <c r="P19" s="63">
        <v>-16000</v>
      </c>
      <c r="Q19" s="63"/>
      <c r="R19" s="16"/>
    </row>
    <row r="20" spans="1:23" ht="13.5" customHeight="1">
      <c r="A20">
        <f>ROW()</f>
        <v>20</v>
      </c>
      <c r="B20" s="9"/>
      <c r="C20" s="417" t="s">
        <v>123</v>
      </c>
      <c r="D20" s="417"/>
      <c r="E20" s="15">
        <f>+E18+E19</f>
        <v>7769000</v>
      </c>
      <c r="F20" s="11">
        <f>+F18+F19</f>
        <v>15397000</v>
      </c>
      <c r="G20" s="11">
        <f>+G18+G19</f>
        <v>10833000</v>
      </c>
      <c r="H20" s="11">
        <f>SUM(H18:H19)</f>
        <v>6321000</v>
      </c>
      <c r="I20">
        <v>7481000</v>
      </c>
      <c r="J20">
        <v>392000</v>
      </c>
      <c r="K20">
        <v>3020000</v>
      </c>
      <c r="L20">
        <v>6833000</v>
      </c>
      <c r="M20" s="12"/>
      <c r="N20" s="11">
        <f>+N18+N19</f>
        <v>1411000</v>
      </c>
      <c r="O20" s="11">
        <f>+O18+O19</f>
        <v>1819000</v>
      </c>
      <c r="P20" s="11">
        <f>+P18+P19</f>
        <v>2074000</v>
      </c>
      <c r="Q20" s="11">
        <f>+Q18+Q19</f>
        <v>2465000</v>
      </c>
      <c r="R20" s="16"/>
    </row>
    <row r="21" spans="1:23" ht="13.5" customHeight="1">
      <c r="A21">
        <f>ROW()</f>
        <v>21</v>
      </c>
      <c r="B21" s="9"/>
      <c r="C21" s="380"/>
      <c r="D21" s="380"/>
      <c r="E21" s="406">
        <v>694000</v>
      </c>
      <c r="F21" s="71">
        <f>'Yahoo Fin Input'!D26</f>
        <v>-399000</v>
      </c>
      <c r="G21" s="71">
        <f>'Yahoo Fin Input'!E26</f>
        <v>-559000</v>
      </c>
      <c r="H21" s="71">
        <f>'Yahoo Fin Input'!F26</f>
        <v>602000</v>
      </c>
      <c r="I21" s="374"/>
      <c r="J21" s="374"/>
      <c r="K21" s="374"/>
      <c r="L21" s="374"/>
      <c r="M21" s="381"/>
      <c r="N21" s="382">
        <v>56000</v>
      </c>
      <c r="O21" s="382">
        <v>62000</v>
      </c>
      <c r="P21" s="382">
        <f>+'Yahoo Fin Input'!M26</f>
        <v>179000</v>
      </c>
      <c r="Q21" s="382">
        <v>50000</v>
      </c>
      <c r="R21" s="383"/>
      <c r="S21" s="89" t="s">
        <v>3</v>
      </c>
    </row>
    <row r="22" spans="1:23" ht="13.5" customHeight="1">
      <c r="A22">
        <f>ROW()</f>
        <v>22</v>
      </c>
      <c r="B22" s="9"/>
      <c r="C22" s="332"/>
      <c r="D22" s="332" t="s">
        <v>22</v>
      </c>
      <c r="E22" s="15">
        <f>+E20-E21</f>
        <v>7075000</v>
      </c>
      <c r="F22" s="11">
        <f>+F20+F21</f>
        <v>14998000</v>
      </c>
      <c r="G22" s="11">
        <f>+G20+G21</f>
        <v>10274000</v>
      </c>
      <c r="H22" s="11">
        <f>+H20-H21</f>
        <v>5719000</v>
      </c>
      <c r="I22" s="11">
        <v>370000</v>
      </c>
      <c r="J22" s="11">
        <v>370000</v>
      </c>
      <c r="K22" s="11">
        <v>456000</v>
      </c>
      <c r="L22" s="11">
        <f>L20</f>
        <v>6833000</v>
      </c>
      <c r="M22" s="12"/>
      <c r="N22" s="11">
        <f>+N20-N21</f>
        <v>1355000</v>
      </c>
      <c r="O22" s="11">
        <f>+O20-O21</f>
        <v>1757000</v>
      </c>
      <c r="P22" s="11">
        <f>+P20-P21</f>
        <v>1895000</v>
      </c>
      <c r="Q22" s="11">
        <f>+Q20-Q21</f>
        <v>2415000</v>
      </c>
      <c r="R22" s="16"/>
      <c r="V22" s="89" t="s">
        <v>3</v>
      </c>
    </row>
    <row r="23" spans="1:23" ht="13.5" customHeight="1">
      <c r="A23">
        <f>ROW()</f>
        <v>23</v>
      </c>
      <c r="B23" s="9"/>
      <c r="C23" s="332"/>
      <c r="D23" s="332" t="s">
        <v>23</v>
      </c>
      <c r="E23" s="20">
        <f>SUM(N23:Q23)</f>
        <v>104000</v>
      </c>
      <c r="F23" s="21">
        <f>+'Yahoo Fin Input'!D28</f>
        <v>2012000</v>
      </c>
      <c r="G23" s="21">
        <f>+'Yahoo Fin Input'!E28</f>
        <v>1231000</v>
      </c>
      <c r="H23" s="21">
        <f>+'Yahoo Fin Input'!F28</f>
        <v>521000</v>
      </c>
      <c r="I23" s="21">
        <v>3095000</v>
      </c>
      <c r="J23" s="21">
        <v>5356000</v>
      </c>
      <c r="K23" s="21">
        <v>555000</v>
      </c>
      <c r="L23" s="21">
        <v>1131000</v>
      </c>
      <c r="M23" s="12"/>
      <c r="N23" s="22">
        <f>+'Yahoo Fin Input'!K28</f>
        <v>-209000</v>
      </c>
      <c r="O23" s="22">
        <f>+'Yahoo Fin Input'!L28</f>
        <v>22000</v>
      </c>
      <c r="P23" s="22">
        <f>+'Yahoo Fin Input'!M28</f>
        <v>193000</v>
      </c>
      <c r="Q23" s="22">
        <f>+'Yahoo Fin Input'!N28</f>
        <v>98000</v>
      </c>
      <c r="R23" s="16"/>
      <c r="V23" s="89" t="s">
        <v>3</v>
      </c>
    </row>
    <row r="24" spans="1:23" ht="13.5" customHeight="1">
      <c r="A24">
        <f>ROW()</f>
        <v>24</v>
      </c>
      <c r="B24" s="9"/>
      <c r="C24" s="332"/>
      <c r="D24" s="332" t="s">
        <v>24</v>
      </c>
      <c r="E24" s="13">
        <f>SUM(N24:Q24)</f>
        <v>0</v>
      </c>
      <c r="F24" s="14">
        <f>+'Yahoo Fin Input'!D29</f>
        <v>0</v>
      </c>
      <c r="G24" s="14">
        <f>+'Yahoo Fin Input'!E29</f>
        <v>0</v>
      </c>
      <c r="H24" s="14">
        <f>+'Yahoo Fin Input'!F29</f>
        <v>0</v>
      </c>
      <c r="I24" s="14"/>
      <c r="J24" s="14"/>
      <c r="K24" s="14"/>
      <c r="L24" s="14"/>
      <c r="M24" s="12"/>
      <c r="N24" s="24">
        <f>+'Yahoo Fin Input'!K29</f>
        <v>0</v>
      </c>
      <c r="O24" s="24">
        <f>+'Yahoo Fin Input'!L29</f>
        <v>0</v>
      </c>
      <c r="P24" s="24">
        <f>+'Yahoo Fin Input'!M29</f>
        <v>0</v>
      </c>
      <c r="Q24" s="24">
        <f>+'Yahoo Fin Input'!N29</f>
        <v>0</v>
      </c>
      <c r="R24" s="16"/>
      <c r="V24">
        <f>6883-6495</f>
        <v>388</v>
      </c>
    </row>
    <row r="25" spans="1:23" ht="13.5" customHeight="1">
      <c r="A25">
        <f>ROW()</f>
        <v>25</v>
      </c>
      <c r="B25" s="9"/>
      <c r="C25" s="332"/>
      <c r="D25" s="332" t="s">
        <v>25</v>
      </c>
      <c r="E25" s="15">
        <f>+E22-E23-E24</f>
        <v>6971000</v>
      </c>
      <c r="F25" s="11">
        <f>+F22-F23+F24</f>
        <v>12986000</v>
      </c>
      <c r="G25" s="11">
        <f>+G22-G23+G24</f>
        <v>9043000</v>
      </c>
      <c r="H25" s="11">
        <f>+H22-H23+H24</f>
        <v>5198000</v>
      </c>
      <c r="I25" s="11">
        <f t="shared" ref="I25:K25" si="3">I20-I23</f>
        <v>4386000</v>
      </c>
      <c r="J25" s="11">
        <f t="shared" si="3"/>
        <v>-4964000</v>
      </c>
      <c r="K25" s="11">
        <f t="shared" si="3"/>
        <v>2465000</v>
      </c>
      <c r="L25" s="11">
        <f>L20-L23</f>
        <v>5702000</v>
      </c>
      <c r="M25" s="12"/>
      <c r="N25" s="11">
        <f>+N22-N23+N24</f>
        <v>1564000</v>
      </c>
      <c r="O25" s="11">
        <f>+O22-O23+O24</f>
        <v>1735000</v>
      </c>
      <c r="P25" s="11">
        <f>+P22-P23+P24</f>
        <v>1702000</v>
      </c>
      <c r="Q25" s="11">
        <f>+Q22-Q23+Q24</f>
        <v>2317000</v>
      </c>
      <c r="R25" s="16"/>
    </row>
    <row r="26" spans="1:23" ht="13.5" customHeight="1">
      <c r="A26">
        <f>ROW()</f>
        <v>26</v>
      </c>
      <c r="B26" s="9"/>
      <c r="C26" s="332"/>
      <c r="D26" s="332"/>
      <c r="E26" s="15"/>
      <c r="F26" s="11"/>
      <c r="G26" s="11"/>
      <c r="H26" s="11"/>
      <c r="I26" s="11"/>
      <c r="J26" s="11"/>
      <c r="K26" s="11"/>
      <c r="L26" s="11"/>
      <c r="M26" s="12"/>
      <c r="N26" s="11"/>
      <c r="O26" s="11"/>
      <c r="P26" s="11"/>
      <c r="Q26" s="11"/>
      <c r="R26" s="16"/>
    </row>
    <row r="27" spans="1:23" ht="13.5" customHeight="1">
      <c r="A27">
        <f>ROW()</f>
        <v>27</v>
      </c>
      <c r="B27" s="9"/>
      <c r="C27" s="332"/>
      <c r="D27" s="16" t="s">
        <v>26</v>
      </c>
      <c r="E27" s="17"/>
      <c r="F27" s="16"/>
      <c r="G27" s="16"/>
      <c r="H27" s="16"/>
      <c r="I27" s="16"/>
      <c r="J27" s="16"/>
      <c r="K27" s="16"/>
      <c r="L27" s="16"/>
      <c r="M27" s="12"/>
      <c r="N27" s="22"/>
      <c r="O27" s="22"/>
      <c r="P27" s="22"/>
      <c r="Q27" s="22"/>
      <c r="R27" s="16"/>
    </row>
    <row r="28" spans="1:23" ht="13.5" customHeight="1">
      <c r="A28">
        <f>ROW()</f>
        <v>28</v>
      </c>
      <c r="B28" s="9"/>
      <c r="C28" s="332"/>
      <c r="D28" s="332" t="s">
        <v>27</v>
      </c>
      <c r="E28" s="20">
        <f>SUM(N28:Q28)</f>
        <v>-108000</v>
      </c>
      <c r="F28" s="21">
        <v>-50000</v>
      </c>
      <c r="G28" s="21" t="str">
        <f>+'Yahoo Fin Input'!E34</f>
        <v xml:space="preserve"> </v>
      </c>
      <c r="H28" s="21">
        <f>+'Yahoo Fin Input'!F34</f>
        <v>0</v>
      </c>
      <c r="I28" s="21">
        <v>0</v>
      </c>
      <c r="J28" s="21">
        <v>0</v>
      </c>
      <c r="K28" s="21">
        <v>0</v>
      </c>
      <c r="L28" s="21"/>
      <c r="M28" s="12"/>
      <c r="N28" s="22">
        <f>+'Yahoo Fin Input'!K34</f>
        <v>-140000</v>
      </c>
      <c r="O28" s="22">
        <f>+'Yahoo Fin Input'!L34</f>
        <v>68000</v>
      </c>
      <c r="P28" s="22">
        <f>+'Yahoo Fin Input'!M34</f>
        <v>2000</v>
      </c>
      <c r="Q28" s="22">
        <f>+'Yahoo Fin Input'!N34</f>
        <v>-38000</v>
      </c>
      <c r="R28" s="16"/>
    </row>
    <row r="29" spans="1:23" ht="13.5" customHeight="1">
      <c r="A29">
        <f>ROW()</f>
        <v>29</v>
      </c>
      <c r="B29" s="9"/>
      <c r="C29" s="332"/>
      <c r="D29" s="332" t="s">
        <v>28</v>
      </c>
      <c r="E29" s="20">
        <f>SUM(N29:Q29)</f>
        <v>0</v>
      </c>
      <c r="F29" s="21">
        <f>+'Yahoo Fin Input'!D35</f>
        <v>0</v>
      </c>
      <c r="G29" s="21">
        <f>+'Yahoo Fin Input'!E35</f>
        <v>0</v>
      </c>
      <c r="H29" s="21">
        <f>+'Yahoo Fin Input'!F35</f>
        <v>0</v>
      </c>
      <c r="I29" s="21">
        <v>0</v>
      </c>
      <c r="J29" s="21">
        <v>0</v>
      </c>
      <c r="K29" s="21">
        <v>0</v>
      </c>
      <c r="L29" s="21"/>
      <c r="M29" s="12"/>
      <c r="N29" s="22">
        <f>+'Yahoo Fin Input'!K35</f>
        <v>0</v>
      </c>
      <c r="O29" s="22">
        <f>+'Yahoo Fin Input'!L35</f>
        <v>0</v>
      </c>
      <c r="P29" s="22">
        <f>+'Yahoo Fin Input'!M35</f>
        <v>0</v>
      </c>
      <c r="Q29" s="22">
        <f>+'Yahoo Fin Input'!N35</f>
        <v>0</v>
      </c>
      <c r="R29" s="16"/>
      <c r="T29" s="89" t="s">
        <v>3</v>
      </c>
    </row>
    <row r="30" spans="1:23" ht="13.5" customHeight="1">
      <c r="A30">
        <f>ROW()</f>
        <v>30</v>
      </c>
      <c r="B30" s="9"/>
      <c r="C30" s="332"/>
      <c r="D30" s="332" t="s">
        <v>29</v>
      </c>
      <c r="E30" s="20">
        <f>SUM(N30:Q30)</f>
        <v>0</v>
      </c>
      <c r="F30" s="21">
        <f>+'Yahoo Fin Input'!D36</f>
        <v>0</v>
      </c>
      <c r="G30" s="21">
        <f>+'Yahoo Fin Input'!E36</f>
        <v>0</v>
      </c>
      <c r="H30" s="21">
        <f>+'Yahoo Fin Input'!F36</f>
        <v>0</v>
      </c>
      <c r="I30" s="21">
        <v>0</v>
      </c>
      <c r="J30" s="21">
        <v>0</v>
      </c>
      <c r="K30" s="21">
        <v>0</v>
      </c>
      <c r="L30" s="21">
        <v>0</v>
      </c>
      <c r="M30" s="12"/>
      <c r="N30" s="22">
        <f>+'Yahoo Fin Input'!K36</f>
        <v>0</v>
      </c>
      <c r="O30" s="22">
        <f>+'Yahoo Fin Input'!L36</f>
        <v>0</v>
      </c>
      <c r="P30" s="22">
        <f>+'Yahoo Fin Input'!M36</f>
        <v>0</v>
      </c>
      <c r="Q30" s="22">
        <f>+'Yahoo Fin Input'!N36</f>
        <v>0</v>
      </c>
      <c r="R30" s="16"/>
    </row>
    <row r="31" spans="1:23" ht="13.5" customHeight="1">
      <c r="A31">
        <f>ROW()</f>
        <v>31</v>
      </c>
      <c r="B31" s="9"/>
      <c r="C31" s="332"/>
      <c r="D31" s="332" t="s">
        <v>30</v>
      </c>
      <c r="E31" s="13">
        <f>SUM(N31:Q31)</f>
        <v>0</v>
      </c>
      <c r="F31" s="14">
        <f>+'Yahoo Fin Input'!D37</f>
        <v>0</v>
      </c>
      <c r="G31" s="14">
        <f>+'Yahoo Fin Input'!E37</f>
        <v>0</v>
      </c>
      <c r="H31" s="14">
        <f>+'Yahoo Fin Input'!F37</f>
        <v>0</v>
      </c>
      <c r="I31" s="14">
        <v>0</v>
      </c>
      <c r="J31" s="14">
        <v>0</v>
      </c>
      <c r="K31" s="14">
        <v>0</v>
      </c>
      <c r="L31" s="14">
        <v>0</v>
      </c>
      <c r="M31" s="12"/>
      <c r="N31" s="24">
        <f>+'Yahoo Fin Input'!K37</f>
        <v>0</v>
      </c>
      <c r="O31" s="24">
        <f>+'Yahoo Fin Input'!L37</f>
        <v>0</v>
      </c>
      <c r="P31" s="24" t="str">
        <f>+'Yahoo Fin Input'!M37</f>
        <v xml:space="preserve"> </v>
      </c>
      <c r="Q31" s="24">
        <f>+'Yahoo Fin Input'!N37</f>
        <v>0</v>
      </c>
      <c r="R31" s="16"/>
    </row>
    <row r="32" spans="1:23" ht="13.5" customHeight="1">
      <c r="A32">
        <f>ROW()</f>
        <v>32</v>
      </c>
      <c r="B32" s="9"/>
      <c r="C32" s="417" t="s">
        <v>124</v>
      </c>
      <c r="D32" s="417"/>
      <c r="E32" s="15">
        <f>+E25+SUM(E28:E31)</f>
        <v>6863000</v>
      </c>
      <c r="F32" s="11">
        <f>+F25+SUM(F28:F31)</f>
        <v>12936000</v>
      </c>
      <c r="G32" s="11">
        <f>+G25+SUM(G28:G31)</f>
        <v>9043000</v>
      </c>
      <c r="H32" s="11">
        <f>+H25+SUM(H28:H31)</f>
        <v>5198000</v>
      </c>
      <c r="I32" s="11">
        <f t="shared" ref="I32:K32" si="4">SUM(I25:I31)</f>
        <v>4386000</v>
      </c>
      <c r="J32" s="11">
        <f t="shared" si="4"/>
        <v>-4964000</v>
      </c>
      <c r="K32" s="11">
        <f t="shared" si="4"/>
        <v>2465000</v>
      </c>
      <c r="L32" s="11">
        <f>SUM(L25:L31)</f>
        <v>5702000</v>
      </c>
      <c r="M32" s="12"/>
      <c r="N32" s="11">
        <f>+N25+SUM(N28:N31)</f>
        <v>1424000</v>
      </c>
      <c r="O32" s="11">
        <f>+O25+SUM(O28:O31)</f>
        <v>1803000</v>
      </c>
      <c r="P32" s="11">
        <f>+P25+SUM(P28:P31)</f>
        <v>1704000</v>
      </c>
      <c r="Q32" s="11">
        <f>+Q25+SUM(Q28:Q31)</f>
        <v>2279000</v>
      </c>
      <c r="R32" s="16"/>
    </row>
    <row r="33" spans="1:21" ht="13.5" customHeight="1">
      <c r="A33">
        <f>ROW()</f>
        <v>33</v>
      </c>
      <c r="B33" s="9"/>
      <c r="C33" s="420" t="s">
        <v>32</v>
      </c>
      <c r="D33" s="420"/>
      <c r="E33" s="13">
        <f>SUM(N33:Q33)</f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2"/>
      <c r="N33" s="14">
        <v>0</v>
      </c>
      <c r="O33" s="14">
        <v>0</v>
      </c>
      <c r="P33" s="14">
        <v>0</v>
      </c>
      <c r="Q33" s="14">
        <v>0</v>
      </c>
      <c r="R33" s="16"/>
      <c r="U33" t="s">
        <v>3</v>
      </c>
    </row>
    <row r="34" spans="1:21" ht="13.5" customHeight="1" thickBot="1">
      <c r="A34">
        <f>ROW()</f>
        <v>34</v>
      </c>
      <c r="B34" s="9"/>
      <c r="C34" s="417" t="s">
        <v>125</v>
      </c>
      <c r="D34" s="417"/>
      <c r="E34" s="245">
        <f>+E32-E33</f>
        <v>6863000</v>
      </c>
      <c r="F34" s="25">
        <f>+F32-F33</f>
        <v>12936000</v>
      </c>
      <c r="G34" s="25">
        <f>+G32-G33</f>
        <v>9043000</v>
      </c>
      <c r="H34" s="25">
        <f>+H32-H33</f>
        <v>5198000</v>
      </c>
      <c r="I34" s="25">
        <f t="shared" ref="I34:K34" si="5">SUM(I32:I33)</f>
        <v>4386000</v>
      </c>
      <c r="J34" s="25">
        <f t="shared" si="5"/>
        <v>-4964000</v>
      </c>
      <c r="K34" s="25">
        <f t="shared" si="5"/>
        <v>2465000</v>
      </c>
      <c r="L34" s="25">
        <f>SUM(L32:L33)</f>
        <v>5702000</v>
      </c>
      <c r="M34" s="12"/>
      <c r="N34" s="25">
        <f>+N32-N33</f>
        <v>1424000</v>
      </c>
      <c r="O34" s="25">
        <f>+O32-O33</f>
        <v>1803000</v>
      </c>
      <c r="P34" s="25">
        <f>+P32-P33</f>
        <v>1704000</v>
      </c>
      <c r="Q34" s="25">
        <f>+Q32-Q33</f>
        <v>2279000</v>
      </c>
      <c r="R34" s="16"/>
    </row>
    <row r="35" spans="1:21" ht="13.5" customHeight="1" thickTop="1">
      <c r="A35">
        <f>ROW()</f>
        <v>35</v>
      </c>
      <c r="B35" s="9"/>
      <c r="C35" s="330"/>
      <c r="D35" s="330"/>
      <c r="E35" s="330"/>
      <c r="F35" s="330"/>
      <c r="G35" s="26"/>
      <c r="H35" s="26"/>
      <c r="I35" s="26"/>
      <c r="J35" s="26"/>
      <c r="K35" s="26"/>
      <c r="L35" s="26"/>
      <c r="M35" s="12"/>
      <c r="N35" s="22"/>
      <c r="O35" s="22"/>
      <c r="P35" s="22"/>
      <c r="Q35" s="22"/>
      <c r="R35" s="16"/>
    </row>
    <row r="36" spans="1:21" ht="13.5" customHeight="1">
      <c r="A36">
        <f>ROW()</f>
        <v>36</v>
      </c>
      <c r="B36" s="9"/>
      <c r="C36" s="330"/>
      <c r="D36" s="330" t="s">
        <v>126</v>
      </c>
      <c r="E36" s="390">
        <v>111.06</v>
      </c>
      <c r="F36" s="390">
        <v>110.98</v>
      </c>
      <c r="G36" s="390">
        <v>123.28</v>
      </c>
      <c r="H36" s="390">
        <v>110.1</v>
      </c>
      <c r="I36" s="391">
        <v>69.53</v>
      </c>
      <c r="J36" s="391">
        <v>63.12</v>
      </c>
      <c r="K36" s="391">
        <v>35.18</v>
      </c>
      <c r="L36" s="391">
        <v>43.8</v>
      </c>
      <c r="M36" s="390">
        <v>55.73</v>
      </c>
      <c r="N36" s="271"/>
      <c r="O36" s="271"/>
      <c r="P36" s="271"/>
      <c r="Q36" s="271"/>
      <c r="R36" s="16"/>
    </row>
    <row r="37" spans="1:21" ht="13.5" customHeight="1">
      <c r="A37">
        <f>ROW()</f>
        <v>37</v>
      </c>
      <c r="B37" s="9"/>
      <c r="C37" s="5"/>
      <c r="D37" s="273" t="s">
        <v>127</v>
      </c>
      <c r="E37" s="392">
        <f>+E36/F36-1</f>
        <v>7.208506037124085E-4</v>
      </c>
      <c r="F37" s="392">
        <f>+F36/G36-1</f>
        <v>-9.9772874756651531E-2</v>
      </c>
      <c r="G37" s="392">
        <f>+G36/H36-1</f>
        <v>0.11970935513169856</v>
      </c>
      <c r="H37" s="392">
        <f>+H36/I36-1</f>
        <v>0.58348914137782248</v>
      </c>
      <c r="I37" s="392">
        <f>+I36/J36-1</f>
        <v>0.10155259822560203</v>
      </c>
      <c r="J37" s="392">
        <v>0.67026719727117667</v>
      </c>
      <c r="K37" s="392">
        <f>+K36/L36-1</f>
        <v>-0.19680365296803648</v>
      </c>
      <c r="L37" s="392">
        <f>M36/L36-1</f>
        <v>0.27237442922374422</v>
      </c>
      <c r="M37" s="275"/>
      <c r="N37" s="274"/>
      <c r="O37" s="274"/>
      <c r="P37" s="274"/>
      <c r="Q37" s="276"/>
      <c r="R37" s="16"/>
    </row>
    <row r="38" spans="1:21" ht="13.5" customHeight="1">
      <c r="B38" s="9"/>
      <c r="C38" s="5"/>
      <c r="D38" s="273"/>
      <c r="E38" s="274"/>
      <c r="F38" s="274"/>
      <c r="G38" s="274"/>
      <c r="H38" s="274"/>
      <c r="I38" s="274" t="s">
        <v>3</v>
      </c>
      <c r="J38" s="274"/>
      <c r="K38" s="274"/>
      <c r="L38" s="275"/>
      <c r="M38" s="275"/>
      <c r="N38" s="274"/>
      <c r="O38" s="274"/>
      <c r="P38" s="274"/>
      <c r="Q38" s="276"/>
      <c r="R38" s="16"/>
    </row>
    <row r="39" spans="1:21" ht="13.5" customHeight="1">
      <c r="B39" s="9"/>
      <c r="C39" s="5"/>
      <c r="D39" s="273"/>
      <c r="E39" s="274"/>
      <c r="F39" s="274"/>
      <c r="G39" s="274"/>
      <c r="H39" s="274"/>
      <c r="I39" s="274"/>
      <c r="J39" s="274"/>
      <c r="K39" s="274"/>
      <c r="L39" s="275"/>
      <c r="M39" s="275"/>
      <c r="N39" s="274"/>
      <c r="O39" s="274"/>
      <c r="P39" s="274"/>
      <c r="Q39" s="276"/>
      <c r="R39" s="16"/>
    </row>
    <row r="40" spans="1:21" ht="13.5" customHeight="1">
      <c r="B40" s="9"/>
      <c r="C40" s="5"/>
      <c r="D40" s="273"/>
      <c r="E40" s="274"/>
      <c r="F40" s="274"/>
      <c r="G40" s="274" t="s">
        <v>3</v>
      </c>
      <c r="H40" s="274"/>
      <c r="I40" s="274"/>
      <c r="J40" s="274"/>
      <c r="K40" s="274"/>
      <c r="L40" s="275"/>
      <c r="M40" s="275"/>
      <c r="N40" s="274"/>
      <c r="O40" s="274"/>
      <c r="P40" s="274"/>
      <c r="Q40" s="276"/>
      <c r="R40" s="16"/>
    </row>
    <row r="41" spans="1:21" ht="13.5" customHeight="1">
      <c r="B41" s="9"/>
      <c r="C41" s="5"/>
      <c r="D41" s="5"/>
      <c r="E41" s="5"/>
      <c r="F41" s="5"/>
      <c r="G41" s="5"/>
      <c r="H41" s="5"/>
      <c r="I41" s="5"/>
      <c r="J41" s="5"/>
      <c r="K41" s="272"/>
      <c r="L41" s="5"/>
      <c r="M41" s="5"/>
      <c r="N41" s="22"/>
      <c r="O41" s="22"/>
      <c r="P41" s="22"/>
      <c r="Q41" s="22"/>
      <c r="R41" s="16"/>
    </row>
    <row r="42" spans="1:21" ht="15.75" customHeight="1">
      <c r="A42">
        <f>ROW()</f>
        <v>42</v>
      </c>
      <c r="B42" s="9"/>
      <c r="C42" s="1" t="str">
        <f>+C1</f>
        <v>QUALCOMM Incorporated (QCOM)</v>
      </c>
      <c r="N42" s="22"/>
      <c r="O42" s="22"/>
      <c r="P42" s="22"/>
      <c r="Q42" s="22"/>
      <c r="R42" s="16"/>
    </row>
    <row r="43" spans="1:21" ht="13.5" customHeight="1">
      <c r="A43">
        <f>ROW()</f>
        <v>43</v>
      </c>
      <c r="B43" s="9"/>
      <c r="C43" s="2" t="s">
        <v>128</v>
      </c>
      <c r="N43" s="22"/>
      <c r="O43" s="22"/>
      <c r="P43" s="22"/>
      <c r="Q43" s="22"/>
      <c r="R43" s="16"/>
    </row>
    <row r="44" spans="1:21" ht="13.5" customHeight="1" thickBot="1">
      <c r="A44">
        <f>ROW()</f>
        <v>44</v>
      </c>
      <c r="B44" s="9"/>
      <c r="N44" s="22"/>
      <c r="O44" s="22"/>
      <c r="P44" s="22"/>
      <c r="Q44" s="22"/>
      <c r="R44" s="16"/>
    </row>
    <row r="45" spans="1:21" ht="13.5" customHeight="1">
      <c r="A45">
        <f>ROW()</f>
        <v>45</v>
      </c>
      <c r="B45" s="9"/>
      <c r="C45" s="27" t="s">
        <v>117</v>
      </c>
      <c r="D45" s="28"/>
      <c r="E45" s="29">
        <f>+'Yahoo Fin Input'!K50</f>
        <v>45199</v>
      </c>
      <c r="F45" s="30">
        <f>+F6</f>
        <v>44834</v>
      </c>
      <c r="G45" s="30">
        <f>+G6</f>
        <v>44469</v>
      </c>
      <c r="H45" s="30">
        <f>+H6</f>
        <v>44104</v>
      </c>
      <c r="I45" s="4">
        <v>43738</v>
      </c>
      <c r="J45" s="4">
        <v>43373</v>
      </c>
      <c r="K45" s="4">
        <v>43008</v>
      </c>
      <c r="L45" s="4">
        <v>42643</v>
      </c>
      <c r="N45" s="22"/>
      <c r="O45" s="32"/>
      <c r="P45" s="32"/>
      <c r="Q45" s="32"/>
      <c r="R45" s="32"/>
      <c r="S45" s="32"/>
      <c r="T45" s="32"/>
    </row>
    <row r="46" spans="1:21" ht="13.5" customHeight="1">
      <c r="A46">
        <f>ROW()</f>
        <v>46</v>
      </c>
      <c r="B46" s="9"/>
      <c r="C46" s="33" t="s">
        <v>38</v>
      </c>
      <c r="D46" s="33"/>
      <c r="E46" s="34"/>
      <c r="F46" s="33"/>
      <c r="G46" s="33"/>
      <c r="H46" s="33"/>
      <c r="I46" s="33"/>
      <c r="J46" s="33"/>
      <c r="K46" s="33"/>
      <c r="L46" s="33"/>
      <c r="N46" s="22"/>
      <c r="O46" s="32"/>
      <c r="P46" s="32"/>
      <c r="Q46" s="35"/>
      <c r="R46" s="35"/>
      <c r="S46" s="35"/>
      <c r="T46" s="35"/>
    </row>
    <row r="47" spans="1:21" ht="13.5" customHeight="1">
      <c r="A47">
        <f>ROW()</f>
        <v>47</v>
      </c>
      <c r="B47" s="9"/>
      <c r="C47" s="36" t="s">
        <v>39</v>
      </c>
      <c r="D47" s="36"/>
      <c r="E47" s="37"/>
      <c r="F47" s="36"/>
      <c r="G47" s="36"/>
      <c r="H47" s="36"/>
      <c r="I47" s="36"/>
      <c r="J47" s="36"/>
      <c r="K47" s="36"/>
      <c r="L47" s="36"/>
      <c r="N47" s="22"/>
      <c r="O47" s="32"/>
      <c r="P47" s="32"/>
      <c r="Q47" s="35"/>
      <c r="R47" s="35"/>
      <c r="S47" s="35"/>
      <c r="T47" s="35"/>
    </row>
    <row r="48" spans="1:21" ht="13.5" customHeight="1">
      <c r="A48">
        <f>ROW()</f>
        <v>48</v>
      </c>
      <c r="B48" s="9"/>
      <c r="C48" s="16"/>
      <c r="D48" s="16" t="s">
        <v>40</v>
      </c>
      <c r="E48" s="17">
        <f>+'Yahoo Fin Input'!K54</f>
        <v>8450000</v>
      </c>
      <c r="F48" s="22">
        <f>+'Yahoo Fin Input'!D54</f>
        <v>6382000</v>
      </c>
      <c r="G48" s="22">
        <f>+'Yahoo Fin Input'!E54</f>
        <v>12414000</v>
      </c>
      <c r="H48" s="22">
        <f>+'Yahoo Fin Input'!F54</f>
        <v>11214000</v>
      </c>
      <c r="I48" s="22">
        <v>12260000</v>
      </c>
      <c r="J48" s="22">
        <v>12088000</v>
      </c>
      <c r="K48" s="22">
        <v>37308000</v>
      </c>
      <c r="L48" s="22">
        <v>18648000</v>
      </c>
      <c r="N48" s="22">
        <v>1000</v>
      </c>
      <c r="O48" s="32"/>
      <c r="P48" s="32"/>
      <c r="Q48" s="35"/>
      <c r="R48" s="35"/>
      <c r="S48" s="35"/>
      <c r="T48" s="35"/>
    </row>
    <row r="49" spans="1:20" ht="13.5" customHeight="1">
      <c r="A49">
        <f>ROW()</f>
        <v>49</v>
      </c>
      <c r="B49" s="9"/>
      <c r="C49" s="16"/>
      <c r="D49" s="16" t="s">
        <v>41</v>
      </c>
      <c r="E49" s="17">
        <f>+'Yahoo Fin Input'!K55</f>
        <v>2874000</v>
      </c>
      <c r="F49" s="22">
        <f>+'Yahoo Fin Input'!D55</f>
        <v>0</v>
      </c>
      <c r="G49" s="22">
        <f>+'Yahoo Fin Input'!E55</f>
        <v>0</v>
      </c>
      <c r="H49" s="22">
        <f>+'Yahoo Fin Input'!F55</f>
        <v>0</v>
      </c>
      <c r="I49" s="22">
        <v>0</v>
      </c>
      <c r="J49" s="22">
        <v>0</v>
      </c>
      <c r="K49" s="22" t="s">
        <v>129</v>
      </c>
      <c r="L49" s="22">
        <v>0</v>
      </c>
      <c r="N49" s="22"/>
      <c r="O49" s="32"/>
      <c r="P49" s="32"/>
      <c r="Q49" s="35"/>
      <c r="R49" s="35"/>
      <c r="S49" s="35"/>
      <c r="T49" s="35"/>
    </row>
    <row r="50" spans="1:20" ht="13.5" customHeight="1">
      <c r="A50">
        <f>ROW()</f>
        <v>50</v>
      </c>
      <c r="B50" s="9"/>
      <c r="C50" s="16"/>
      <c r="D50" s="16" t="s">
        <v>42</v>
      </c>
      <c r="E50" s="17">
        <f>+'Yahoo Fin Input'!K56</f>
        <v>3183000</v>
      </c>
      <c r="F50" s="22">
        <f>+'Yahoo Fin Input'!D56</f>
        <v>5643000</v>
      </c>
      <c r="G50" s="22">
        <f>+'Yahoo Fin Input'!E56</f>
        <v>3579000</v>
      </c>
      <c r="H50" s="22">
        <f>+'Yahoo Fin Input'!F56</f>
        <v>4003000</v>
      </c>
      <c r="I50" s="22">
        <v>2471000</v>
      </c>
      <c r="J50" s="22">
        <v>2904000</v>
      </c>
      <c r="K50" s="22">
        <v>3576000</v>
      </c>
      <c r="L50" s="22">
        <v>2219000</v>
      </c>
      <c r="N50" s="9"/>
      <c r="O50" s="32" t="s">
        <v>3</v>
      </c>
      <c r="P50" s="32"/>
      <c r="Q50" s="35"/>
      <c r="R50" s="35"/>
      <c r="S50" s="35"/>
      <c r="T50" s="35"/>
    </row>
    <row r="51" spans="1:20" ht="13.5" customHeight="1">
      <c r="A51">
        <f>ROW()</f>
        <v>51</v>
      </c>
      <c r="B51" s="9"/>
      <c r="C51" s="16"/>
      <c r="D51" s="16" t="s">
        <v>43</v>
      </c>
      <c r="E51" s="17">
        <f>+'Yahoo Fin Input'!K57</f>
        <v>6422000</v>
      </c>
      <c r="F51" s="22">
        <f>+'Yahoo Fin Input'!D57</f>
        <v>6341000</v>
      </c>
      <c r="G51" s="22">
        <f>+'Yahoo Fin Input'!E57</f>
        <v>3228000</v>
      </c>
      <c r="H51" s="22">
        <f>+'Yahoo Fin Input'!F57</f>
        <v>2598000</v>
      </c>
      <c r="I51" s="22">
        <v>1400000</v>
      </c>
      <c r="J51" s="22">
        <v>1693000</v>
      </c>
      <c r="K51" s="22">
        <v>2035000</v>
      </c>
      <c r="L51" s="22">
        <v>1556000</v>
      </c>
      <c r="N51" s="9"/>
      <c r="O51" s="38"/>
      <c r="P51" s="38"/>
      <c r="Q51" s="39"/>
      <c r="R51" s="39"/>
      <c r="S51" s="39"/>
      <c r="T51" s="39"/>
    </row>
    <row r="52" spans="1:20" ht="13.5" customHeight="1">
      <c r="A52">
        <f>ROW()</f>
        <v>52</v>
      </c>
      <c r="B52" s="9"/>
      <c r="C52" s="16"/>
      <c r="D52" s="259" t="s">
        <v>44</v>
      </c>
      <c r="E52" s="40">
        <f>+'Yahoo Fin Input'!K58</f>
        <v>1194000</v>
      </c>
      <c r="F52" s="24">
        <f>+'Yahoo Fin Input'!D58</f>
        <v>1625000</v>
      </c>
      <c r="G52" s="24">
        <f>+'Yahoo Fin Input'!E58</f>
        <v>854000</v>
      </c>
      <c r="H52" s="24">
        <f>+'Yahoo Fin Input'!F58</f>
        <v>704000</v>
      </c>
      <c r="I52" s="22">
        <v>634000</v>
      </c>
      <c r="J52" s="22">
        <v>699000</v>
      </c>
      <c r="K52" s="22">
        <v>618000</v>
      </c>
      <c r="L52" s="22">
        <v>558000</v>
      </c>
      <c r="N52" s="9"/>
      <c r="O52" s="32"/>
      <c r="P52" s="32"/>
      <c r="Q52" s="35"/>
      <c r="R52" s="35"/>
      <c r="S52" s="35"/>
      <c r="T52" s="35"/>
    </row>
    <row r="53" spans="1:20" ht="13.5" customHeight="1">
      <c r="A53">
        <f>ROW()</f>
        <v>53</v>
      </c>
      <c r="B53" s="9"/>
      <c r="C53" s="18" t="s">
        <v>130</v>
      </c>
      <c r="D53" s="18"/>
      <c r="E53" s="41">
        <f>SUM(E48:E52)</f>
        <v>22123000</v>
      </c>
      <c r="F53" s="42">
        <f>SUM(F48:F52)</f>
        <v>19991000</v>
      </c>
      <c r="G53" s="42">
        <f>SUM(G48:G52)</f>
        <v>20075000</v>
      </c>
      <c r="H53" s="42">
        <f>SUM(H48:H52)</f>
        <v>18519000</v>
      </c>
      <c r="I53" s="373">
        <f t="shared" ref="I53:K53" si="6">SUM(I48:I52)</f>
        <v>16765000</v>
      </c>
      <c r="J53" s="373">
        <f t="shared" si="6"/>
        <v>17384000</v>
      </c>
      <c r="K53" s="373">
        <f t="shared" si="6"/>
        <v>43537000</v>
      </c>
      <c r="L53" s="373">
        <f>SUM(L48:L52)</f>
        <v>22981000</v>
      </c>
      <c r="N53" s="9"/>
      <c r="O53" s="32"/>
      <c r="P53" s="32"/>
      <c r="Q53" s="35"/>
      <c r="R53" s="35"/>
      <c r="S53" s="35"/>
      <c r="T53" s="35"/>
    </row>
    <row r="54" spans="1:20" ht="13.5" customHeight="1">
      <c r="A54">
        <f>ROW()</f>
        <v>54</v>
      </c>
      <c r="B54" s="9"/>
      <c r="C54" s="18"/>
      <c r="D54" s="18"/>
      <c r="E54" s="41"/>
      <c r="F54" s="42"/>
      <c r="G54" s="42"/>
      <c r="H54" s="42"/>
      <c r="I54" s="42"/>
      <c r="J54" s="42"/>
      <c r="K54" s="42"/>
      <c r="L54" s="42"/>
      <c r="N54" s="9"/>
      <c r="O54" s="32"/>
      <c r="P54" s="32"/>
      <c r="Q54" s="35"/>
      <c r="R54" s="35"/>
      <c r="S54" s="35"/>
      <c r="T54" s="35"/>
    </row>
    <row r="55" spans="1:20" ht="13.5" customHeight="1">
      <c r="A55">
        <f>ROW()</f>
        <v>55</v>
      </c>
      <c r="B55" s="9"/>
      <c r="C55" s="16" t="s">
        <v>47</v>
      </c>
      <c r="D55" s="16"/>
      <c r="E55" s="17">
        <f>+'Yahoo Fin Input'!K61</f>
        <v>0</v>
      </c>
      <c r="F55" s="22">
        <f>+'Yahoo Fin Input'!D61</f>
        <v>0</v>
      </c>
      <c r="G55" s="22">
        <f>+'Yahoo Fin Input'!E61</f>
        <v>0</v>
      </c>
      <c r="H55" s="22">
        <f>+'Yahoo Fin Input'!F61</f>
        <v>0</v>
      </c>
      <c r="I55" s="9"/>
      <c r="J55" s="9"/>
      <c r="K55" s="9"/>
      <c r="M55" s="9"/>
      <c r="N55" s="9"/>
      <c r="O55" s="32"/>
      <c r="P55" s="32"/>
      <c r="Q55" s="35"/>
      <c r="R55" s="35"/>
      <c r="S55" s="35"/>
      <c r="T55" s="35"/>
    </row>
    <row r="56" spans="1:20" ht="13.5" customHeight="1">
      <c r="A56">
        <f>ROW()</f>
        <v>56</v>
      </c>
      <c r="B56" s="9"/>
      <c r="C56" s="16" t="s">
        <v>48</v>
      </c>
      <c r="D56" s="16"/>
      <c r="E56" s="17">
        <f>+'Yahoo Fin Input'!K62</f>
        <v>5042000</v>
      </c>
      <c r="F56" s="22">
        <f>+'Yahoo Fin Input'!D62</f>
        <v>5168000</v>
      </c>
      <c r="G56" s="22">
        <f>+'Yahoo Fin Input'!E62</f>
        <v>4559000</v>
      </c>
      <c r="H56" s="22">
        <f>+'Yahoo Fin Input'!F62</f>
        <v>3711000</v>
      </c>
      <c r="I56" s="22">
        <v>3081000</v>
      </c>
      <c r="J56" s="22">
        <v>2975000</v>
      </c>
      <c r="K56" s="22">
        <v>3216000</v>
      </c>
      <c r="L56" s="22">
        <v>2306000</v>
      </c>
      <c r="N56" s="9"/>
      <c r="O56" s="32"/>
      <c r="P56" s="32"/>
      <c r="Q56" s="35"/>
      <c r="R56" s="35"/>
      <c r="S56" s="35"/>
      <c r="T56" s="35"/>
    </row>
    <row r="57" spans="1:20" ht="13.5" customHeight="1">
      <c r="A57">
        <f>ROW()</f>
        <v>57</v>
      </c>
      <c r="B57" s="9"/>
      <c r="C57" s="16" t="s">
        <v>49</v>
      </c>
      <c r="D57" s="16"/>
      <c r="E57" s="17">
        <f>+'Yahoo Fin Input'!K63</f>
        <v>10642000</v>
      </c>
      <c r="F57" s="22">
        <f>+'Yahoo Fin Input'!D63</f>
        <v>10508000</v>
      </c>
      <c r="G57" s="22">
        <f>+'Yahoo Fin Input'!E63</f>
        <v>7246000</v>
      </c>
      <c r="H57" s="22">
        <f>+'Yahoo Fin Input'!F63</f>
        <v>6323000</v>
      </c>
      <c r="I57" s="22">
        <v>6282000</v>
      </c>
      <c r="J57" s="22">
        <v>6498000</v>
      </c>
      <c r="K57" s="22">
        <v>6623000</v>
      </c>
      <c r="L57" s="22">
        <v>5679000</v>
      </c>
      <c r="N57" s="9" t="s">
        <v>3</v>
      </c>
      <c r="O57" s="32"/>
      <c r="P57" s="32"/>
      <c r="Q57" s="35"/>
      <c r="R57" s="35"/>
      <c r="S57" s="35"/>
      <c r="T57" s="35"/>
    </row>
    <row r="58" spans="1:20" ht="13.5" customHeight="1">
      <c r="A58">
        <f>ROW()</f>
        <v>58</v>
      </c>
      <c r="B58" s="9"/>
      <c r="C58" s="16" t="s">
        <v>50</v>
      </c>
      <c r="D58" s="16"/>
      <c r="E58" s="17">
        <f>+'Yahoo Fin Input'!K64</f>
        <v>1408000</v>
      </c>
      <c r="F58" s="22">
        <f>+'Yahoo Fin Input'!D64</f>
        <v>1882000</v>
      </c>
      <c r="G58" s="22">
        <f>+'Yahoo Fin Input'!E64</f>
        <v>1458000</v>
      </c>
      <c r="H58" s="22">
        <f>+'Yahoo Fin Input'!F64</f>
        <v>1653000</v>
      </c>
      <c r="I58" s="22">
        <v>8454000</v>
      </c>
      <c r="J58" s="22">
        <v>9453000</v>
      </c>
      <c r="K58" s="22">
        <v>10360000</v>
      </c>
      <c r="L58" s="22">
        <f>(9179)*1000</f>
        <v>9179000</v>
      </c>
      <c r="N58" s="9"/>
      <c r="O58" s="32"/>
      <c r="P58" s="32"/>
      <c r="Q58" s="35"/>
      <c r="R58" s="35"/>
      <c r="S58" s="35"/>
      <c r="T58" s="35"/>
    </row>
    <row r="59" spans="1:20" ht="13.5" customHeight="1">
      <c r="A59">
        <f>ROW()</f>
        <v>59</v>
      </c>
      <c r="B59" s="9"/>
      <c r="C59" s="16" t="s">
        <v>51</v>
      </c>
      <c r="D59" s="16"/>
      <c r="E59" s="17">
        <f>+'Yahoo Fin Input'!K65</f>
        <v>0</v>
      </c>
      <c r="F59" s="22">
        <f>+'Yahoo Fin Input'!D65</f>
        <v>0</v>
      </c>
      <c r="G59" s="22">
        <f>+'Yahoo Fin Input'!E65</f>
        <v>0</v>
      </c>
      <c r="H59" s="22">
        <f>+'Yahoo Fin Input'!F65</f>
        <v>0</v>
      </c>
      <c r="I59" s="22">
        <v>0</v>
      </c>
      <c r="J59" s="22">
        <v>0</v>
      </c>
      <c r="K59" s="22">
        <v>0</v>
      </c>
      <c r="L59" s="22">
        <v>0</v>
      </c>
      <c r="N59" s="9"/>
      <c r="O59" s="32"/>
      <c r="P59" s="32"/>
      <c r="Q59" s="35"/>
      <c r="R59" s="35"/>
      <c r="S59" s="35"/>
      <c r="T59" s="35"/>
    </row>
    <row r="60" spans="1:20" ht="13.5" customHeight="1">
      <c r="A60">
        <f>ROW()</f>
        <v>60</v>
      </c>
      <c r="B60" s="9"/>
      <c r="C60" s="16" t="s">
        <v>52</v>
      </c>
      <c r="D60" s="16"/>
      <c r="E60" s="17">
        <f>+'Yahoo Fin Input'!K66</f>
        <v>8174000</v>
      </c>
      <c r="F60" s="22">
        <f>+'Yahoo Fin Input'!D66</f>
        <v>8929000</v>
      </c>
      <c r="G60" s="22">
        <f>+'Yahoo Fin Input'!E66</f>
        <v>6311000</v>
      </c>
      <c r="H60" s="22">
        <f>+'Yahoo Fin Input'!F66</f>
        <v>4037000</v>
      </c>
      <c r="I60" s="22">
        <v>3461000</v>
      </c>
      <c r="J60" s="22">
        <v>1935000</v>
      </c>
      <c r="K60" s="22">
        <v>4147000</v>
      </c>
      <c r="L60" s="22">
        <f>(2161)*1000</f>
        <v>2161000</v>
      </c>
      <c r="N60" s="9"/>
      <c r="O60" s="32"/>
      <c r="P60" s="32"/>
      <c r="Q60" s="35"/>
      <c r="R60" s="35"/>
      <c r="S60" s="35"/>
      <c r="T60" s="35"/>
    </row>
    <row r="61" spans="1:20" ht="13.5" customHeight="1">
      <c r="A61">
        <f>ROW()</f>
        <v>61</v>
      </c>
      <c r="B61" s="9"/>
      <c r="C61" s="16" t="s">
        <v>53</v>
      </c>
      <c r="D61" s="259"/>
      <c r="E61" s="17">
        <f>+'Yahoo Fin Input'!K67</f>
        <v>3310000</v>
      </c>
      <c r="F61" s="24">
        <f>+'Yahoo Fin Input'!D67</f>
        <v>1803000</v>
      </c>
      <c r="G61" s="22">
        <f>+'Yahoo Fin Input'!E67</f>
        <v>1591000</v>
      </c>
      <c r="H61" s="22">
        <f>+'Yahoo Fin Input'!F67</f>
        <v>1351000</v>
      </c>
      <c r="I61" s="22">
        <v>1196000</v>
      </c>
      <c r="J61" s="22">
        <v>904000</v>
      </c>
      <c r="K61" s="22">
        <v>2900000</v>
      </c>
      <c r="L61" s="22">
        <v>2030000</v>
      </c>
      <c r="N61" s="9"/>
      <c r="O61" s="38"/>
      <c r="P61" s="38"/>
      <c r="Q61" s="39"/>
      <c r="R61" s="39"/>
      <c r="S61" s="39"/>
      <c r="T61" s="39"/>
    </row>
    <row r="62" spans="1:20" ht="13.5" customHeight="1" thickBot="1">
      <c r="A62">
        <f>ROW()</f>
        <v>62</v>
      </c>
      <c r="B62" s="9"/>
      <c r="C62" s="18" t="s">
        <v>131</v>
      </c>
      <c r="D62" s="18"/>
      <c r="E62" s="43">
        <f>SUM(E53:E61)</f>
        <v>50699000</v>
      </c>
      <c r="F62" s="260">
        <f>SUM(F53:F61)</f>
        <v>48281000</v>
      </c>
      <c r="G62" s="44">
        <f>SUM(G53:G61)</f>
        <v>41240000</v>
      </c>
      <c r="H62" s="44">
        <f>SUM(H53:H61)</f>
        <v>35594000</v>
      </c>
      <c r="I62" s="44">
        <f t="shared" ref="I62:J62" si="7">SUM(I55:I61)+I53-I57</f>
        <v>32957000</v>
      </c>
      <c r="J62" s="44">
        <f t="shared" si="7"/>
        <v>32651000</v>
      </c>
      <c r="K62" s="44">
        <f>SUM(K55:K61)+K53-K57</f>
        <v>64160000</v>
      </c>
      <c r="L62" s="408">
        <f>SUM(L55:L61)+L53</f>
        <v>44336000</v>
      </c>
      <c r="N62" s="9"/>
      <c r="O62" s="32"/>
      <c r="P62" s="32"/>
      <c r="Q62" s="32"/>
      <c r="R62" s="32"/>
      <c r="S62" s="32"/>
      <c r="T62" s="32"/>
    </row>
    <row r="63" spans="1:20" ht="13.5" customHeight="1" thickTop="1">
      <c r="A63">
        <f>ROW()</f>
        <v>63</v>
      </c>
      <c r="B63" s="9"/>
      <c r="C63" s="16"/>
      <c r="D63" s="16"/>
      <c r="E63" s="17"/>
      <c r="F63" s="16"/>
      <c r="G63" s="16"/>
      <c r="H63" s="16"/>
      <c r="I63" s="16"/>
      <c r="J63" s="16"/>
      <c r="K63" s="16"/>
      <c r="L63" s="16"/>
      <c r="N63" s="9"/>
      <c r="O63" s="38"/>
      <c r="P63" s="38"/>
      <c r="Q63" s="38"/>
      <c r="R63" s="38"/>
      <c r="S63" s="38"/>
      <c r="T63" s="38"/>
    </row>
    <row r="64" spans="1:20" ht="13.5" customHeight="1">
      <c r="A64">
        <f>ROW()</f>
        <v>64</v>
      </c>
      <c r="B64" s="9"/>
      <c r="C64" s="18" t="s">
        <v>55</v>
      </c>
      <c r="D64" s="18"/>
      <c r="E64" s="19"/>
      <c r="F64" s="18"/>
      <c r="G64" s="18"/>
      <c r="H64" s="18"/>
      <c r="I64" s="18"/>
      <c r="J64" s="18"/>
      <c r="K64" s="18"/>
      <c r="L64" s="18"/>
      <c r="N64" s="9"/>
      <c r="O64" s="32"/>
      <c r="P64" s="32"/>
      <c r="Q64" s="32"/>
      <c r="R64" s="32"/>
      <c r="S64" s="32"/>
      <c r="T64" s="32"/>
    </row>
    <row r="65" spans="1:20" ht="13.5" customHeight="1">
      <c r="A65">
        <f>ROW()</f>
        <v>65</v>
      </c>
      <c r="B65" s="9"/>
      <c r="C65" s="16" t="s">
        <v>56</v>
      </c>
      <c r="D65" s="16"/>
      <c r="E65" s="17"/>
      <c r="F65" s="16"/>
      <c r="G65" s="16"/>
      <c r="H65" s="16"/>
      <c r="I65" s="16"/>
      <c r="J65" s="16"/>
      <c r="K65" s="16"/>
      <c r="L65" s="16"/>
      <c r="N65" s="9"/>
      <c r="O65" s="32"/>
      <c r="P65" s="32"/>
      <c r="Q65" s="32"/>
      <c r="R65" s="32"/>
      <c r="S65" s="32"/>
      <c r="T65" s="32"/>
    </row>
    <row r="66" spans="1:20" ht="13.5" customHeight="1">
      <c r="A66">
        <f>ROW()</f>
        <v>66</v>
      </c>
      <c r="B66" s="9"/>
      <c r="C66" s="16"/>
      <c r="D66" s="16" t="s">
        <v>57</v>
      </c>
      <c r="E66" s="22">
        <v>1912000</v>
      </c>
      <c r="F66" s="22">
        <v>3796000</v>
      </c>
      <c r="G66" s="22">
        <v>2750000</v>
      </c>
      <c r="H66" s="22">
        <v>2248000</v>
      </c>
      <c r="I66" s="22">
        <v>1368000</v>
      </c>
      <c r="J66" s="22">
        <v>1825000</v>
      </c>
      <c r="K66" s="22">
        <v>1971000</v>
      </c>
      <c r="L66" s="22">
        <v>1858000</v>
      </c>
      <c r="N66" s="9"/>
      <c r="O66" s="32"/>
      <c r="P66" s="32"/>
      <c r="Q66" s="32"/>
      <c r="R66" s="32"/>
      <c r="S66" s="32"/>
      <c r="T66" s="32"/>
    </row>
    <row r="67" spans="1:20" ht="13.5" customHeight="1">
      <c r="A67">
        <f>ROW()</f>
        <v>67</v>
      </c>
      <c r="B67" s="9"/>
      <c r="C67" s="16"/>
      <c r="D67" s="16" t="s">
        <v>58</v>
      </c>
      <c r="E67" s="22">
        <v>914000</v>
      </c>
      <c r="F67" s="22">
        <v>1945000</v>
      </c>
      <c r="G67" s="22">
        <v>2044000</v>
      </c>
      <c r="H67" s="22">
        <v>500000</v>
      </c>
      <c r="I67" s="22">
        <v>2496000</v>
      </c>
      <c r="J67" s="22">
        <v>1005000</v>
      </c>
      <c r="K67" s="22">
        <v>2495000</v>
      </c>
      <c r="L67" s="22">
        <v>1749000</v>
      </c>
      <c r="N67" s="9"/>
      <c r="O67" s="32"/>
      <c r="P67" s="32"/>
      <c r="Q67" s="32"/>
      <c r="R67" s="32"/>
      <c r="S67" s="32"/>
      <c r="T67" s="32"/>
    </row>
    <row r="68" spans="1:20" ht="13.5" customHeight="1">
      <c r="A68">
        <f>ROW()</f>
        <v>68</v>
      </c>
      <c r="B68" s="9"/>
      <c r="C68" s="16"/>
      <c r="D68" s="259" t="s">
        <v>59</v>
      </c>
      <c r="E68" s="22">
        <v>4491000</v>
      </c>
      <c r="F68" s="22">
        <v>3689000</v>
      </c>
      <c r="G68" s="22">
        <v>5014000</v>
      </c>
      <c r="H68" s="22">
        <v>4303000</v>
      </c>
      <c r="I68" s="22">
        <v>3458000</v>
      </c>
      <c r="J68" s="22">
        <v>6825000</v>
      </c>
      <c r="K68" s="22">
        <v>4756000</v>
      </c>
      <c r="L68" s="22">
        <v>2261000</v>
      </c>
      <c r="N68" s="9"/>
      <c r="O68" s="32"/>
      <c r="P68" s="32"/>
      <c r="Q68" s="32"/>
      <c r="R68" s="32"/>
      <c r="S68" s="32"/>
      <c r="T68" s="32"/>
    </row>
    <row r="69" spans="1:20" ht="13.5" customHeight="1">
      <c r="A69">
        <f>ROW()</f>
        <v>69</v>
      </c>
      <c r="B69" s="9"/>
      <c r="C69" s="18" t="s">
        <v>132</v>
      </c>
      <c r="D69" s="18"/>
      <c r="E69" s="22">
        <v>9628000</v>
      </c>
      <c r="F69" s="22">
        <v>11866000</v>
      </c>
      <c r="G69" s="22">
        <v>11951000</v>
      </c>
      <c r="H69" s="22">
        <v>8672000</v>
      </c>
      <c r="I69" s="22">
        <v>8935000</v>
      </c>
      <c r="J69" s="22">
        <v>11236000</v>
      </c>
      <c r="K69" s="22">
        <v>10907000</v>
      </c>
      <c r="L69" s="22">
        <v>7311000</v>
      </c>
      <c r="N69" s="9"/>
      <c r="O69" s="32"/>
      <c r="P69" s="32"/>
      <c r="Q69" s="32"/>
      <c r="R69" s="32"/>
      <c r="S69" s="32"/>
      <c r="T69" s="32"/>
    </row>
    <row r="70" spans="1:20" ht="13.5" customHeight="1">
      <c r="A70">
        <f>ROW()</f>
        <v>70</v>
      </c>
      <c r="B70" s="9"/>
      <c r="C70" s="16" t="s">
        <v>62</v>
      </c>
      <c r="D70" s="16"/>
      <c r="E70" s="22">
        <v>14484000</v>
      </c>
      <c r="F70" s="22">
        <v>13537000</v>
      </c>
      <c r="G70" s="22">
        <v>13701000</v>
      </c>
      <c r="H70" s="22">
        <v>15226000</v>
      </c>
      <c r="I70" s="22">
        <v>13437000</v>
      </c>
      <c r="J70" s="22">
        <v>15365000</v>
      </c>
      <c r="K70" s="22">
        <v>19398000</v>
      </c>
      <c r="L70" s="22">
        <v>10008000</v>
      </c>
      <c r="N70" s="9"/>
      <c r="O70" s="32"/>
      <c r="P70" s="32"/>
      <c r="Q70" s="32"/>
      <c r="R70" s="32"/>
      <c r="S70" s="32"/>
      <c r="T70" s="32"/>
    </row>
    <row r="71" spans="1:20" ht="13.5" customHeight="1">
      <c r="A71">
        <f>ROW()</f>
        <v>71</v>
      </c>
      <c r="B71" s="9"/>
      <c r="C71" s="16" t="s">
        <v>63</v>
      </c>
      <c r="D71" s="16"/>
      <c r="E71" s="22">
        <v>3280000</v>
      </c>
      <c r="F71" s="22">
        <v>3063000</v>
      </c>
      <c r="G71" s="22">
        <v>3561000</v>
      </c>
      <c r="H71" s="22">
        <v>2986000</v>
      </c>
      <c r="I71" s="22">
        <v>2427000</v>
      </c>
      <c r="J71" s="22">
        <v>1225000</v>
      </c>
      <c r="K71" s="22">
        <v>2432000</v>
      </c>
      <c r="L71" s="22">
        <v>895000</v>
      </c>
      <c r="N71" s="9"/>
      <c r="O71" s="32"/>
      <c r="P71" s="32"/>
      <c r="Q71" s="32"/>
      <c r="R71" s="32"/>
      <c r="S71" s="32"/>
      <c r="T71" s="32"/>
    </row>
    <row r="72" spans="1:20" ht="13.5" customHeight="1">
      <c r="A72">
        <f>ROW()</f>
        <v>72</v>
      </c>
      <c r="B72" s="9"/>
      <c r="C72" s="16" t="s">
        <v>64</v>
      </c>
      <c r="D72" s="16"/>
      <c r="E72" s="22">
        <v>99000</v>
      </c>
      <c r="F72" s="22">
        <v>144000</v>
      </c>
      <c r="G72" s="22">
        <v>364000</v>
      </c>
      <c r="H72" s="22">
        <v>761000</v>
      </c>
      <c r="I72" s="22">
        <v>1160000</v>
      </c>
      <c r="J72" s="22">
        <v>1620000</v>
      </c>
      <c r="K72" s="22">
        <v>2003000</v>
      </c>
      <c r="L72" s="22">
        <v>2377000</v>
      </c>
      <c r="N72" s="9"/>
      <c r="O72" s="32"/>
      <c r="P72" s="32"/>
      <c r="Q72" s="32"/>
      <c r="R72" s="32"/>
      <c r="S72" s="32"/>
      <c r="T72" s="32"/>
    </row>
    <row r="73" spans="1:20" ht="13.5" customHeight="1">
      <c r="A73">
        <f>ROW()</f>
        <v>73</v>
      </c>
      <c r="B73" s="9"/>
      <c r="C73" s="16" t="s">
        <v>24</v>
      </c>
      <c r="D73" s="16"/>
      <c r="E73" s="22"/>
      <c r="F73" s="22"/>
      <c r="G73" s="22"/>
      <c r="H73" s="22"/>
      <c r="I73" s="22"/>
      <c r="J73" s="22"/>
      <c r="K73" s="22"/>
      <c r="L73" s="22"/>
      <c r="N73" s="9"/>
      <c r="O73" s="32"/>
      <c r="P73" s="32"/>
      <c r="Q73" s="32"/>
      <c r="R73" s="32"/>
      <c r="S73" s="32"/>
      <c r="T73" s="32"/>
    </row>
    <row r="74" spans="1:20" ht="13.5" customHeight="1">
      <c r="A74">
        <f>ROW()</f>
        <v>74</v>
      </c>
      <c r="B74" s="9"/>
      <c r="C74" s="16" t="s">
        <v>133</v>
      </c>
      <c r="D74" s="259"/>
      <c r="E74" s="22"/>
      <c r="F74" s="22"/>
      <c r="G74" s="22">
        <f>+'Yahoo Fin Input'!E82</f>
        <v>0</v>
      </c>
      <c r="H74" s="22">
        <f>+'Yahoo Fin Input'!F82</f>
        <v>0</v>
      </c>
      <c r="I74" s="22">
        <v>0</v>
      </c>
      <c r="J74" s="22">
        <v>0</v>
      </c>
      <c r="K74" s="22">
        <v>0</v>
      </c>
      <c r="L74" s="22">
        <v>0</v>
      </c>
      <c r="N74" s="9"/>
      <c r="O74" s="32"/>
      <c r="P74" s="32"/>
      <c r="Q74" s="32"/>
      <c r="R74" s="32"/>
      <c r="S74" s="32"/>
      <c r="T74" s="32"/>
    </row>
    <row r="75" spans="1:20" ht="13.5" customHeight="1">
      <c r="A75">
        <f>ROW()</f>
        <v>75</v>
      </c>
      <c r="B75" s="9"/>
      <c r="C75" s="18" t="s">
        <v>134</v>
      </c>
      <c r="D75" s="18"/>
      <c r="E75" s="375">
        <v>29459000</v>
      </c>
      <c r="F75" s="375">
        <v>31001000</v>
      </c>
      <c r="G75" s="375">
        <v>31290000</v>
      </c>
      <c r="H75" s="375">
        <v>29517000</v>
      </c>
      <c r="I75" s="375">
        <v>28048000</v>
      </c>
      <c r="J75" s="375">
        <v>31758000</v>
      </c>
      <c r="K75" s="375">
        <v>34740000</v>
      </c>
      <c r="L75" s="375">
        <v>20591000</v>
      </c>
      <c r="N75" s="9"/>
      <c r="O75" s="32"/>
      <c r="P75" s="32"/>
      <c r="Q75" s="32"/>
      <c r="R75" s="32"/>
      <c r="S75" s="32"/>
      <c r="T75" s="32"/>
    </row>
    <row r="76" spans="1:20" ht="13.5" customHeight="1">
      <c r="A76">
        <f>ROW()</f>
        <v>76</v>
      </c>
      <c r="B76" s="9"/>
      <c r="C76" s="16"/>
      <c r="D76" s="16"/>
      <c r="E76" s="17"/>
      <c r="F76" s="16"/>
      <c r="G76" s="16"/>
      <c r="H76" s="16"/>
      <c r="I76" s="16"/>
      <c r="J76" s="16"/>
      <c r="K76" s="16"/>
      <c r="L76" s="16"/>
      <c r="N76" s="9"/>
      <c r="O76" s="32"/>
      <c r="P76" s="32"/>
      <c r="Q76" s="32"/>
      <c r="R76" s="32"/>
      <c r="S76" s="32"/>
      <c r="T76" s="32"/>
    </row>
    <row r="77" spans="1:20" ht="13.5" customHeight="1">
      <c r="A77">
        <f>ROW()</f>
        <v>77</v>
      </c>
      <c r="B77" s="9"/>
      <c r="C77" s="18" t="s">
        <v>135</v>
      </c>
      <c r="D77" s="18"/>
      <c r="E77" s="19"/>
      <c r="F77" s="18"/>
      <c r="G77" s="18"/>
      <c r="H77" s="18"/>
      <c r="I77" s="18"/>
      <c r="J77" s="18"/>
      <c r="K77" s="18"/>
      <c r="L77" s="18"/>
      <c r="N77" s="9"/>
      <c r="O77" s="32"/>
      <c r="P77" s="32"/>
      <c r="Q77" s="32"/>
      <c r="R77" s="32"/>
      <c r="S77" s="32"/>
      <c r="T77" s="32"/>
    </row>
    <row r="78" spans="1:20" ht="13.5" customHeight="1">
      <c r="A78">
        <f>ROW()</f>
        <v>78</v>
      </c>
      <c r="B78" s="9"/>
      <c r="C78" s="16" t="s">
        <v>70</v>
      </c>
      <c r="D78" s="16"/>
      <c r="E78" s="17">
        <f>+'Yahoo Fin Input'!K88</f>
        <v>0</v>
      </c>
      <c r="F78" s="22">
        <f>+'Yahoo Fin Input'!D88</f>
        <v>0</v>
      </c>
      <c r="G78" s="22">
        <f>+'Yahoo Fin Input'!E88</f>
        <v>0</v>
      </c>
      <c r="H78" s="22">
        <f>+'Yahoo Fin Input'!F88</f>
        <v>0</v>
      </c>
      <c r="I78" s="22">
        <v>0</v>
      </c>
      <c r="J78" s="22">
        <v>0</v>
      </c>
      <c r="K78" s="22">
        <v>0</v>
      </c>
      <c r="L78" s="22">
        <v>0</v>
      </c>
      <c r="N78" s="9"/>
      <c r="O78" s="32"/>
      <c r="P78" s="32"/>
      <c r="Q78" s="32"/>
      <c r="R78" s="32"/>
      <c r="S78" s="32"/>
      <c r="T78" s="32"/>
    </row>
    <row r="79" spans="1:20" ht="13.5" customHeight="1">
      <c r="A79">
        <f>ROW()</f>
        <v>79</v>
      </c>
      <c r="B79" s="9"/>
      <c r="C79" s="16" t="s">
        <v>71</v>
      </c>
      <c r="D79" s="16"/>
      <c r="E79" s="17">
        <f>+'Yahoo Fin Input'!K89</f>
        <v>0</v>
      </c>
      <c r="F79" s="22">
        <f>+'Yahoo Fin Input'!D89</f>
        <v>0</v>
      </c>
      <c r="G79" s="22">
        <f>+'Yahoo Fin Input'!E89</f>
        <v>0</v>
      </c>
      <c r="H79" s="22">
        <f>+'Yahoo Fin Input'!F89</f>
        <v>0</v>
      </c>
      <c r="I79" s="22">
        <v>0</v>
      </c>
      <c r="J79" s="22">
        <v>0</v>
      </c>
      <c r="K79" s="22">
        <v>0</v>
      </c>
      <c r="L79" s="22">
        <v>0</v>
      </c>
      <c r="O79" s="32"/>
      <c r="P79" s="32"/>
      <c r="Q79" s="32"/>
      <c r="R79" s="32"/>
      <c r="S79" s="32"/>
      <c r="T79" s="32"/>
    </row>
    <row r="80" spans="1:20" ht="13.5" customHeight="1">
      <c r="A80">
        <f>ROW()</f>
        <v>80</v>
      </c>
      <c r="B80" s="9"/>
      <c r="C80" s="16" t="s">
        <v>72</v>
      </c>
      <c r="D80" s="16"/>
      <c r="E80" s="374">
        <v>490000</v>
      </c>
      <c r="F80" s="374">
        <v>195000</v>
      </c>
      <c r="G80" s="374">
        <v>0</v>
      </c>
      <c r="H80" s="374">
        <v>586000</v>
      </c>
      <c r="I80" s="374">
        <v>343000</v>
      </c>
      <c r="J80" s="374">
        <v>0</v>
      </c>
      <c r="K80" s="374">
        <v>274000</v>
      </c>
      <c r="L80" s="374">
        <v>414000</v>
      </c>
      <c r="O80" s="32"/>
      <c r="P80" s="32"/>
      <c r="Q80" s="32"/>
      <c r="R80" s="32"/>
      <c r="S80" s="32"/>
      <c r="T80" s="32"/>
    </row>
    <row r="81" spans="1:20" ht="13.5" customHeight="1">
      <c r="A81">
        <f>ROW()</f>
        <v>81</v>
      </c>
      <c r="B81" s="9"/>
      <c r="C81" s="16" t="s">
        <v>73</v>
      </c>
      <c r="D81" s="16"/>
      <c r="E81" s="374">
        <v>20733000</v>
      </c>
      <c r="F81" s="374">
        <v>17840000</v>
      </c>
      <c r="G81" s="374">
        <v>9822000</v>
      </c>
      <c r="H81" s="374">
        <v>5284000</v>
      </c>
      <c r="I81" s="374">
        <v>4466000</v>
      </c>
      <c r="J81" s="374">
        <v>663000</v>
      </c>
      <c r="K81" s="374">
        <v>30088000</v>
      </c>
      <c r="L81" s="374">
        <v>30936000</v>
      </c>
      <c r="O81" s="32"/>
      <c r="P81" s="32"/>
      <c r="Q81" s="32"/>
      <c r="R81" s="32"/>
      <c r="S81" s="32"/>
      <c r="T81" s="32"/>
    </row>
    <row r="82" spans="1:20" ht="13.5" customHeight="1">
      <c r="A82">
        <f>ROW()</f>
        <v>82</v>
      </c>
      <c r="B82" s="9"/>
      <c r="C82" s="16" t="s">
        <v>74</v>
      </c>
      <c r="D82" s="16"/>
      <c r="E82" s="17">
        <f>+'Yahoo Fin Input'!K92</f>
        <v>0</v>
      </c>
      <c r="F82" s="22">
        <f>+'Yahoo Fin Input'!D92</f>
        <v>0</v>
      </c>
      <c r="G82" s="22">
        <f>+'Yahoo Fin Input'!E92</f>
        <v>0</v>
      </c>
      <c r="H82" s="22">
        <f>+'Yahoo Fin Input'!F92</f>
        <v>0</v>
      </c>
      <c r="I82" s="22">
        <v>0</v>
      </c>
      <c r="J82" s="22">
        <v>0</v>
      </c>
      <c r="K82" s="22">
        <v>0</v>
      </c>
      <c r="L82" s="22">
        <v>0</v>
      </c>
      <c r="O82" s="32"/>
      <c r="P82" s="32"/>
      <c r="Q82" s="32"/>
      <c r="R82" s="32"/>
      <c r="S82" s="32"/>
      <c r="T82" s="32"/>
    </row>
    <row r="83" spans="1:20" ht="13.5" customHeight="1">
      <c r="A83">
        <f>ROW()</f>
        <v>83</v>
      </c>
      <c r="B83" s="9"/>
      <c r="C83" s="16" t="s">
        <v>75</v>
      </c>
      <c r="D83" s="16"/>
      <c r="E83" s="17">
        <f>+'Yahoo Fin Input'!K93</f>
        <v>0</v>
      </c>
      <c r="F83" s="22">
        <f>+'Yahoo Fin Input'!D93</f>
        <v>0</v>
      </c>
      <c r="G83" s="22">
        <f>+'Yahoo Fin Input'!E93</f>
        <v>0</v>
      </c>
      <c r="H83" s="22">
        <f>+'Yahoo Fin Input'!F93</f>
        <v>0</v>
      </c>
      <c r="I83" s="22">
        <v>805000</v>
      </c>
      <c r="J83" s="22">
        <v>552000</v>
      </c>
      <c r="K83" s="22">
        <v>493000</v>
      </c>
      <c r="L83" s="22">
        <v>868000</v>
      </c>
      <c r="O83" s="32"/>
      <c r="P83" s="32"/>
      <c r="Q83" s="32"/>
      <c r="R83" s="32"/>
      <c r="S83" s="32"/>
      <c r="T83" s="32"/>
    </row>
    <row r="84" spans="1:20" ht="13.5" customHeight="1">
      <c r="A84">
        <f>ROW()</f>
        <v>84</v>
      </c>
      <c r="B84" s="9"/>
      <c r="C84" s="16" t="s">
        <v>76</v>
      </c>
      <c r="D84" s="259"/>
      <c r="E84" s="374">
        <v>358000</v>
      </c>
      <c r="F84" s="374">
        <v>-22000</v>
      </c>
      <c r="G84" s="374">
        <v>128000</v>
      </c>
      <c r="H84" s="374">
        <v>207000</v>
      </c>
      <c r="I84" s="374">
        <v>100000</v>
      </c>
      <c r="J84" s="374">
        <v>265000</v>
      </c>
      <c r="K84" s="374">
        <v>384000</v>
      </c>
      <c r="L84" s="374">
        <v>428000</v>
      </c>
      <c r="O84" s="32"/>
      <c r="P84" s="32"/>
      <c r="Q84" s="32"/>
      <c r="R84" s="32"/>
      <c r="S84" s="32"/>
      <c r="T84" s="32"/>
    </row>
    <row r="85" spans="1:20" ht="13.5" customHeight="1">
      <c r="A85">
        <f>ROW()</f>
        <v>85</v>
      </c>
      <c r="B85" s="9"/>
      <c r="C85" s="18" t="s">
        <v>136</v>
      </c>
      <c r="D85" s="18"/>
      <c r="E85" s="374">
        <v>21581000</v>
      </c>
      <c r="F85" s="374">
        <v>18013000</v>
      </c>
      <c r="G85" s="374">
        <v>9950000</v>
      </c>
      <c r="H85" s="374">
        <v>6077000</v>
      </c>
      <c r="I85" s="374">
        <v>4909000</v>
      </c>
      <c r="J85" s="374">
        <v>928000</v>
      </c>
      <c r="K85" s="374">
        <v>30746000</v>
      </c>
      <c r="L85" s="374">
        <v>31778000</v>
      </c>
      <c r="O85" s="32"/>
      <c r="P85" s="32"/>
      <c r="Q85" s="32"/>
      <c r="R85" s="32"/>
      <c r="S85" s="32"/>
      <c r="T85" s="32"/>
    </row>
    <row r="86" spans="1:20" ht="13.5" customHeight="1" thickBot="1">
      <c r="A86">
        <f>ROW()</f>
        <v>86</v>
      </c>
      <c r="B86" s="9"/>
      <c r="C86" s="18" t="s">
        <v>137</v>
      </c>
      <c r="D86" s="18"/>
      <c r="E86" s="43">
        <f>+E85+E75</f>
        <v>51040000</v>
      </c>
      <c r="F86" s="44">
        <f>+F85+F75</f>
        <v>49014000</v>
      </c>
      <c r="G86" s="44">
        <f>+G85+G75</f>
        <v>41240000</v>
      </c>
      <c r="H86" s="44">
        <f>+H85+H75</f>
        <v>35594000</v>
      </c>
      <c r="I86" s="44">
        <v>9776000</v>
      </c>
      <c r="J86" s="44">
        <v>8761000</v>
      </c>
      <c r="K86" s="44">
        <v>9703000</v>
      </c>
      <c r="L86" s="44">
        <v>9622000</v>
      </c>
      <c r="O86" s="32"/>
      <c r="P86" s="32"/>
      <c r="Q86" s="32"/>
      <c r="R86" s="32"/>
      <c r="S86" s="32"/>
      <c r="T86" s="32"/>
    </row>
    <row r="87" spans="1:20" ht="13.5" customHeight="1" thickTop="1" thickBot="1">
      <c r="A87">
        <f>ROW()</f>
        <v>87</v>
      </c>
      <c r="B87" s="9"/>
      <c r="C87" s="9"/>
      <c r="D87" s="45" t="s">
        <v>138</v>
      </c>
      <c r="E87" s="46">
        <f t="shared" ref="E87:L87" si="8">+E62-E86</f>
        <v>-341000</v>
      </c>
      <c r="F87" s="47">
        <f t="shared" si="8"/>
        <v>-733000</v>
      </c>
      <c r="G87" s="47">
        <f t="shared" si="8"/>
        <v>0</v>
      </c>
      <c r="H87" s="47">
        <f t="shared" si="8"/>
        <v>0</v>
      </c>
      <c r="I87" s="47">
        <v>0</v>
      </c>
      <c r="J87" s="47">
        <v>0</v>
      </c>
      <c r="K87" s="47">
        <f t="shared" si="8"/>
        <v>54457000</v>
      </c>
      <c r="L87" s="47">
        <f t="shared" si="8"/>
        <v>34714000</v>
      </c>
      <c r="O87" s="32"/>
      <c r="P87" s="32"/>
      <c r="Q87" s="32"/>
      <c r="R87" s="32"/>
      <c r="S87" s="32"/>
      <c r="T87" s="32"/>
    </row>
    <row r="88" spans="1:20" ht="13.5" customHeight="1">
      <c r="A88">
        <f>ROW()</f>
        <v>88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O88" s="32"/>
      <c r="P88" s="32"/>
      <c r="Q88" s="32"/>
      <c r="R88" s="32"/>
      <c r="S88" s="32"/>
      <c r="T88" s="32"/>
    </row>
    <row r="89" spans="1:20" ht="22.5" customHeight="1">
      <c r="A89">
        <f>ROW()</f>
        <v>89</v>
      </c>
      <c r="B89" s="9"/>
      <c r="C89" s="1" t="str">
        <f>+C1</f>
        <v>QUALCOMM Incorporated (QCOM)</v>
      </c>
      <c r="D89" s="9"/>
      <c r="E89" s="9"/>
      <c r="F89" s="9"/>
      <c r="G89" s="9"/>
      <c r="H89" s="9"/>
      <c r="I89" s="9"/>
      <c r="J89" s="9"/>
      <c r="K89" s="9"/>
      <c r="L89" s="9"/>
      <c r="O89" s="32"/>
      <c r="P89" s="32"/>
      <c r="Q89" s="32"/>
      <c r="R89" s="32"/>
      <c r="S89" s="32"/>
      <c r="T89" s="32"/>
    </row>
    <row r="90" spans="1:20" ht="13.5" customHeight="1">
      <c r="A90">
        <f>ROW()</f>
        <v>90</v>
      </c>
      <c r="B90" s="9"/>
      <c r="C90" s="2" t="s">
        <v>139</v>
      </c>
      <c r="D90" s="9"/>
      <c r="E90" s="9"/>
      <c r="F90" s="9"/>
      <c r="G90" s="9"/>
      <c r="H90" s="9"/>
      <c r="I90" s="9"/>
      <c r="J90" s="9"/>
      <c r="K90" s="9"/>
      <c r="L90" s="9"/>
      <c r="O90" s="32"/>
      <c r="P90" s="32"/>
      <c r="Q90" s="32"/>
      <c r="R90" s="32"/>
      <c r="S90" s="32"/>
      <c r="T90" s="32"/>
    </row>
    <row r="91" spans="1:20" ht="13.5" customHeight="1">
      <c r="B91" s="9"/>
      <c r="C91" s="2" t="s">
        <v>140</v>
      </c>
      <c r="D91" s="9">
        <f>1000</f>
        <v>1000</v>
      </c>
      <c r="E91" s="9"/>
      <c r="F91" s="9"/>
      <c r="G91" s="9"/>
      <c r="H91" s="9"/>
      <c r="I91" s="9"/>
      <c r="J91" s="9"/>
      <c r="K91" s="9"/>
      <c r="L91" s="9"/>
      <c r="O91" s="32"/>
      <c r="P91" s="32"/>
      <c r="Q91" s="32"/>
      <c r="R91" s="32"/>
      <c r="S91" s="32"/>
      <c r="T91" s="32"/>
    </row>
    <row r="92" spans="1:20" ht="13.5" customHeight="1" thickBot="1">
      <c r="A92">
        <f>ROW()</f>
        <v>92</v>
      </c>
      <c r="B92" s="9"/>
      <c r="E92" s="418" t="s">
        <v>114</v>
      </c>
      <c r="F92" s="418"/>
      <c r="G92" s="419"/>
      <c r="H92" s="419"/>
      <c r="I92" s="331"/>
      <c r="J92" s="331"/>
      <c r="K92" s="331"/>
      <c r="L92" s="331"/>
      <c r="N92" s="418" t="s">
        <v>115</v>
      </c>
      <c r="O92" s="419"/>
      <c r="P92" s="419"/>
      <c r="Q92" s="419"/>
      <c r="R92" s="32"/>
      <c r="S92" s="32"/>
      <c r="T92" s="32"/>
    </row>
    <row r="93" spans="1:20" ht="13.5" customHeight="1" thickBot="1">
      <c r="A93">
        <f>ROW()</f>
        <v>93</v>
      </c>
      <c r="B93" s="9"/>
      <c r="E93" s="59" t="s">
        <v>141</v>
      </c>
      <c r="F93" s="59"/>
      <c r="G93" s="60"/>
      <c r="H93" s="60"/>
      <c r="I93" s="247"/>
      <c r="J93" s="247"/>
      <c r="K93" s="247"/>
      <c r="L93" s="247"/>
      <c r="N93" s="59"/>
      <c r="O93" s="60"/>
      <c r="P93" s="60"/>
      <c r="Q93" s="60"/>
      <c r="R93" s="32"/>
      <c r="S93" s="32"/>
      <c r="T93" s="32"/>
    </row>
    <row r="94" spans="1:20" ht="13.5" customHeight="1">
      <c r="A94">
        <f>ROW()</f>
        <v>94</v>
      </c>
      <c r="B94" s="9"/>
      <c r="C94" s="27" t="s">
        <v>117</v>
      </c>
      <c r="D94" s="28"/>
      <c r="E94" s="78">
        <f>+E6</f>
        <v>45199</v>
      </c>
      <c r="F94" s="30">
        <f t="shared" ref="F94:Q94" si="9">+F6</f>
        <v>44834</v>
      </c>
      <c r="G94" s="30">
        <f t="shared" si="9"/>
        <v>44469</v>
      </c>
      <c r="H94" s="30">
        <f t="shared" si="9"/>
        <v>44104</v>
      </c>
      <c r="I94" s="4">
        <v>43738</v>
      </c>
      <c r="J94" s="4">
        <v>43373</v>
      </c>
      <c r="K94" s="4">
        <v>43008</v>
      </c>
      <c r="L94" s="4">
        <v>42643</v>
      </c>
      <c r="N94" s="48">
        <f t="shared" si="9"/>
        <v>45199</v>
      </c>
      <c r="O94" s="30">
        <f t="shared" si="9"/>
        <v>45107</v>
      </c>
      <c r="P94" s="30">
        <f t="shared" si="9"/>
        <v>45016</v>
      </c>
      <c r="Q94" s="31">
        <f t="shared" si="9"/>
        <v>44926</v>
      </c>
      <c r="T94" s="32"/>
    </row>
    <row r="95" spans="1:20" ht="13.5" customHeight="1">
      <c r="A95">
        <f>ROW()</f>
        <v>95</v>
      </c>
      <c r="B95" s="9"/>
      <c r="C95" s="18" t="s">
        <v>124</v>
      </c>
      <c r="D95" s="18"/>
      <c r="E95" s="374">
        <f>9486*$D91</f>
        <v>9486000</v>
      </c>
      <c r="F95" s="374">
        <f>14254*1000</f>
        <v>14254000</v>
      </c>
      <c r="G95" s="374">
        <f>9811*1000</f>
        <v>9811000</v>
      </c>
      <c r="H95" s="374">
        <f>4816*1000</f>
        <v>4816000</v>
      </c>
      <c r="I95" s="374">
        <f>4323*1000</f>
        <v>4323000</v>
      </c>
      <c r="J95" s="374">
        <f>5443*1000</f>
        <v>5443000</v>
      </c>
      <c r="K95" s="374">
        <f>6386*1000</f>
        <v>6386000</v>
      </c>
      <c r="L95" s="374">
        <f>6653*1000</f>
        <v>6653000</v>
      </c>
      <c r="N95" s="65">
        <f>+'Yahoo Fin Input'!K106</f>
        <v>1629000</v>
      </c>
      <c r="O95" s="65">
        <f>+'Yahoo Fin Input'!L106</f>
        <v>1735000</v>
      </c>
      <c r="P95" s="65">
        <f>+'Yahoo Fin Input'!M106</f>
        <v>1702000</v>
      </c>
      <c r="Q95" s="65">
        <f>+'Yahoo Fin Input'!N106</f>
        <v>2273000</v>
      </c>
      <c r="T95" s="32"/>
    </row>
    <row r="96" spans="1:20" ht="13.5" customHeight="1">
      <c r="A96">
        <f>ROW()</f>
        <v>96</v>
      </c>
      <c r="B96" s="9"/>
      <c r="C96" s="18"/>
      <c r="D96" s="18"/>
      <c r="E96" s="19"/>
      <c r="F96" s="42"/>
      <c r="G96" s="42"/>
      <c r="H96" s="42"/>
      <c r="I96" s="42"/>
      <c r="J96" s="42"/>
      <c r="K96" s="42"/>
      <c r="L96" s="42"/>
      <c r="N96" s="9"/>
      <c r="O96" s="9"/>
      <c r="P96" s="9"/>
      <c r="Q96" s="9"/>
      <c r="T96" s="32"/>
    </row>
    <row r="97" spans="1:20" ht="13.5" customHeight="1">
      <c r="A97">
        <f>ROW()</f>
        <v>97</v>
      </c>
      <c r="B97" s="9"/>
      <c r="C97" s="16" t="s">
        <v>81</v>
      </c>
      <c r="D97" s="16"/>
      <c r="E97" s="17">
        <f t="shared" ref="E97:E99" si="10">SUM(N97:Q97)</f>
        <v>1809000</v>
      </c>
      <c r="F97" s="22">
        <f>+'Yahoo Fin Input'!D109</f>
        <v>1762000</v>
      </c>
      <c r="G97" s="22">
        <f>+'Yahoo Fin Input'!E109</f>
        <v>1582000</v>
      </c>
      <c r="H97" s="22">
        <f>+'Yahoo Fin Input'!F109</f>
        <v>1393000</v>
      </c>
      <c r="I97" s="374">
        <v>1401000</v>
      </c>
      <c r="J97" s="374">
        <v>1561000</v>
      </c>
      <c r="K97" s="374">
        <v>1461000</v>
      </c>
      <c r="L97" s="374">
        <v>1428000</v>
      </c>
      <c r="N97" s="66">
        <f>+'Yahoo Fin Input'!K109</f>
        <v>462000</v>
      </c>
      <c r="O97" s="66">
        <f>+'Yahoo Fin Input'!L109</f>
        <v>479000</v>
      </c>
      <c r="P97" s="66">
        <f>+'Yahoo Fin Input'!M109</f>
        <v>470000</v>
      </c>
      <c r="Q97" s="66">
        <f>+'Yahoo Fin Input'!N109</f>
        <v>398000</v>
      </c>
      <c r="T97" s="32"/>
    </row>
    <row r="98" spans="1:20" ht="13.5" customHeight="1">
      <c r="A98">
        <f>ROW()</f>
        <v>98</v>
      </c>
      <c r="B98" s="9"/>
      <c r="C98" s="16" t="s">
        <v>82</v>
      </c>
      <c r="D98" s="16"/>
      <c r="E98" s="17">
        <f t="shared" si="10"/>
        <v>0</v>
      </c>
      <c r="F98" s="22">
        <f>+'Yahoo Fin Input'!D110</f>
        <v>0</v>
      </c>
      <c r="G98" s="22">
        <f>+'Yahoo Fin Input'!E110</f>
        <v>0</v>
      </c>
      <c r="H98" s="22">
        <f>+'Yahoo Fin Input'!F110</f>
        <v>0</v>
      </c>
      <c r="I98" s="22"/>
      <c r="J98" s="22"/>
      <c r="K98" s="22"/>
      <c r="L98" s="22"/>
      <c r="N98" s="66">
        <f>+'Yahoo Fin Input'!K110</f>
        <v>0</v>
      </c>
      <c r="O98" s="66">
        <f>+'Yahoo Fin Input'!L110</f>
        <v>0</v>
      </c>
      <c r="P98" s="66">
        <f>+'Yahoo Fin Input'!M110</f>
        <v>0</v>
      </c>
      <c r="Q98" s="66">
        <f>+'Yahoo Fin Input'!N110</f>
        <v>0</v>
      </c>
      <c r="T98" s="32"/>
    </row>
    <row r="99" spans="1:20" ht="13.5" customHeight="1">
      <c r="A99">
        <f>ROW()</f>
        <v>99</v>
      </c>
      <c r="B99" s="9"/>
      <c r="C99" s="16" t="s">
        <v>83</v>
      </c>
      <c r="D99" s="16"/>
      <c r="E99" s="17">
        <f t="shared" si="10"/>
        <v>2472000</v>
      </c>
      <c r="F99" s="22">
        <f>+'Yahoo Fin Input'!D111</f>
        <v>-2066000</v>
      </c>
      <c r="G99" s="22">
        <f>+'Yahoo Fin Input'!E111</f>
        <v>426000</v>
      </c>
      <c r="H99" s="22">
        <f>+'Yahoo Fin Input'!F111</f>
        <v>-1529000</v>
      </c>
      <c r="I99" s="374">
        <v>1373000</v>
      </c>
      <c r="J99" s="374">
        <v>734000</v>
      </c>
      <c r="K99" s="374">
        <v>-1104000</v>
      </c>
      <c r="L99" s="374">
        <v>-232000</v>
      </c>
      <c r="N99" s="66">
        <f>+'Yahoo Fin Input'!K111</f>
        <v>665000</v>
      </c>
      <c r="O99" s="66">
        <f>+'Yahoo Fin Input'!L111</f>
        <v>-157000</v>
      </c>
      <c r="P99" s="66">
        <f>+'Yahoo Fin Input'!M111</f>
        <v>270000</v>
      </c>
      <c r="Q99" s="66">
        <f>+'Yahoo Fin Input'!N111</f>
        <v>1694000</v>
      </c>
      <c r="T99" s="49"/>
    </row>
    <row r="100" spans="1:20" ht="13.5" customHeight="1">
      <c r="A100">
        <f>ROW()</f>
        <v>100</v>
      </c>
      <c r="B100" s="9"/>
      <c r="C100" s="16" t="s">
        <v>84</v>
      </c>
      <c r="D100" s="16"/>
      <c r="E100" s="175">
        <f>F100-G100</f>
        <v>-739000</v>
      </c>
      <c r="F100" s="17">
        <f>-2590*1000</f>
        <v>-2590000</v>
      </c>
      <c r="G100" s="22">
        <f>-1851*1000</f>
        <v>-1851000</v>
      </c>
      <c r="H100" s="22">
        <f>-356*1000</f>
        <v>-356000</v>
      </c>
      <c r="I100" s="22">
        <f>-51*1000</f>
        <v>-51000</v>
      </c>
      <c r="J100" s="22">
        <f>-210*1000</f>
        <v>-210000</v>
      </c>
      <c r="K100" s="22">
        <f>-95*1000</f>
        <v>-95000</v>
      </c>
      <c r="L100" s="22">
        <f>-61*1000</f>
        <v>-61000</v>
      </c>
      <c r="N100" s="66">
        <f>+'Yahoo Fin Input'!K112</f>
        <v>777000</v>
      </c>
      <c r="O100" s="66">
        <f>+'Yahoo Fin Input'!L112</f>
        <v>374000</v>
      </c>
      <c r="P100" s="66">
        <f>+'Yahoo Fin Input'!M112</f>
        <v>-1480000</v>
      </c>
      <c r="Q100" s="66">
        <f>+'Yahoo Fin Input'!N112</f>
        <v>-1550000</v>
      </c>
      <c r="T100" s="49"/>
    </row>
    <row r="101" spans="1:20" ht="13.5" customHeight="1">
      <c r="A101">
        <f>ROW()</f>
        <v>101</v>
      </c>
      <c r="B101" s="9"/>
      <c r="C101" s="16" t="s">
        <v>85</v>
      </c>
      <c r="D101" s="16"/>
      <c r="E101" s="374">
        <v>8000</v>
      </c>
      <c r="F101" s="374">
        <v>-3137000</v>
      </c>
      <c r="G101" s="374">
        <v>-622000</v>
      </c>
      <c r="H101" s="374">
        <v>-1157000</v>
      </c>
      <c r="I101" s="374">
        <v>273000</v>
      </c>
      <c r="J101" s="374">
        <v>337000</v>
      </c>
      <c r="K101" s="374">
        <v>-200000</v>
      </c>
      <c r="L101" s="374">
        <v>-49000</v>
      </c>
      <c r="N101" s="66">
        <f>+'Yahoo Fin Input'!K113</f>
        <v>200000</v>
      </c>
      <c r="O101" s="66">
        <f>+'Yahoo Fin Input'!L113</f>
        <v>204000</v>
      </c>
      <c r="P101" s="66">
        <f>+'Yahoo Fin Input'!M113</f>
        <v>80000</v>
      </c>
      <c r="Q101" s="66">
        <f>+'Yahoo Fin Input'!N113</f>
        <v>-476000</v>
      </c>
      <c r="T101" s="49"/>
    </row>
    <row r="102" spans="1:20" ht="13.5" customHeight="1">
      <c r="A102">
        <f>ROW()</f>
        <v>102</v>
      </c>
      <c r="B102" s="9"/>
      <c r="C102" s="16" t="s">
        <v>142</v>
      </c>
      <c r="D102" s="259"/>
      <c r="E102" s="374">
        <v>603000</v>
      </c>
      <c r="F102" s="374">
        <v>-2266000</v>
      </c>
      <c r="G102" s="374">
        <v>-1649000</v>
      </c>
      <c r="H102" s="374">
        <v>-110000</v>
      </c>
      <c r="I102" s="374">
        <v>78000</v>
      </c>
      <c r="J102" s="374">
        <v>30000</v>
      </c>
      <c r="K102" s="374">
        <v>169000</v>
      </c>
      <c r="L102" s="374">
        <v>246000</v>
      </c>
      <c r="N102" s="24">
        <f>+'Yahoo Fin Input'!K114</f>
        <v>-68000</v>
      </c>
      <c r="O102" s="24">
        <f>+'Yahoo Fin Input'!L114</f>
        <v>-39000</v>
      </c>
      <c r="P102" s="24">
        <f>+'Yahoo Fin Input'!M114</f>
        <v>-20000</v>
      </c>
      <c r="Q102" s="24">
        <f>+'Yahoo Fin Input'!N114</f>
        <v>-25000</v>
      </c>
      <c r="T102" s="49"/>
    </row>
    <row r="103" spans="1:20" s="378" customFormat="1" ht="13.5" customHeight="1">
      <c r="A103" s="2">
        <f>ROW()</f>
        <v>103</v>
      </c>
      <c r="B103" s="3"/>
      <c r="C103" s="18" t="s">
        <v>143</v>
      </c>
      <c r="D103" s="18"/>
      <c r="E103" s="375">
        <v>11299000</v>
      </c>
      <c r="F103" s="375">
        <v>9096000</v>
      </c>
      <c r="G103" s="375">
        <v>10536000</v>
      </c>
      <c r="H103" s="375">
        <v>5814000</v>
      </c>
      <c r="I103" s="375">
        <v>7286000</v>
      </c>
      <c r="J103" s="375">
        <v>3895000</v>
      </c>
      <c r="K103" s="375">
        <v>5001000</v>
      </c>
      <c r="L103" s="375">
        <v>7400000</v>
      </c>
      <c r="M103" s="2"/>
      <c r="N103" s="42">
        <f>SUM(N95:N102)</f>
        <v>3665000</v>
      </c>
      <c r="O103" s="42">
        <f>SUM(O95:O102)</f>
        <v>2596000</v>
      </c>
      <c r="P103" s="42">
        <f>SUM(P95:P102)</f>
        <v>1022000</v>
      </c>
      <c r="Q103" s="42">
        <f>SUM(Q95:Q102)</f>
        <v>2314000</v>
      </c>
      <c r="R103" s="2"/>
      <c r="S103" s="2"/>
      <c r="T103" s="393"/>
    </row>
    <row r="104" spans="1:20" ht="13.5" customHeight="1">
      <c r="A104">
        <f>ROW()</f>
        <v>104</v>
      </c>
      <c r="B104" s="9"/>
      <c r="C104" s="16"/>
      <c r="D104" s="16"/>
      <c r="E104" s="17"/>
      <c r="F104" s="16"/>
      <c r="G104" s="16"/>
      <c r="H104" s="16"/>
      <c r="I104" s="16"/>
      <c r="J104" s="16"/>
      <c r="K104" s="16"/>
      <c r="L104" s="16"/>
      <c r="N104" s="12"/>
      <c r="O104" s="12"/>
      <c r="P104" s="12"/>
      <c r="Q104" s="12"/>
      <c r="T104" s="49"/>
    </row>
    <row r="105" spans="1:20" ht="13.5" customHeight="1">
      <c r="A105">
        <f>ROW()</f>
        <v>105</v>
      </c>
      <c r="B105" s="9"/>
      <c r="C105" s="18" t="s">
        <v>94</v>
      </c>
      <c r="D105" s="18"/>
      <c r="E105" s="19"/>
      <c r="F105" s="18"/>
      <c r="G105" s="18"/>
      <c r="H105" s="18"/>
      <c r="I105" s="18"/>
      <c r="J105" s="18"/>
      <c r="K105" s="18"/>
      <c r="L105" s="18"/>
      <c r="N105" s="18"/>
      <c r="O105" s="18"/>
      <c r="P105" s="18"/>
      <c r="Q105" s="18"/>
      <c r="T105" s="49"/>
    </row>
    <row r="106" spans="1:20" ht="13.5" customHeight="1">
      <c r="A106">
        <f>ROW()</f>
        <v>106</v>
      </c>
      <c r="B106" s="9"/>
      <c r="C106" s="16" t="s">
        <v>95</v>
      </c>
      <c r="D106" s="16"/>
      <c r="E106" s="17">
        <v>-1450000</v>
      </c>
      <c r="F106" s="22">
        <v>-2262000</v>
      </c>
      <c r="G106" s="22">
        <v>-1888000</v>
      </c>
      <c r="H106" s="22">
        <v>-1407000</v>
      </c>
      <c r="I106" s="22">
        <v>-887000</v>
      </c>
      <c r="J106" s="22">
        <v>-784000</v>
      </c>
      <c r="K106" s="22">
        <v>-690000</v>
      </c>
      <c r="L106" s="22">
        <v>-539000</v>
      </c>
      <c r="N106" s="66">
        <f>+'Yahoo Fin Input'!K119</f>
        <v>5000</v>
      </c>
      <c r="O106" s="66">
        <f>+'Yahoo Fin Input'!L119</f>
        <v>7000</v>
      </c>
      <c r="P106" s="66">
        <f>+'Yahoo Fin Input'!M119</f>
        <v>63000</v>
      </c>
      <c r="Q106" s="66">
        <f>+'Yahoo Fin Input'!N119</f>
        <v>-33000</v>
      </c>
      <c r="T106" s="49"/>
    </row>
    <row r="107" spans="1:20" ht="13.5" customHeight="1">
      <c r="A107">
        <f>ROW()</f>
        <v>107</v>
      </c>
      <c r="B107" s="9"/>
      <c r="C107" s="16" t="s">
        <v>97</v>
      </c>
      <c r="D107" s="16"/>
      <c r="E107" s="376">
        <v>-668000</v>
      </c>
      <c r="F107" s="377">
        <v>-1414000</v>
      </c>
      <c r="G107" s="22">
        <v>-5907000</v>
      </c>
      <c r="H107" s="22">
        <v>-6213000</v>
      </c>
      <c r="I107" s="22">
        <v>0</v>
      </c>
      <c r="J107" s="22">
        <v>-5936000</v>
      </c>
      <c r="K107" s="22">
        <v>-19062000</v>
      </c>
      <c r="L107" s="22">
        <v>-18192000</v>
      </c>
      <c r="N107" s="66">
        <f>+'Yahoo Fin Input'!K120</f>
        <v>-5000</v>
      </c>
      <c r="O107" s="66">
        <f>+'Yahoo Fin Input'!L120</f>
        <v>-333000</v>
      </c>
      <c r="P107" s="66">
        <f>+'Yahoo Fin Input'!M120</f>
        <v>-33000</v>
      </c>
      <c r="Q107" s="66">
        <f>+'Yahoo Fin Input'!N120</f>
        <v>-28000</v>
      </c>
      <c r="T107" s="49"/>
    </row>
    <row r="108" spans="1:20" ht="13.5" customHeight="1">
      <c r="A108">
        <f>ROW()</f>
        <v>108</v>
      </c>
      <c r="B108" s="9"/>
      <c r="C108" s="16" t="s">
        <v>144</v>
      </c>
      <c r="D108" s="259"/>
      <c r="E108" s="40">
        <f>SUM(N108:Q108)</f>
        <v>0</v>
      </c>
      <c r="F108" s="24">
        <f>+'Yahoo Fin Input'!D121</f>
        <v>0</v>
      </c>
      <c r="G108" s="24">
        <f>+'Yahoo Fin Input'!E121</f>
        <v>0</v>
      </c>
      <c r="H108" s="24">
        <f>+'Yahoo Fin Input'!F121</f>
        <v>0</v>
      </c>
      <c r="I108" s="24">
        <v>138000</v>
      </c>
      <c r="J108" s="24">
        <v>284000</v>
      </c>
      <c r="K108" s="24">
        <v>299000</v>
      </c>
      <c r="L108" s="24">
        <v>61000</v>
      </c>
      <c r="N108" s="24">
        <f>+'Yahoo Fin Input'!K121</f>
        <v>0</v>
      </c>
      <c r="O108" s="24">
        <f>+'Yahoo Fin Input'!L121</f>
        <v>0</v>
      </c>
      <c r="P108" s="24">
        <f>+'Yahoo Fin Input'!M121</f>
        <v>0</v>
      </c>
      <c r="Q108" s="24">
        <f>+'Yahoo Fin Input'!N121</f>
        <v>0</v>
      </c>
      <c r="T108" s="49"/>
    </row>
    <row r="109" spans="1:20" ht="13.5" customHeight="1">
      <c r="A109">
        <f>ROW()</f>
        <v>109</v>
      </c>
      <c r="B109" s="9"/>
      <c r="C109" s="18" t="s">
        <v>145</v>
      </c>
      <c r="D109" s="18"/>
      <c r="E109" s="374">
        <v>762000</v>
      </c>
      <c r="F109" s="374">
        <v>-5804000</v>
      </c>
      <c r="G109" s="374">
        <v>-3356000</v>
      </c>
      <c r="H109" s="374">
        <v>-5263000</v>
      </c>
      <c r="I109" s="374">
        <v>-806000</v>
      </c>
      <c r="J109" s="374">
        <v>4381000</v>
      </c>
      <c r="K109" s="374">
        <v>18463000</v>
      </c>
      <c r="L109" s="374">
        <v>-3488000</v>
      </c>
      <c r="N109" s="42">
        <f>SUM(N106:N108)</f>
        <v>0</v>
      </c>
      <c r="O109" s="42">
        <f>SUM(O106:O108)</f>
        <v>-326000</v>
      </c>
      <c r="P109" s="42">
        <f>SUM(P106:P108)</f>
        <v>30000</v>
      </c>
      <c r="Q109" s="42">
        <f>SUM(Q106:Q108)</f>
        <v>-61000</v>
      </c>
      <c r="T109" s="49"/>
    </row>
    <row r="110" spans="1:20" ht="13.5" customHeight="1">
      <c r="A110">
        <f>ROW()</f>
        <v>110</v>
      </c>
      <c r="B110" s="9"/>
      <c r="C110" s="16"/>
      <c r="D110" s="16"/>
      <c r="E110" s="17"/>
      <c r="F110" s="16"/>
      <c r="G110" s="16"/>
      <c r="H110" s="16"/>
      <c r="I110" s="16"/>
      <c r="J110" s="16"/>
      <c r="K110" s="16"/>
      <c r="L110" s="16"/>
      <c r="N110" s="12"/>
      <c r="O110" s="12"/>
      <c r="P110" s="12"/>
      <c r="Q110" s="12"/>
      <c r="T110" s="49"/>
    </row>
    <row r="111" spans="1:20" ht="13.5" customHeight="1">
      <c r="A111">
        <f>ROW()</f>
        <v>111</v>
      </c>
      <c r="B111" s="9"/>
      <c r="C111" s="18" t="s">
        <v>102</v>
      </c>
      <c r="D111" s="18"/>
      <c r="E111" s="19"/>
      <c r="F111" s="18"/>
      <c r="G111" s="18"/>
      <c r="H111" s="18"/>
      <c r="I111" s="18"/>
      <c r="J111" s="18"/>
      <c r="K111" s="18"/>
      <c r="L111" s="18"/>
      <c r="N111" s="18"/>
      <c r="O111" s="18"/>
      <c r="P111" s="18"/>
      <c r="Q111" s="18"/>
      <c r="T111" s="49"/>
    </row>
    <row r="112" spans="1:20" ht="13.5" customHeight="1">
      <c r="A112">
        <f>ROW()</f>
        <v>112</v>
      </c>
      <c r="B112" s="9"/>
      <c r="C112" s="16" t="s">
        <v>103</v>
      </c>
      <c r="D112" s="16"/>
      <c r="E112" s="17">
        <v>-3462000</v>
      </c>
      <c r="F112" s="22">
        <v>-3212000</v>
      </c>
      <c r="G112" s="22">
        <v>-3008000</v>
      </c>
      <c r="H112" s="22">
        <v>-2882000</v>
      </c>
      <c r="I112" s="22">
        <v>-2968000</v>
      </c>
      <c r="J112" s="22">
        <v>-3466000</v>
      </c>
      <c r="K112" s="22">
        <v>-3252000</v>
      </c>
      <c r="L112" s="22">
        <v>-2990000</v>
      </c>
      <c r="N112" s="66">
        <f>+'Yahoo Fin Input'!K126</f>
        <v>6000</v>
      </c>
      <c r="O112" s="66">
        <f>+'Yahoo Fin Input'!L126</f>
        <v>0</v>
      </c>
      <c r="P112" s="66">
        <f>+'Yahoo Fin Input'!M126</f>
        <v>10000</v>
      </c>
      <c r="Q112" s="66">
        <f>+'Yahoo Fin Input'!N126</f>
        <v>111000</v>
      </c>
      <c r="T112" s="49"/>
    </row>
    <row r="113" spans="1:20" ht="13.5" customHeight="1">
      <c r="A113">
        <f>ROW()</f>
        <v>113</v>
      </c>
      <c r="B113" s="9"/>
      <c r="C113" s="16" t="s">
        <v>104</v>
      </c>
      <c r="D113" s="16"/>
      <c r="E113" s="17">
        <v>-2973000</v>
      </c>
      <c r="F113" s="22">
        <v>-3129000</v>
      </c>
      <c r="G113" s="22">
        <v>-3366000</v>
      </c>
      <c r="H113" s="22">
        <v>-2450000</v>
      </c>
      <c r="I113" s="22">
        <v>-1793000</v>
      </c>
      <c r="J113" s="22">
        <v>-22580000</v>
      </c>
      <c r="K113" s="22">
        <v>-1342000</v>
      </c>
      <c r="L113" s="22">
        <v>-3923000</v>
      </c>
      <c r="N113" s="66">
        <f>+'Yahoo Fin Input'!K127</f>
        <v>-192000</v>
      </c>
      <c r="O113" s="66">
        <f>+'Yahoo Fin Input'!L127</f>
        <v>630000</v>
      </c>
      <c r="P113" s="66">
        <f>+'Yahoo Fin Input'!M127</f>
        <v>279000</v>
      </c>
      <c r="Q113" s="66">
        <f>+'Yahoo Fin Input'!N127</f>
        <v>201000</v>
      </c>
      <c r="T113" s="49"/>
    </row>
    <row r="114" spans="1:20" ht="13.5" customHeight="1">
      <c r="A114">
        <f>ROW()</f>
        <v>114</v>
      </c>
      <c r="B114" s="9"/>
      <c r="C114" s="16" t="s">
        <v>105</v>
      </c>
      <c r="D114" s="16"/>
      <c r="E114" s="17">
        <f t="shared" ref="E114:E115" si="11">SUM(N114:Q114)</f>
        <v>-235000</v>
      </c>
      <c r="F114" s="22">
        <f>+'Yahoo Fin Input'!D128</f>
        <v>-4912000</v>
      </c>
      <c r="G114" s="22">
        <f>+'Yahoo Fin Input'!E128</f>
        <v>-1377000</v>
      </c>
      <c r="H114" s="22">
        <f>+'Yahoo Fin Input'!F128</f>
        <v>-185000</v>
      </c>
      <c r="I114" s="22">
        <v>-64000</v>
      </c>
      <c r="J114" s="22">
        <v>-1057000</v>
      </c>
      <c r="K114" s="22">
        <v>412000</v>
      </c>
      <c r="L114" s="22">
        <v>942000</v>
      </c>
      <c r="N114" s="66">
        <f>+'Yahoo Fin Input'!K128</f>
        <v>-128000</v>
      </c>
      <c r="O114" s="66">
        <f>+'Yahoo Fin Input'!L128</f>
        <v>-46000</v>
      </c>
      <c r="P114" s="66">
        <f>+'Yahoo Fin Input'!M128</f>
        <v>-32000</v>
      </c>
      <c r="Q114" s="66">
        <f>+'Yahoo Fin Input'!N128</f>
        <v>-29000</v>
      </c>
      <c r="T114" s="49"/>
    </row>
    <row r="115" spans="1:20" ht="13.5" customHeight="1">
      <c r="A115">
        <f>ROW()</f>
        <v>115</v>
      </c>
      <c r="B115" s="9"/>
      <c r="C115" s="16" t="s">
        <v>106</v>
      </c>
      <c r="D115" s="259"/>
      <c r="E115" s="40">
        <f t="shared" si="11"/>
        <v>0</v>
      </c>
      <c r="F115" s="24">
        <f>+'Yahoo Fin Input'!D129</f>
        <v>30000</v>
      </c>
      <c r="G115" s="24">
        <f>+'Yahoo Fin Input'!E129</f>
        <v>-59000</v>
      </c>
      <c r="H115" s="24">
        <f>+'Yahoo Fin Input'!F129</f>
        <v>43000</v>
      </c>
      <c r="I115" s="24">
        <v>-38000</v>
      </c>
      <c r="J115" s="24">
        <v>227000</v>
      </c>
      <c r="K115" s="24">
        <v>-10000</v>
      </c>
      <c r="L115" s="24">
        <v>33000</v>
      </c>
      <c r="N115" s="24">
        <f>+'Yahoo Fin Input'!K129</f>
        <v>1000</v>
      </c>
      <c r="O115" s="24">
        <f>+'Yahoo Fin Input'!L129</f>
        <v>22000</v>
      </c>
      <c r="P115" s="24">
        <f>+'Yahoo Fin Input'!M129</f>
        <v>-5000</v>
      </c>
      <c r="Q115" s="24">
        <f>+'Yahoo Fin Input'!N129</f>
        <v>-18000</v>
      </c>
      <c r="T115" s="49"/>
    </row>
    <row r="116" spans="1:20" ht="13.5" customHeight="1">
      <c r="A116">
        <f>ROW()</f>
        <v>116</v>
      </c>
      <c r="B116" s="9"/>
      <c r="C116" s="18" t="s">
        <v>146</v>
      </c>
      <c r="D116" s="18"/>
      <c r="E116" s="41">
        <v>-6663000</v>
      </c>
      <c r="F116" s="42">
        <v>-7196000</v>
      </c>
      <c r="G116" s="42">
        <v>-6798000</v>
      </c>
      <c r="H116" s="42">
        <v>-5707000</v>
      </c>
      <c r="I116" s="42">
        <v>-6386000</v>
      </c>
      <c r="J116" s="42">
        <v>-31487000</v>
      </c>
      <c r="K116" s="42">
        <v>5571000</v>
      </c>
      <c r="L116" s="42">
        <v>-5522000</v>
      </c>
      <c r="N116" s="42">
        <f>SUM(N112:N115)</f>
        <v>-313000</v>
      </c>
      <c r="O116" s="42">
        <f>SUM(O112:O115)</f>
        <v>606000</v>
      </c>
      <c r="P116" s="42">
        <f>SUM(P112:P115)</f>
        <v>252000</v>
      </c>
      <c r="Q116" s="42">
        <f>SUM(Q112:Q115)</f>
        <v>265000</v>
      </c>
      <c r="T116" s="49"/>
    </row>
    <row r="117" spans="1:20" ht="13.5" customHeight="1">
      <c r="A117">
        <f>ROW()</f>
        <v>117</v>
      </c>
      <c r="B117" s="9"/>
      <c r="C117" s="16" t="s">
        <v>109</v>
      </c>
      <c r="D117" s="16"/>
      <c r="E117" s="374">
        <v>30000</v>
      </c>
      <c r="F117" s="374">
        <v>-113000</v>
      </c>
      <c r="G117" s="374">
        <v>27000</v>
      </c>
      <c r="H117" s="374">
        <v>24000</v>
      </c>
      <c r="I117" s="374">
        <v>-32000</v>
      </c>
      <c r="J117" s="374">
        <v>-41000</v>
      </c>
      <c r="K117" s="374">
        <v>48000</v>
      </c>
      <c r="L117" s="374">
        <v>-4000</v>
      </c>
      <c r="N117" s="22">
        <f>+'Yahoo Fin Input'!K132</f>
        <v>-618000</v>
      </c>
      <c r="O117" s="22">
        <f>+'Yahoo Fin Input'!L132</f>
        <v>1737000</v>
      </c>
      <c r="P117" s="22">
        <f>+'Yahoo Fin Input'!M132</f>
        <v>-224000</v>
      </c>
      <c r="Q117" s="22">
        <f>+'Yahoo Fin Input'!N132</f>
        <v>-133000</v>
      </c>
      <c r="T117" s="49"/>
    </row>
    <row r="118" spans="1:20" ht="13.5" customHeight="1">
      <c r="A118">
        <f>ROW()</f>
        <v>118</v>
      </c>
      <c r="B118" s="9"/>
      <c r="C118" s="18" t="s">
        <v>110</v>
      </c>
      <c r="D118" s="18"/>
      <c r="E118" s="374">
        <v>5351000</v>
      </c>
      <c r="F118" s="374">
        <v>-4343000</v>
      </c>
      <c r="G118" s="374">
        <v>409000</v>
      </c>
      <c r="H118" s="374">
        <v>-5132000</v>
      </c>
      <c r="I118" s="374">
        <v>62000</v>
      </c>
      <c r="J118" s="374">
        <v>-23252000</v>
      </c>
      <c r="K118" s="374">
        <v>29083000</v>
      </c>
      <c r="L118" s="374">
        <v>-1614000</v>
      </c>
      <c r="N118" s="44">
        <f>+N117+N116+N109+N103</f>
        <v>2734000</v>
      </c>
      <c r="O118" s="44">
        <f>+O117+O116+O109+O103</f>
        <v>4613000</v>
      </c>
      <c r="P118" s="44">
        <f>+P117+P116+P109+P103</f>
        <v>1080000</v>
      </c>
      <c r="Q118" s="44">
        <f>+Q117+Q116+Q109+Q103</f>
        <v>2385000</v>
      </c>
      <c r="T118" s="49"/>
    </row>
    <row r="119" spans="1:20" ht="13.5" customHeight="1">
      <c r="A119">
        <f>ROW()</f>
        <v>119</v>
      </c>
      <c r="B119" s="9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T119" s="49"/>
    </row>
    <row r="120" spans="1:20" ht="13.5" customHeight="1">
      <c r="A120">
        <f>ROW()</f>
        <v>120</v>
      </c>
      <c r="B120" s="9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T120" s="49"/>
    </row>
    <row r="121" spans="1:20" ht="22.5" customHeight="1">
      <c r="A121">
        <f>ROW()</f>
        <v>121</v>
      </c>
      <c r="B121" s="9"/>
      <c r="C121" s="1" t="str">
        <f>+C1</f>
        <v>QUALCOMM Incorporated (QCOM)</v>
      </c>
      <c r="D121" s="16"/>
      <c r="E121" s="16"/>
      <c r="F121" s="16"/>
      <c r="G121" s="16"/>
      <c r="H121" s="16"/>
      <c r="I121" s="16"/>
      <c r="J121" s="16"/>
      <c r="K121" s="16"/>
      <c r="L121" s="16"/>
      <c r="T121" s="49"/>
    </row>
    <row r="122" spans="1:20" ht="13.5" customHeight="1">
      <c r="A122">
        <f>ROW()</f>
        <v>122</v>
      </c>
      <c r="B122" s="9"/>
      <c r="C122" s="3" t="s">
        <v>147</v>
      </c>
      <c r="D122" s="16"/>
      <c r="E122" s="16"/>
      <c r="F122" s="16"/>
      <c r="G122" s="16"/>
      <c r="H122" s="16"/>
      <c r="I122" s="16"/>
      <c r="J122" s="16"/>
      <c r="K122" s="16"/>
      <c r="L122" s="16"/>
      <c r="T122" s="49"/>
    </row>
    <row r="123" spans="1:20" ht="13.5" customHeight="1" thickBot="1">
      <c r="A123">
        <f>ROW()</f>
        <v>123</v>
      </c>
      <c r="B123" s="9"/>
      <c r="C123" s="3"/>
      <c r="D123" s="16"/>
      <c r="E123" s="16"/>
      <c r="F123" s="16"/>
      <c r="G123" s="16"/>
      <c r="H123" s="16"/>
      <c r="I123" s="16"/>
      <c r="J123" s="16"/>
      <c r="K123" s="16"/>
      <c r="L123" s="16"/>
      <c r="T123" s="49"/>
    </row>
    <row r="124" spans="1:20" ht="13.5" customHeight="1" thickBot="1">
      <c r="A124">
        <f>ROW()</f>
        <v>124</v>
      </c>
      <c r="B124" s="9"/>
      <c r="C124" s="27" t="s">
        <v>117</v>
      </c>
      <c r="D124" s="28"/>
      <c r="E124" s="78">
        <f>+E94</f>
        <v>45199</v>
      </c>
      <c r="F124" s="30">
        <f t="shared" ref="F124:Q124" si="12">+F94</f>
        <v>44834</v>
      </c>
      <c r="G124" s="30">
        <f t="shared" si="12"/>
        <v>44469</v>
      </c>
      <c r="H124" s="30">
        <f t="shared" si="12"/>
        <v>44104</v>
      </c>
      <c r="I124" s="30">
        <f>+I94</f>
        <v>43738</v>
      </c>
      <c r="J124" s="30">
        <f>+J94</f>
        <v>43373</v>
      </c>
      <c r="K124" s="30">
        <f>+K94</f>
        <v>43008</v>
      </c>
      <c r="L124" s="30">
        <f>+L94</f>
        <v>42643</v>
      </c>
      <c r="N124" s="48">
        <f t="shared" si="12"/>
        <v>45199</v>
      </c>
      <c r="O124" s="30">
        <f t="shared" si="12"/>
        <v>45107</v>
      </c>
      <c r="P124" s="30">
        <f t="shared" si="12"/>
        <v>45016</v>
      </c>
      <c r="Q124" s="31">
        <f t="shared" si="12"/>
        <v>44926</v>
      </c>
      <c r="R124" s="49"/>
      <c r="S124" s="49"/>
      <c r="T124" s="49"/>
    </row>
    <row r="125" spans="1:20" ht="13.5" customHeight="1">
      <c r="A125">
        <f>ROW()</f>
        <v>125</v>
      </c>
      <c r="B125" s="9"/>
      <c r="E125" s="50"/>
      <c r="O125" s="49"/>
      <c r="P125" s="49"/>
      <c r="Q125" s="49"/>
      <c r="R125" s="49"/>
      <c r="S125" s="49"/>
      <c r="T125" s="49"/>
    </row>
    <row r="126" spans="1:20" ht="13.5" customHeight="1">
      <c r="A126">
        <f>ROW()</f>
        <v>126</v>
      </c>
      <c r="B126" s="9"/>
      <c r="C126" s="3" t="s">
        <v>148</v>
      </c>
      <c r="D126" s="16"/>
      <c r="E126" s="19">
        <f>+E18+E97+E14</f>
        <v>9594000</v>
      </c>
      <c r="F126" s="269">
        <f>+F18+F97</f>
        <v>17622000</v>
      </c>
      <c r="G126" s="269">
        <f t="shared" ref="G126:L126" si="13">+G18+G97</f>
        <v>11371000</v>
      </c>
      <c r="H126" s="269">
        <f t="shared" si="13"/>
        <v>7648000</v>
      </c>
      <c r="I126" s="269">
        <f>+I18+I97</f>
        <v>9068000</v>
      </c>
      <c r="J126" s="269">
        <f>+J18+J97</f>
        <v>2182000</v>
      </c>
      <c r="K126" s="269">
        <f t="shared" si="13"/>
        <v>4075000</v>
      </c>
      <c r="L126" s="269">
        <f t="shared" si="13"/>
        <v>1434495</v>
      </c>
      <c r="N126" s="18">
        <f>+N18+N97+N14</f>
        <v>1873000</v>
      </c>
      <c r="O126" s="18">
        <f>+O18+O97+O14</f>
        <v>2298000</v>
      </c>
      <c r="P126" s="18">
        <f>+P18+P97+P14</f>
        <v>2560000</v>
      </c>
      <c r="Q126" s="18">
        <f>+Q18+Q97+Q14</f>
        <v>2863000</v>
      </c>
      <c r="R126" s="49"/>
      <c r="S126" s="49"/>
      <c r="T126" s="49"/>
    </row>
    <row r="127" spans="1:20" ht="13.5" customHeight="1">
      <c r="A127">
        <f>ROW()</f>
        <v>127</v>
      </c>
      <c r="B127" s="9"/>
      <c r="C127" s="3"/>
      <c r="D127" s="16"/>
      <c r="E127" s="17"/>
      <c r="F127" s="16"/>
      <c r="G127" s="16"/>
      <c r="H127" s="16"/>
      <c r="I127" s="16"/>
      <c r="J127" s="16"/>
      <c r="K127" s="16"/>
      <c r="L127" s="16"/>
      <c r="N127" s="16"/>
      <c r="O127" s="16"/>
      <c r="P127" s="16"/>
      <c r="Q127" s="49"/>
      <c r="R127" s="49"/>
      <c r="S127" s="49"/>
      <c r="T127" s="49"/>
    </row>
    <row r="128" spans="1:20" ht="13.5" customHeight="1">
      <c r="A128">
        <f>ROW()</f>
        <v>128</v>
      </c>
      <c r="B128" s="9"/>
      <c r="C128" s="3" t="s">
        <v>149</v>
      </c>
      <c r="D128" s="9"/>
      <c r="E128" s="51"/>
      <c r="F128" s="9"/>
      <c r="G128" s="9"/>
      <c r="H128" s="9"/>
      <c r="I128" s="9"/>
      <c r="J128" s="9"/>
      <c r="K128" s="9"/>
      <c r="L128" s="9"/>
      <c r="N128" s="9"/>
      <c r="O128" s="9"/>
      <c r="P128" s="9"/>
      <c r="Q128" s="49"/>
      <c r="R128" s="49"/>
      <c r="S128" s="49"/>
      <c r="T128" s="49"/>
    </row>
    <row r="129" spans="1:20" ht="13.5" customHeight="1">
      <c r="A129">
        <f>ROW()</f>
        <v>129</v>
      </c>
      <c r="B129" s="9"/>
      <c r="C129" s="9" t="s">
        <v>150</v>
      </c>
      <c r="D129" s="9"/>
      <c r="E129" s="52">
        <f t="shared" ref="E129:L129" si="14">+E53/E69</f>
        <v>2.2977773161611963</v>
      </c>
      <c r="F129" s="53">
        <f t="shared" si="14"/>
        <v>1.6847294791842238</v>
      </c>
      <c r="G129" s="53">
        <f t="shared" si="14"/>
        <v>1.6797757509831812</v>
      </c>
      <c r="H129" s="53">
        <f t="shared" si="14"/>
        <v>2.1354935424354244</v>
      </c>
      <c r="I129" s="53">
        <f>+I53/I69</f>
        <v>1.8763290430889759</v>
      </c>
      <c r="J129" s="53">
        <f>+J53/J69</f>
        <v>1.5471698113207548</v>
      </c>
      <c r="K129" s="53">
        <f t="shared" si="14"/>
        <v>3.9916567342073899</v>
      </c>
      <c r="L129" s="53">
        <f t="shared" si="14"/>
        <v>3.143345643550814</v>
      </c>
      <c r="N129" s="53"/>
      <c r="O129" s="53"/>
      <c r="P129" s="53"/>
      <c r="Q129" s="49"/>
      <c r="R129" s="49"/>
      <c r="S129" s="49"/>
      <c r="T129" s="49"/>
    </row>
    <row r="130" spans="1:20" ht="13.5" customHeight="1">
      <c r="A130">
        <f>ROW()</f>
        <v>130</v>
      </c>
      <c r="B130" s="9"/>
      <c r="C130" s="9" t="s">
        <v>151</v>
      </c>
      <c r="D130" s="9"/>
      <c r="E130" s="52">
        <f>+E7/AVERAGE(E50:G50)</f>
        <v>8.6626360338573161</v>
      </c>
      <c r="F130" s="53">
        <f>+F7/AVERAGE(F50:G50)</f>
        <v>9.5857731511602697</v>
      </c>
      <c r="G130" s="53">
        <f>+G7/AVERAGE(G50:H50)</f>
        <v>8.8541281983645472</v>
      </c>
      <c r="H130" s="53">
        <f>+H7/AVERAGE(H50:H50)</f>
        <v>5.8783412440669496</v>
      </c>
      <c r="I130" s="53">
        <f>+I7/AVERAGE(I50:I50)</f>
        <v>9.8231485228652371</v>
      </c>
      <c r="J130" s="53">
        <f>+J7/AVERAGE(J50:J50)</f>
        <v>7.786157024793388</v>
      </c>
      <c r="K130" s="53">
        <f>+K7/AVERAGE(K50:K50)</f>
        <v>6.233501118568233</v>
      </c>
      <c r="L130" s="53">
        <f>+L7/AVERAGE(L50:L50)</f>
        <v>10.614691302388463</v>
      </c>
      <c r="N130" s="53"/>
      <c r="O130" s="53"/>
      <c r="P130" s="53"/>
      <c r="Q130" s="49"/>
      <c r="R130" s="49"/>
      <c r="S130" s="49"/>
      <c r="T130" s="49"/>
    </row>
    <row r="131" spans="1:20" ht="13.5" customHeight="1">
      <c r="A131">
        <f>ROW()</f>
        <v>131</v>
      </c>
      <c r="B131" s="9"/>
      <c r="C131" s="9"/>
      <c r="D131" s="9"/>
      <c r="E131" s="54"/>
      <c r="F131" s="55"/>
      <c r="G131" s="55"/>
      <c r="H131" s="9"/>
      <c r="I131" s="9"/>
      <c r="J131" s="9"/>
      <c r="K131" s="9"/>
      <c r="L131" s="9"/>
      <c r="N131" s="9"/>
      <c r="O131" s="9"/>
      <c r="P131" s="9"/>
      <c r="Q131" s="49"/>
      <c r="R131" s="49"/>
      <c r="S131" s="49"/>
      <c r="T131" s="49"/>
    </row>
    <row r="132" spans="1:20" ht="13.5" customHeight="1">
      <c r="A132">
        <f>ROW()</f>
        <v>132</v>
      </c>
      <c r="B132" s="9"/>
      <c r="C132" s="3" t="s">
        <v>152</v>
      </c>
      <c r="D132" s="9"/>
      <c r="E132" s="37"/>
      <c r="F132" s="36"/>
      <c r="G132" s="36"/>
      <c r="H132" s="9"/>
      <c r="I132" s="9"/>
      <c r="J132" s="9"/>
      <c r="K132" s="9"/>
      <c r="L132" s="9"/>
      <c r="N132" s="9"/>
      <c r="O132" s="9"/>
      <c r="P132" s="9"/>
      <c r="Q132" s="49"/>
      <c r="R132" s="49"/>
      <c r="S132" s="49"/>
      <c r="T132" s="49"/>
    </row>
    <row r="133" spans="1:20" ht="13.5" customHeight="1">
      <c r="A133">
        <f>ROW()</f>
        <v>133</v>
      </c>
      <c r="B133" s="9"/>
      <c r="C133" s="9" t="s">
        <v>153</v>
      </c>
      <c r="D133" s="9"/>
      <c r="E133" s="54">
        <f t="shared" ref="E133:L133" si="15">+(E67+E70)/(E67+E70+E85)</f>
        <v>0.41639849644392762</v>
      </c>
      <c r="F133" s="55">
        <f t="shared" si="15"/>
        <v>0.46221824152858637</v>
      </c>
      <c r="G133" s="55">
        <f t="shared" si="15"/>
        <v>0.61276512940260752</v>
      </c>
      <c r="H133" s="55">
        <f t="shared" si="15"/>
        <v>0.72127688850158234</v>
      </c>
      <c r="I133" s="55">
        <f>+(I67+I70)/(I67+I70+I85)</f>
        <v>0.76446598215142503</v>
      </c>
      <c r="J133" s="55">
        <f>+(J67+J70)/(J67+J70+J85)</f>
        <v>0.94635217944271011</v>
      </c>
      <c r="K133" s="55">
        <f t="shared" si="15"/>
        <v>0.41590835692167405</v>
      </c>
      <c r="L133" s="55">
        <f t="shared" si="15"/>
        <v>0.27005857356150226</v>
      </c>
      <c r="N133" s="55"/>
      <c r="O133" s="55"/>
      <c r="P133" s="55"/>
      <c r="Q133" s="55"/>
      <c r="R133" s="49"/>
      <c r="S133" s="49"/>
      <c r="T133" s="49"/>
    </row>
    <row r="134" spans="1:20" ht="13.5" customHeight="1">
      <c r="A134">
        <f>ROW()</f>
        <v>134</v>
      </c>
      <c r="B134" s="9"/>
      <c r="C134" s="9" t="s">
        <v>154</v>
      </c>
      <c r="D134" s="9"/>
      <c r="E134" s="52">
        <f t="shared" ref="E134:L134" si="16">+E126/E21</f>
        <v>13.82420749279539</v>
      </c>
      <c r="F134" s="53">
        <f t="shared" si="16"/>
        <v>-44.165413533834588</v>
      </c>
      <c r="G134" s="53">
        <f t="shared" si="16"/>
        <v>-20.341681574239715</v>
      </c>
      <c r="H134" s="53">
        <f t="shared" si="16"/>
        <v>12.704318936877076</v>
      </c>
      <c r="I134" s="53" t="e">
        <f>+I126/I21</f>
        <v>#DIV/0!</v>
      </c>
      <c r="J134" s="53" t="e">
        <f t="shared" si="16"/>
        <v>#DIV/0!</v>
      </c>
      <c r="K134" s="53" t="e">
        <f t="shared" si="16"/>
        <v>#DIV/0!</v>
      </c>
      <c r="L134" s="53" t="e">
        <f t="shared" si="16"/>
        <v>#DIV/0!</v>
      </c>
      <c r="N134" s="53">
        <f>+N126/N21</f>
        <v>33.446428571428569</v>
      </c>
      <c r="O134" s="53">
        <f>+O126/O21</f>
        <v>37.064516129032256</v>
      </c>
      <c r="P134" s="53">
        <f>+P126/P21</f>
        <v>14.30167597765363</v>
      </c>
      <c r="Q134" s="53">
        <f>+Q126/Q21</f>
        <v>57.26</v>
      </c>
      <c r="R134" s="49"/>
      <c r="S134" s="49"/>
      <c r="T134" s="49"/>
    </row>
    <row r="135" spans="1:20" ht="13.5" customHeight="1">
      <c r="A135">
        <f>ROW()</f>
        <v>135</v>
      </c>
      <c r="B135" s="9"/>
      <c r="C135" s="9" t="s">
        <v>155</v>
      </c>
      <c r="D135" s="9"/>
      <c r="E135" s="52">
        <f t="shared" ref="E135:L135" si="17">+(E67+E70)/E126</f>
        <v>1.6049614342297269</v>
      </c>
      <c r="F135" s="53">
        <f t="shared" si="17"/>
        <v>0.87856088979684488</v>
      </c>
      <c r="G135" s="53">
        <f t="shared" si="17"/>
        <v>1.3846627385454227</v>
      </c>
      <c r="H135" s="53">
        <f t="shared" si="17"/>
        <v>2.056223849372385</v>
      </c>
      <c r="I135" s="53">
        <f>+(I67+I70)/I126</f>
        <v>1.7570577856197618</v>
      </c>
      <c r="J135" s="53">
        <f>+(J67+J70)/J126</f>
        <v>7.5022914757103578</v>
      </c>
      <c r="K135" s="53">
        <f t="shared" si="17"/>
        <v>5.3725153374233132</v>
      </c>
      <c r="L135" s="53">
        <f t="shared" si="17"/>
        <v>8.195915635816089</v>
      </c>
      <c r="N135" s="53"/>
      <c r="O135" s="53"/>
      <c r="P135" s="53"/>
      <c r="Q135" s="53"/>
      <c r="R135" s="49"/>
      <c r="S135" s="49"/>
      <c r="T135" s="49"/>
    </row>
    <row r="136" spans="1:20" ht="13.5" customHeight="1">
      <c r="A136">
        <f>ROW()</f>
        <v>136</v>
      </c>
      <c r="B136" s="9"/>
      <c r="C136" s="9"/>
      <c r="D136" s="9"/>
      <c r="E136" s="37"/>
      <c r="F136" s="36"/>
      <c r="G136" s="36"/>
      <c r="H136" s="9"/>
      <c r="I136" s="9"/>
      <c r="J136" s="9"/>
      <c r="K136" s="9"/>
      <c r="L136" s="9"/>
      <c r="N136" s="9"/>
      <c r="O136" s="9"/>
      <c r="P136" s="9"/>
      <c r="Q136" s="49"/>
      <c r="R136" s="49"/>
      <c r="S136" s="49"/>
      <c r="T136" s="49"/>
    </row>
    <row r="137" spans="1:20" ht="13.5" customHeight="1">
      <c r="A137">
        <f>ROW()</f>
        <v>137</v>
      </c>
      <c r="B137" s="9"/>
      <c r="C137" s="3" t="s">
        <v>156</v>
      </c>
      <c r="D137" s="386"/>
      <c r="E137" s="37"/>
      <c r="F137" s="36"/>
      <c r="G137" s="36"/>
      <c r="H137" s="9"/>
      <c r="I137" s="9"/>
      <c r="J137" s="9"/>
      <c r="K137" s="9"/>
      <c r="L137" s="9"/>
      <c r="N137" s="9"/>
      <c r="O137" s="9"/>
      <c r="P137" s="9"/>
      <c r="Q137" s="49"/>
      <c r="R137" s="49"/>
      <c r="S137" s="56"/>
      <c r="T137" s="56"/>
    </row>
    <row r="138" spans="1:20" ht="13.5" customHeight="1">
      <c r="A138">
        <f>ROW()</f>
        <v>138</v>
      </c>
      <c r="B138" s="9"/>
      <c r="C138" s="9" t="s">
        <v>157</v>
      </c>
      <c r="D138" s="9"/>
      <c r="E138" s="37"/>
      <c r="F138" s="36"/>
      <c r="G138" s="36"/>
      <c r="H138" s="9"/>
      <c r="I138" s="9"/>
      <c r="J138" s="9"/>
      <c r="K138" s="9"/>
      <c r="L138" s="9"/>
      <c r="N138" s="9"/>
      <c r="O138" s="9"/>
      <c r="P138" s="9"/>
      <c r="Q138" s="49"/>
      <c r="R138" s="49"/>
      <c r="S138" s="56"/>
      <c r="T138" s="56"/>
    </row>
    <row r="139" spans="1:20" ht="13.5" customHeight="1">
      <c r="A139">
        <f>ROW()</f>
        <v>139</v>
      </c>
      <c r="B139" s="9"/>
      <c r="C139" s="9" t="s">
        <v>158</v>
      </c>
      <c r="D139" s="9"/>
      <c r="E139" s="37"/>
      <c r="F139" s="36"/>
      <c r="G139" s="36"/>
      <c r="H139" s="9"/>
      <c r="I139" s="9"/>
      <c r="J139" s="9"/>
      <c r="K139" s="9"/>
      <c r="L139" s="9"/>
      <c r="N139" s="9"/>
      <c r="O139" s="9"/>
      <c r="P139" s="9"/>
      <c r="Q139" s="49"/>
      <c r="R139" s="49"/>
      <c r="S139" s="56"/>
      <c r="T139" s="56"/>
    </row>
    <row r="140" spans="1:20" ht="13.5" customHeight="1">
      <c r="A140">
        <f>ROW()</f>
        <v>140</v>
      </c>
      <c r="B140" s="9"/>
      <c r="C140" s="9" t="s">
        <v>159</v>
      </c>
      <c r="D140" s="9"/>
      <c r="E140" s="37"/>
      <c r="F140" s="36"/>
      <c r="G140" s="36"/>
      <c r="H140" s="9"/>
      <c r="I140" s="9"/>
      <c r="J140" s="9"/>
      <c r="K140" s="9"/>
      <c r="L140" s="9"/>
      <c r="N140" s="9"/>
      <c r="O140" s="9"/>
      <c r="P140" s="9"/>
      <c r="Q140" s="49"/>
      <c r="R140" s="49"/>
      <c r="S140" s="56"/>
      <c r="T140" s="56"/>
    </row>
    <row r="141" spans="1:20" ht="13.5" customHeight="1">
      <c r="A141">
        <f>ROW()</f>
        <v>141</v>
      </c>
      <c r="B141" s="9"/>
      <c r="C141" s="9" t="s">
        <v>160</v>
      </c>
      <c r="D141" s="9"/>
      <c r="E141" s="37"/>
      <c r="F141" s="36"/>
      <c r="G141" s="36"/>
      <c r="H141" s="9"/>
      <c r="I141" s="9"/>
      <c r="J141" s="9"/>
      <c r="K141" s="9"/>
      <c r="L141" s="9"/>
      <c r="N141" s="9"/>
      <c r="O141" s="9"/>
      <c r="P141" s="9"/>
      <c r="Q141" s="49"/>
      <c r="R141" s="49"/>
      <c r="S141" s="56"/>
      <c r="T141" s="56"/>
    </row>
    <row r="142" spans="1:20" ht="13.5" customHeight="1">
      <c r="A142">
        <f>ROW()</f>
        <v>142</v>
      </c>
      <c r="B142" s="9"/>
      <c r="C142" s="9"/>
      <c r="D142" s="9"/>
      <c r="E142" s="37"/>
      <c r="F142" s="36"/>
      <c r="G142" s="36"/>
      <c r="H142" s="9"/>
      <c r="I142" s="9"/>
      <c r="J142" s="9"/>
      <c r="K142" s="9"/>
      <c r="L142" s="9"/>
      <c r="N142" s="9"/>
      <c r="O142" s="9"/>
      <c r="P142" s="9"/>
      <c r="Q142" s="49"/>
      <c r="R142" s="49"/>
      <c r="S142" s="56"/>
      <c r="T142" s="56"/>
    </row>
    <row r="143" spans="1:20" ht="13.5" customHeight="1">
      <c r="A143">
        <f>ROW()</f>
        <v>143</v>
      </c>
      <c r="B143" s="9"/>
      <c r="C143" s="3" t="s">
        <v>161</v>
      </c>
      <c r="D143" s="9"/>
      <c r="E143" s="37"/>
      <c r="F143" s="36"/>
      <c r="G143" s="36"/>
      <c r="H143" s="9"/>
      <c r="I143" s="9"/>
      <c r="J143" s="9"/>
      <c r="K143" s="9"/>
      <c r="L143" s="9"/>
      <c r="N143" s="9"/>
      <c r="O143" s="9"/>
      <c r="P143" s="9"/>
      <c r="Q143" s="49"/>
      <c r="R143" s="49"/>
      <c r="S143" s="56"/>
      <c r="T143" s="56"/>
    </row>
    <row r="144" spans="1:20" ht="13.5" customHeight="1">
      <c r="A144">
        <f>ROW()</f>
        <v>144</v>
      </c>
      <c r="B144" s="9"/>
      <c r="C144" s="9" t="s">
        <v>162</v>
      </c>
      <c r="D144" s="9"/>
      <c r="E144" s="54">
        <f t="shared" ref="E144:L144" si="18">+E9/E7</f>
        <v>0.55697934115019543</v>
      </c>
      <c r="F144" s="55">
        <f t="shared" si="18"/>
        <v>0.5783936651583711</v>
      </c>
      <c r="G144" s="55">
        <f t="shared" si="18"/>
        <v>0.57510576178275641</v>
      </c>
      <c r="H144" s="55">
        <f t="shared" si="18"/>
        <v>0.606689048489227</v>
      </c>
      <c r="I144" s="55">
        <f>+I10/I7</f>
        <v>0</v>
      </c>
      <c r="J144" s="55">
        <f>+J9/J7</f>
        <v>0.5469461766396887</v>
      </c>
      <c r="K144" s="55">
        <f t="shared" si="18"/>
        <v>0.56071957292180696</v>
      </c>
      <c r="L144" s="55">
        <f t="shared" si="18"/>
        <v>0.58610002547338036</v>
      </c>
      <c r="N144" s="55">
        <f>+N9/N7</f>
        <v>0.55045765264743363</v>
      </c>
      <c r="O144" s="55">
        <f>+O9/O7</f>
        <v>0.55129570465033728</v>
      </c>
      <c r="P144" s="55">
        <f>+P9/P7</f>
        <v>0.55223719676549865</v>
      </c>
      <c r="Q144" s="55">
        <f>+Q9/Q7</f>
        <v>0.57265137905526786</v>
      </c>
      <c r="R144" s="49"/>
      <c r="S144" s="56"/>
      <c r="T144" s="56"/>
    </row>
    <row r="145" spans="1:20" ht="13.5" customHeight="1">
      <c r="A145">
        <f>ROW()</f>
        <v>145</v>
      </c>
      <c r="B145" s="9"/>
      <c r="C145" s="9" t="s">
        <v>163</v>
      </c>
      <c r="D145" s="9"/>
      <c r="E145" s="54">
        <f t="shared" ref="E145:L145" si="19">+E126/E7</f>
        <v>0.26783919597989952</v>
      </c>
      <c r="F145" s="55">
        <f t="shared" si="19"/>
        <v>0.39868778280542988</v>
      </c>
      <c r="G145" s="55">
        <f t="shared" si="19"/>
        <v>0.33876541738664123</v>
      </c>
      <c r="H145" s="55">
        <f t="shared" si="19"/>
        <v>0.32501806128086352</v>
      </c>
      <c r="I145" s="55">
        <f>+I126/I7</f>
        <v>0.37358381741029129</v>
      </c>
      <c r="J145" s="55">
        <f>+J126/J7</f>
        <v>9.6501702711069837E-2</v>
      </c>
      <c r="K145" s="55">
        <f t="shared" si="19"/>
        <v>0.1828092055089498</v>
      </c>
      <c r="L145" s="55">
        <f t="shared" si="19"/>
        <v>6.0902394497749854E-2</v>
      </c>
      <c r="N145" s="55">
        <f>+N126/N7</f>
        <v>0.21700845788437029</v>
      </c>
      <c r="O145" s="55">
        <f>+O126/O7</f>
        <v>0.2719204827831026</v>
      </c>
      <c r="P145" s="55">
        <f>+P126/P7</f>
        <v>0.27601078167115906</v>
      </c>
      <c r="Q145" s="55">
        <f>+Q126/Q7</f>
        <v>0.30254676106942829</v>
      </c>
      <c r="R145" s="49"/>
      <c r="S145" s="56"/>
      <c r="T145" s="56"/>
    </row>
    <row r="146" spans="1:20" ht="13.5" customHeight="1">
      <c r="A146">
        <f>ROW()</f>
        <v>146</v>
      </c>
      <c r="B146" s="9"/>
      <c r="C146" s="9" t="s">
        <v>164</v>
      </c>
      <c r="D146" s="9"/>
      <c r="E146" s="54">
        <f t="shared" ref="E146:L146" si="20">+E20/E7</f>
        <v>0.21689000558347293</v>
      </c>
      <c r="F146" s="55">
        <f t="shared" si="20"/>
        <v>0.34834841628959273</v>
      </c>
      <c r="G146" s="55">
        <f t="shared" si="20"/>
        <v>0.3227372936900435</v>
      </c>
      <c r="H146" s="55">
        <f t="shared" si="20"/>
        <v>0.2686243678551698</v>
      </c>
      <c r="I146" s="55">
        <f>+I20/I7</f>
        <v>0.30820252955959299</v>
      </c>
      <c r="J146" s="55">
        <f>+J20/J7</f>
        <v>1.7336694529211445E-2</v>
      </c>
      <c r="K146" s="55">
        <f t="shared" si="20"/>
        <v>0.13548068727289039</v>
      </c>
      <c r="L146" s="55">
        <f t="shared" si="20"/>
        <v>0.29009934618323852</v>
      </c>
      <c r="N146" s="55">
        <f>+N20/N7</f>
        <v>0.16348047734909049</v>
      </c>
      <c r="O146" s="55">
        <f>+O20/O7</f>
        <v>0.21524079990533665</v>
      </c>
      <c r="P146" s="55">
        <f>+P20/P7</f>
        <v>0.22361185983827495</v>
      </c>
      <c r="Q146" s="55">
        <f>+Q20/Q7</f>
        <v>0.26048821726725141</v>
      </c>
      <c r="R146" s="49"/>
      <c r="S146" s="56"/>
      <c r="T146" s="56"/>
    </row>
    <row r="147" spans="1:20" ht="13.5" customHeight="1">
      <c r="A147">
        <f>ROW()</f>
        <v>147</v>
      </c>
      <c r="B147" s="9"/>
      <c r="C147" s="9" t="s">
        <v>165</v>
      </c>
      <c r="D147" s="9"/>
      <c r="E147" s="54">
        <f>+E34/AVERAGE(E62:G62)</f>
        <v>0.14683354728284126</v>
      </c>
      <c r="F147" s="55">
        <f>+F34/AVERAGE(F62:G62)</f>
        <v>0.28900481451279586</v>
      </c>
      <c r="G147" s="55">
        <f>+G34/AVERAGE(G62:H62)</f>
        <v>0.2353905822942968</v>
      </c>
      <c r="H147" s="55">
        <f>+H34/AVERAGE(H62:J62)</f>
        <v>0.15408786387620799</v>
      </c>
      <c r="I147" s="55">
        <f>+I34/AVERAGE(I62:K62)</f>
        <v>0.10139633808026632</v>
      </c>
      <c r="J147" s="55">
        <f>+J34/AVERAGE(J62:K62)</f>
        <v>-0.10255033002448069</v>
      </c>
      <c r="K147" s="55">
        <f>+K34/AVERAGE(K62:L62)</f>
        <v>4.5439463206016814E-2</v>
      </c>
      <c r="L147" s="55"/>
      <c r="N147" s="55"/>
      <c r="O147" s="55"/>
      <c r="P147" s="55"/>
      <c r="Q147" s="49"/>
      <c r="R147" s="49"/>
      <c r="S147" s="56"/>
      <c r="T147" s="56"/>
    </row>
    <row r="148" spans="1:20" ht="13.5" customHeight="1">
      <c r="A148">
        <f>ROW()</f>
        <v>148</v>
      </c>
      <c r="B148" s="9"/>
      <c r="C148" s="9" t="s">
        <v>166</v>
      </c>
      <c r="D148" s="9"/>
      <c r="E148" s="54">
        <f>+E20/((E62+G62)/2)</f>
        <v>0.16900336092409096</v>
      </c>
      <c r="F148" s="55">
        <f>+F20/((F62+G62)/2)</f>
        <v>0.34398632723048223</v>
      </c>
      <c r="G148" s="55">
        <f>+G20/((G62+H62)/2)</f>
        <v>0.28198453809511415</v>
      </c>
      <c r="H148" s="55">
        <f>+H20/((H62+J62)/2)</f>
        <v>0.18524434024470657</v>
      </c>
      <c r="I148" s="55">
        <f>+I20/((I62+K62)/2)</f>
        <v>0.15406159580711926</v>
      </c>
      <c r="J148" s="55">
        <f>+J20/((J62+K62)/2)</f>
        <v>8.0982532976624551E-3</v>
      </c>
      <c r="K148" s="55">
        <f>+K20/((K62+L62)/2)</f>
        <v>5.5670255124612891E-2</v>
      </c>
      <c r="L148" s="55"/>
      <c r="N148" s="55"/>
      <c r="O148" s="55"/>
      <c r="P148" s="55"/>
      <c r="Q148" s="49"/>
      <c r="R148" s="49"/>
      <c r="S148" s="56"/>
      <c r="T148" s="56"/>
    </row>
    <row r="149" spans="1:20" ht="13.5" customHeight="1">
      <c r="A149">
        <f>ROW()</f>
        <v>149</v>
      </c>
      <c r="B149" s="9"/>
      <c r="C149" s="9" t="s">
        <v>167</v>
      </c>
      <c r="D149" s="9"/>
      <c r="E149" s="54">
        <f>+E34/AVERAGE(E85:G85)</f>
        <v>0.4155699983852737</v>
      </c>
      <c r="F149" s="55">
        <f>+F34/AVERAGE(F85:G85)</f>
        <v>0.92522261559918462</v>
      </c>
      <c r="G149" s="55">
        <f>+G34/AVERAGE(G85:H85)</f>
        <v>1.1284707056841581</v>
      </c>
      <c r="H149" s="55">
        <f>+H34/AVERAGE(H85:J85)</f>
        <v>1.3088803088803089</v>
      </c>
      <c r="I149" s="55">
        <f>+I34/AVERAGE(I85:K85)</f>
        <v>0.35967525900008196</v>
      </c>
      <c r="J149" s="55">
        <f>+J34/AVERAGE(J85:K85)</f>
        <v>-0.31344320262676012</v>
      </c>
      <c r="K149" s="55">
        <f>+K34/AVERAGE(K85:L85)</f>
        <v>7.8849721706864564E-2</v>
      </c>
      <c r="L149" s="55"/>
      <c r="N149" s="55"/>
      <c r="O149" s="55"/>
      <c r="P149" s="55"/>
      <c r="Q149" s="49"/>
      <c r="R149" s="49"/>
      <c r="S149" s="56"/>
      <c r="T149" s="56"/>
    </row>
    <row r="150" spans="1:20" ht="13.5" customHeight="1">
      <c r="A150">
        <f>ROW()</f>
        <v>150</v>
      </c>
      <c r="B150" s="9"/>
      <c r="C150" s="9"/>
      <c r="D150" s="9"/>
      <c r="E150" s="51"/>
      <c r="F150" s="9"/>
      <c r="G150" s="9"/>
      <c r="H150" s="9"/>
      <c r="I150" s="9"/>
      <c r="J150" s="9"/>
      <c r="K150" s="9"/>
      <c r="L150" s="9"/>
      <c r="N150" s="9"/>
      <c r="O150" s="9"/>
      <c r="P150" s="9"/>
      <c r="Q150" s="49"/>
      <c r="R150" s="49"/>
      <c r="S150" s="56"/>
      <c r="T150" s="56"/>
    </row>
    <row r="151" spans="1:20" ht="13.5" customHeight="1">
      <c r="A151">
        <f>ROW()</f>
        <v>151</v>
      </c>
      <c r="B151" s="9"/>
      <c r="C151" s="3" t="s">
        <v>168</v>
      </c>
      <c r="D151" s="9"/>
      <c r="E151" s="37"/>
      <c r="F151" s="62"/>
      <c r="G151" s="36"/>
      <c r="H151" s="57"/>
      <c r="I151" s="57"/>
      <c r="J151" s="57"/>
      <c r="K151" s="57"/>
      <c r="L151" s="57"/>
      <c r="N151" s="57"/>
      <c r="O151" s="57"/>
      <c r="P151" s="57"/>
      <c r="Q151" s="49"/>
      <c r="R151" s="49"/>
      <c r="S151" s="56"/>
      <c r="T151" s="56"/>
    </row>
    <row r="152" spans="1:20" ht="13.5" customHeight="1">
      <c r="A152">
        <f>ROW()</f>
        <v>152</v>
      </c>
      <c r="B152" s="9"/>
      <c r="C152" s="9" t="s">
        <v>169</v>
      </c>
      <c r="D152" s="9"/>
      <c r="E152" s="54">
        <f>+E7/F7-1</f>
        <v>-0.18959276018099547</v>
      </c>
      <c r="F152" s="64">
        <f>+F7/G7-1</f>
        <v>0.31680867544539115</v>
      </c>
      <c r="G152" s="64">
        <f>+G7/H7-1</f>
        <v>0.42645871403680258</v>
      </c>
      <c r="H152" s="64">
        <f>+H7/K7-1</f>
        <v>5.5627831860391996E-2</v>
      </c>
      <c r="I152" s="64">
        <f>+I7/L7-1</f>
        <v>3.0525600747219217E-2</v>
      </c>
      <c r="J152" s="64">
        <f>+J7/L7-1</f>
        <v>-4.0035662732444632E-2</v>
      </c>
      <c r="K152" s="64">
        <f>+K7/L7-1</f>
        <v>-5.3621465568480908E-2</v>
      </c>
      <c r="L152" s="55"/>
      <c r="N152" s="55">
        <f>+N7/O7-1</f>
        <v>2.1299254526091493E-2</v>
      </c>
      <c r="O152" s="55">
        <f>+O7/P7-1</f>
        <v>-8.884097035040428E-2</v>
      </c>
      <c r="P152" s="55">
        <f>+P7/Q7-1</f>
        <v>-1.9866849836204126E-2</v>
      </c>
      <c r="Q152" s="49"/>
      <c r="R152" s="49"/>
      <c r="S152" s="56"/>
      <c r="T152" s="56"/>
    </row>
    <row r="153" spans="1:20" ht="13.5" customHeight="1" thickBot="1">
      <c r="A153">
        <f>ROW()</f>
        <v>153</v>
      </c>
      <c r="B153" s="9"/>
      <c r="C153" s="9" t="s">
        <v>170</v>
      </c>
      <c r="D153" s="9"/>
      <c r="E153" s="58"/>
      <c r="F153" s="9"/>
      <c r="G153" s="36"/>
      <c r="H153" s="57"/>
      <c r="I153" s="57"/>
      <c r="J153" s="57"/>
      <c r="K153" s="57"/>
      <c r="L153" s="57"/>
      <c r="O153" s="49"/>
      <c r="P153" s="49"/>
      <c r="Q153" s="49"/>
      <c r="R153" s="49"/>
      <c r="S153" s="56"/>
      <c r="T153" s="56"/>
    </row>
    <row r="154" spans="1:20" ht="13.5" customHeight="1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O154" s="49"/>
      <c r="P154" s="49"/>
      <c r="Q154" s="49"/>
      <c r="R154" s="49"/>
      <c r="S154" s="56"/>
      <c r="T154" s="56"/>
    </row>
    <row r="155" spans="1:20" ht="13.5" customHeight="1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O155" s="49"/>
      <c r="P155" s="49"/>
      <c r="Q155" s="49"/>
      <c r="R155" s="49"/>
      <c r="S155" s="56"/>
      <c r="T155" s="56"/>
    </row>
    <row r="156" spans="1:20" ht="13.5" customHeight="1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O156" s="49"/>
      <c r="P156" s="49"/>
      <c r="Q156" s="49"/>
      <c r="R156" s="49"/>
      <c r="S156" s="56"/>
      <c r="T156" s="56"/>
    </row>
    <row r="157" spans="1:20" ht="13.5" customHeight="1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O157" s="49"/>
      <c r="P157" s="49"/>
      <c r="Q157" s="49"/>
      <c r="R157" s="49"/>
      <c r="S157" s="56"/>
      <c r="T157" s="56"/>
    </row>
    <row r="158" spans="1:20" ht="13.5" customHeight="1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O158" s="49"/>
      <c r="P158" s="49"/>
      <c r="Q158" s="49"/>
      <c r="R158" s="49"/>
      <c r="S158" s="56"/>
      <c r="T158" s="56"/>
    </row>
    <row r="159" spans="1:20" ht="13.5" customHeight="1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O159" s="49"/>
      <c r="P159" s="49"/>
      <c r="Q159" s="49"/>
      <c r="R159" s="49"/>
      <c r="S159" s="56"/>
      <c r="T159" s="56"/>
    </row>
    <row r="160" spans="1:20" ht="13.5" customHeight="1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O160" s="49"/>
      <c r="P160" s="49"/>
      <c r="Q160" s="49"/>
      <c r="R160" s="49"/>
      <c r="S160" s="56"/>
      <c r="T160" s="56"/>
    </row>
    <row r="161" spans="3:20" ht="13.5" customHeight="1"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O161" s="49"/>
      <c r="P161" s="49"/>
      <c r="Q161" s="49"/>
      <c r="R161" s="49"/>
      <c r="S161" s="56"/>
      <c r="T161" s="56"/>
    </row>
    <row r="162" spans="3:20" ht="13.5" customHeight="1"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O162" s="49"/>
      <c r="P162" s="49"/>
      <c r="Q162" s="49"/>
      <c r="R162" s="49"/>
      <c r="S162" s="56"/>
      <c r="T162" s="56"/>
    </row>
    <row r="163" spans="3:20" ht="13.5" customHeight="1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O163" s="49"/>
      <c r="P163" s="49"/>
      <c r="Q163" s="49"/>
      <c r="R163" s="49"/>
      <c r="S163" s="56"/>
      <c r="T163" s="56"/>
    </row>
    <row r="164" spans="3:20" ht="13.5" customHeight="1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O164" s="49"/>
      <c r="P164" s="49"/>
      <c r="Q164" s="49"/>
      <c r="R164" s="49"/>
      <c r="S164" s="56"/>
      <c r="T164" s="56"/>
    </row>
    <row r="165" spans="3:20" ht="13.5" customHeight="1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O165" s="56"/>
      <c r="P165" s="56"/>
      <c r="Q165" s="56"/>
      <c r="R165" s="56"/>
      <c r="S165" s="56"/>
      <c r="T165" s="56"/>
    </row>
    <row r="166" spans="3:20" ht="13.5" customHeight="1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O166" s="56"/>
      <c r="P166" s="56"/>
      <c r="Q166" s="56"/>
      <c r="R166" s="56"/>
      <c r="S166" s="56"/>
      <c r="T166" s="56"/>
    </row>
    <row r="167" spans="3:20" ht="13.5" customHeight="1"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O167" s="56"/>
      <c r="P167" s="56"/>
      <c r="Q167" s="56"/>
      <c r="R167" s="56"/>
      <c r="S167" s="56"/>
      <c r="T167" s="56"/>
    </row>
    <row r="168" spans="3:20" ht="13.5" customHeight="1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O168" s="56"/>
      <c r="P168" s="56"/>
      <c r="Q168" s="56"/>
      <c r="R168" s="56"/>
      <c r="S168" s="56"/>
      <c r="T168" s="56"/>
    </row>
    <row r="169" spans="3:20" ht="13.5" customHeight="1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O169" s="56"/>
      <c r="P169" s="56"/>
      <c r="Q169" s="56"/>
      <c r="R169" s="56"/>
      <c r="S169" s="56"/>
      <c r="T169" s="56"/>
    </row>
    <row r="170" spans="3:20" ht="13.5" customHeight="1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O170" s="56"/>
      <c r="P170" s="56"/>
      <c r="Q170" s="56"/>
      <c r="R170" s="56"/>
      <c r="S170" s="56"/>
      <c r="T170" s="56"/>
    </row>
    <row r="171" spans="3:20" ht="13.5" customHeight="1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O171" s="56"/>
      <c r="P171" s="56"/>
      <c r="Q171" s="56"/>
      <c r="R171" s="56"/>
      <c r="S171" s="56"/>
      <c r="T171" s="56"/>
    </row>
    <row r="172" spans="3:20" ht="13.5" customHeight="1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O172" s="56"/>
      <c r="P172" s="56"/>
      <c r="Q172" s="56"/>
      <c r="R172" s="56"/>
      <c r="S172" s="56"/>
      <c r="T172" s="56"/>
    </row>
    <row r="173" spans="3:20" ht="13.5" customHeight="1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O173" s="56"/>
      <c r="P173" s="56"/>
      <c r="Q173" s="56"/>
      <c r="R173" s="56"/>
      <c r="S173" s="56"/>
      <c r="T173" s="56"/>
    </row>
    <row r="174" spans="3:20" ht="13.5" customHeight="1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O174" s="56"/>
      <c r="P174" s="56"/>
      <c r="Q174" s="56"/>
      <c r="R174" s="56"/>
      <c r="S174" s="56"/>
      <c r="T174" s="56"/>
    </row>
    <row r="175" spans="3:20" ht="13.5" customHeight="1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O175" s="56"/>
      <c r="P175" s="56"/>
      <c r="Q175" s="56"/>
      <c r="R175" s="56"/>
      <c r="S175" s="56"/>
      <c r="T175" s="56"/>
    </row>
    <row r="176" spans="3:20" ht="13.5" customHeight="1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O176" s="56"/>
      <c r="P176" s="56"/>
      <c r="Q176" s="56"/>
      <c r="R176" s="56"/>
      <c r="S176" s="56"/>
      <c r="T176" s="56"/>
    </row>
    <row r="177" spans="3:20" ht="13.5" customHeight="1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O177" s="56"/>
      <c r="P177" s="56"/>
      <c r="Q177" s="56"/>
      <c r="R177" s="56"/>
      <c r="S177" s="56"/>
      <c r="T177" s="56"/>
    </row>
    <row r="178" spans="3:20" ht="13.5" customHeight="1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O178" s="56"/>
      <c r="P178" s="56"/>
      <c r="Q178" s="56"/>
      <c r="R178" s="56"/>
      <c r="S178" s="56"/>
      <c r="T178" s="56"/>
    </row>
    <row r="179" spans="3:20" ht="13.5" customHeight="1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O179" s="56"/>
      <c r="P179" s="56"/>
      <c r="Q179" s="56"/>
      <c r="R179" s="56"/>
      <c r="S179" s="56"/>
      <c r="T179" s="56"/>
    </row>
    <row r="180" spans="3:20" ht="13.5" customHeight="1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O180" s="56"/>
      <c r="P180" s="56"/>
      <c r="Q180" s="56"/>
      <c r="R180" s="56"/>
      <c r="S180" s="56"/>
      <c r="T180" s="56"/>
    </row>
    <row r="181" spans="3:20" ht="13.5" customHeight="1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O181" s="56"/>
      <c r="P181" s="56"/>
      <c r="Q181" s="56"/>
      <c r="R181" s="56"/>
      <c r="S181" s="56"/>
      <c r="T181" s="56"/>
    </row>
    <row r="182" spans="3:20" ht="13.5" customHeight="1"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O182" s="56"/>
      <c r="P182" s="56"/>
      <c r="Q182" s="56"/>
      <c r="R182" s="56"/>
      <c r="S182" s="56"/>
      <c r="T182" s="56"/>
    </row>
    <row r="183" spans="3:20" ht="13.5" customHeight="1"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O183" s="56"/>
      <c r="P183" s="56"/>
      <c r="Q183" s="56"/>
      <c r="R183" s="56"/>
      <c r="S183" s="56"/>
      <c r="T183" s="56"/>
    </row>
    <row r="184" spans="3:20" ht="13.5" customHeight="1"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O184" s="56"/>
      <c r="P184" s="56"/>
      <c r="Q184" s="56"/>
      <c r="R184" s="56"/>
      <c r="S184" s="56"/>
      <c r="T184" s="56"/>
    </row>
    <row r="185" spans="3:20" ht="13.5" customHeight="1"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O185" s="56"/>
      <c r="P185" s="56"/>
      <c r="Q185" s="56"/>
      <c r="R185" s="56"/>
      <c r="S185" s="56"/>
      <c r="T185" s="56"/>
    </row>
    <row r="186" spans="3:20" ht="13.5" customHeight="1"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O186" s="56"/>
      <c r="P186" s="56"/>
      <c r="Q186" s="56"/>
      <c r="R186" s="56"/>
      <c r="S186" s="56"/>
      <c r="T186" s="56"/>
    </row>
    <row r="187" spans="3:20" ht="13.5" customHeight="1"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O187" s="56"/>
      <c r="P187" s="56"/>
      <c r="Q187" s="56"/>
      <c r="R187" s="56"/>
      <c r="S187" s="56"/>
      <c r="T187" s="56"/>
    </row>
    <row r="188" spans="3:20" ht="13.5" customHeight="1"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O188" s="56"/>
      <c r="P188" s="56"/>
      <c r="Q188" s="56"/>
      <c r="R188" s="56"/>
      <c r="S188" s="56"/>
      <c r="T188" s="56"/>
    </row>
    <row r="189" spans="3:20" ht="13.5" customHeight="1"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O189" s="56"/>
      <c r="P189" s="56"/>
      <c r="Q189" s="56"/>
      <c r="R189" s="56"/>
      <c r="S189" s="56"/>
      <c r="T189" s="56"/>
    </row>
    <row r="190" spans="3:20" ht="13.5" customHeight="1"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O190" s="56"/>
      <c r="P190" s="56"/>
      <c r="Q190" s="56"/>
      <c r="R190" s="56"/>
      <c r="S190" s="56"/>
      <c r="T190" s="56"/>
    </row>
    <row r="191" spans="3:20" ht="13.5" customHeight="1"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O191" s="56"/>
      <c r="P191" s="56"/>
      <c r="Q191" s="56"/>
      <c r="R191" s="56"/>
      <c r="S191" s="56"/>
      <c r="T191" s="56"/>
    </row>
    <row r="192" spans="3:20" ht="13.5" customHeight="1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O192" s="56"/>
      <c r="P192" s="56"/>
      <c r="Q192" s="56"/>
      <c r="R192" s="56"/>
      <c r="S192" s="56"/>
      <c r="T192" s="56"/>
    </row>
    <row r="193" spans="3:20" ht="13.5" customHeight="1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O193" s="56"/>
      <c r="P193" s="56"/>
      <c r="Q193" s="56"/>
      <c r="R193" s="56"/>
      <c r="S193" s="56"/>
      <c r="T193" s="56"/>
    </row>
    <row r="194" spans="3:20" ht="13.5" customHeight="1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O194" s="56"/>
      <c r="P194" s="56"/>
      <c r="Q194" s="56"/>
      <c r="R194" s="56"/>
      <c r="S194" s="56"/>
      <c r="T194" s="56"/>
    </row>
    <row r="195" spans="3:20" ht="13.5" customHeight="1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O195" s="56"/>
      <c r="P195" s="56"/>
      <c r="Q195" s="56"/>
      <c r="R195" s="56"/>
      <c r="S195" s="56"/>
      <c r="T195" s="56"/>
    </row>
    <row r="196" spans="3:20" ht="13.5" customHeight="1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O196" s="56"/>
      <c r="P196" s="56"/>
      <c r="Q196" s="56"/>
      <c r="R196" s="56"/>
      <c r="S196" s="56"/>
      <c r="T196" s="56"/>
    </row>
    <row r="197" spans="3:20" ht="13.5" customHeight="1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O197" s="56"/>
      <c r="P197" s="56"/>
      <c r="Q197" s="56"/>
      <c r="R197" s="56"/>
      <c r="S197" s="56"/>
      <c r="T197" s="56"/>
    </row>
    <row r="198" spans="3:20" ht="13.5" customHeight="1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O198" s="56"/>
      <c r="P198" s="56"/>
      <c r="Q198" s="56"/>
      <c r="R198" s="56"/>
      <c r="S198" s="56"/>
      <c r="T198" s="56"/>
    </row>
    <row r="199" spans="3:20" ht="13.5" customHeight="1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O199" s="56"/>
      <c r="P199" s="56"/>
      <c r="Q199" s="56"/>
      <c r="R199" s="56"/>
      <c r="S199" s="56"/>
      <c r="T199" s="56"/>
    </row>
    <row r="200" spans="3:20" ht="13.5" customHeight="1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O200" s="56"/>
      <c r="P200" s="56"/>
      <c r="Q200" s="56"/>
      <c r="R200" s="56"/>
      <c r="S200" s="56"/>
      <c r="T200" s="56"/>
    </row>
    <row r="201" spans="3:20" ht="13.5" customHeight="1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O201" s="56"/>
      <c r="P201" s="56"/>
      <c r="Q201" s="56"/>
      <c r="R201" s="56"/>
      <c r="S201" s="56"/>
      <c r="T201" s="56"/>
    </row>
    <row r="202" spans="3:20" ht="13.5" customHeight="1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O202" s="56"/>
      <c r="P202" s="56"/>
      <c r="Q202" s="56"/>
      <c r="R202" s="56"/>
      <c r="S202" s="56"/>
      <c r="T202" s="56"/>
    </row>
    <row r="203" spans="3:20" ht="13.5" customHeight="1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O203" s="56"/>
      <c r="P203" s="56"/>
      <c r="Q203" s="56"/>
      <c r="R203" s="56"/>
      <c r="S203" s="56"/>
      <c r="T203" s="56"/>
    </row>
    <row r="204" spans="3:20" ht="13.5" customHeight="1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O204" s="56"/>
      <c r="P204" s="56"/>
      <c r="Q204" s="56"/>
      <c r="R204" s="56"/>
      <c r="S204" s="56"/>
      <c r="T204" s="56"/>
    </row>
    <row r="205" spans="3:20" ht="13.5" customHeight="1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O205" s="56"/>
      <c r="P205" s="56"/>
      <c r="Q205" s="56"/>
      <c r="R205" s="56"/>
      <c r="S205" s="56"/>
      <c r="T205" s="56"/>
    </row>
    <row r="206" spans="3:20" ht="13.5" customHeight="1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O206" s="56"/>
      <c r="P206" s="56"/>
      <c r="Q206" s="56"/>
      <c r="R206" s="56"/>
      <c r="S206" s="56"/>
      <c r="T206" s="56"/>
    </row>
    <row r="207" spans="3:20" ht="13.5" customHeight="1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O207" s="56"/>
      <c r="P207" s="56"/>
      <c r="Q207" s="56"/>
      <c r="R207" s="56"/>
      <c r="S207" s="56"/>
      <c r="T207" s="56"/>
    </row>
    <row r="208" spans="3:20" ht="13.5" customHeight="1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O208" s="56"/>
      <c r="P208" s="56"/>
      <c r="Q208" s="56"/>
      <c r="R208" s="56"/>
      <c r="S208" s="56"/>
      <c r="T208" s="56"/>
    </row>
    <row r="209" spans="3:20" ht="13.5" customHeight="1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O209" s="56"/>
      <c r="P209" s="56"/>
      <c r="Q209" s="56"/>
      <c r="R209" s="56"/>
      <c r="S209" s="56"/>
      <c r="T209" s="56"/>
    </row>
    <row r="210" spans="3:20" ht="13.5" customHeight="1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O210" s="56"/>
      <c r="P210" s="56"/>
      <c r="Q210" s="56"/>
      <c r="R210" s="56"/>
      <c r="S210" s="56"/>
      <c r="T210" s="56"/>
    </row>
    <row r="211" spans="3:20" ht="13.5" customHeight="1">
      <c r="C211" s="16"/>
      <c r="D211" s="16"/>
      <c r="E211" s="16"/>
      <c r="F211" s="16"/>
      <c r="G211" s="16"/>
      <c r="H211" s="16"/>
      <c r="I211" s="16"/>
      <c r="J211" s="16"/>
      <c r="K211" s="16"/>
      <c r="L211" s="16"/>
    </row>
    <row r="212" spans="3:20" ht="13.5" customHeight="1"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3:20" ht="13.5" customHeight="1">
      <c r="C213" s="16"/>
      <c r="D213" s="16"/>
      <c r="E213" s="16"/>
      <c r="F213" s="16"/>
      <c r="G213" s="16"/>
      <c r="H213" s="16"/>
      <c r="I213" s="16"/>
      <c r="J213" s="16"/>
      <c r="K213" s="16"/>
      <c r="L213" s="16"/>
    </row>
    <row r="214" spans="3:20" ht="13.5" customHeight="1"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3:20" ht="13.5" customHeight="1">
      <c r="C215" s="16"/>
      <c r="D215" s="16"/>
      <c r="E215" s="16"/>
      <c r="F215" s="16"/>
      <c r="G215" s="16"/>
      <c r="H215" s="16"/>
      <c r="I215" s="16"/>
      <c r="J215" s="16"/>
      <c r="K215" s="16"/>
      <c r="L215" s="16"/>
    </row>
    <row r="216" spans="3:20" ht="13.5" customHeight="1"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3:20" ht="13.5" customHeight="1">
      <c r="C217" s="16"/>
      <c r="D217" s="16"/>
      <c r="E217" s="16"/>
      <c r="F217" s="16"/>
      <c r="G217" s="16"/>
      <c r="H217" s="16"/>
      <c r="I217" s="16"/>
      <c r="J217" s="16"/>
      <c r="K217" s="16"/>
      <c r="L217" s="16"/>
    </row>
    <row r="218" spans="3:20" ht="13.5" customHeight="1"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3:20" ht="13.5" customHeight="1">
      <c r="C219" s="16"/>
      <c r="D219" s="16"/>
      <c r="E219" s="16"/>
      <c r="F219" s="16"/>
      <c r="G219" s="16"/>
      <c r="H219" s="16"/>
      <c r="I219" s="16"/>
      <c r="J219" s="16"/>
      <c r="K219" s="16"/>
      <c r="L219" s="16"/>
    </row>
    <row r="220" spans="3:20" ht="13.5" customHeight="1"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 spans="3:20" ht="13.5" customHeight="1"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3:20" ht="13.5" customHeight="1">
      <c r="C222" s="16"/>
      <c r="D222" s="16"/>
      <c r="E222" s="16"/>
      <c r="F222" s="16"/>
      <c r="G222" s="16"/>
      <c r="H222" s="16"/>
      <c r="I222" s="16"/>
      <c r="J222" s="16"/>
      <c r="K222" s="16"/>
      <c r="L222" s="16"/>
    </row>
    <row r="223" spans="3:20" ht="13.5" customHeight="1"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3:20" ht="13.5" customHeight="1">
      <c r="C224" s="16"/>
      <c r="D224" s="16"/>
      <c r="E224" s="16"/>
      <c r="F224" s="16"/>
      <c r="G224" s="16"/>
      <c r="H224" s="16"/>
      <c r="I224" s="16"/>
      <c r="J224" s="16"/>
      <c r="K224" s="16"/>
      <c r="L224" s="16"/>
    </row>
    <row r="225" spans="3:12" ht="13.5" customHeight="1"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3:12" ht="13.5" customHeight="1">
      <c r="C226" s="16"/>
      <c r="D226" s="16"/>
      <c r="E226" s="16"/>
      <c r="F226" s="16"/>
      <c r="G226" s="16"/>
      <c r="H226" s="16"/>
      <c r="I226" s="16"/>
      <c r="J226" s="16"/>
      <c r="K226" s="16"/>
      <c r="L226" s="16"/>
    </row>
    <row r="227" spans="3:12" ht="13.5" customHeight="1"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3:12" ht="13.5" customHeight="1">
      <c r="C228" s="16"/>
      <c r="D228" s="16"/>
      <c r="E228" s="16"/>
      <c r="F228" s="16"/>
      <c r="G228" s="16"/>
      <c r="H228" s="16"/>
      <c r="I228" s="16"/>
      <c r="J228" s="16"/>
      <c r="K228" s="16"/>
      <c r="L228" s="16"/>
    </row>
    <row r="229" spans="3:12" ht="13.5" customHeight="1">
      <c r="C229" s="16"/>
      <c r="D229" s="16"/>
      <c r="E229" s="16"/>
      <c r="F229" s="16"/>
      <c r="G229" s="16"/>
      <c r="H229" s="16"/>
      <c r="I229" s="16"/>
      <c r="J229" s="16"/>
      <c r="K229" s="16"/>
      <c r="L229" s="16"/>
    </row>
    <row r="230" spans="3:12" ht="13.5" customHeight="1">
      <c r="C230" s="16"/>
      <c r="D230" s="16"/>
      <c r="E230" s="16"/>
      <c r="F230" s="16"/>
      <c r="G230" s="16"/>
      <c r="H230" s="16"/>
      <c r="I230" s="16"/>
      <c r="J230" s="16"/>
      <c r="K230" s="16"/>
      <c r="L230" s="16"/>
    </row>
    <row r="231" spans="3:12" ht="13.5" customHeight="1">
      <c r="C231" s="16"/>
      <c r="D231" s="16"/>
      <c r="E231" s="16"/>
      <c r="F231" s="16"/>
      <c r="G231" s="16"/>
      <c r="H231" s="16"/>
      <c r="I231" s="16"/>
      <c r="J231" s="16"/>
      <c r="K231" s="16"/>
      <c r="L231" s="16"/>
    </row>
    <row r="232" spans="3:12" ht="13.5" customHeight="1">
      <c r="C232" s="16"/>
      <c r="D232" s="16"/>
      <c r="E232" s="16"/>
      <c r="F232" s="16"/>
      <c r="G232" s="16"/>
      <c r="H232" s="16"/>
      <c r="I232" s="16"/>
      <c r="J232" s="16"/>
      <c r="K232" s="16"/>
      <c r="L232" s="16"/>
    </row>
    <row r="233" spans="3:12" ht="13.5" customHeight="1">
      <c r="C233" s="16"/>
      <c r="D233" s="16"/>
      <c r="E233" s="16"/>
      <c r="F233" s="16"/>
      <c r="G233" s="16"/>
      <c r="H233" s="16"/>
      <c r="I233" s="16"/>
      <c r="J233" s="16"/>
      <c r="K233" s="16"/>
      <c r="L233" s="16"/>
    </row>
    <row r="234" spans="3:12" ht="13.5" customHeight="1">
      <c r="C234" s="16"/>
      <c r="D234" s="16"/>
      <c r="E234" s="16"/>
      <c r="F234" s="16"/>
      <c r="G234" s="16"/>
      <c r="H234" s="16"/>
      <c r="I234" s="16"/>
      <c r="J234" s="16"/>
      <c r="K234" s="16"/>
      <c r="L234" s="16"/>
    </row>
    <row r="235" spans="3:12" ht="13.5" customHeight="1">
      <c r="C235" s="16"/>
      <c r="D235" s="16"/>
      <c r="E235" s="16"/>
      <c r="F235" s="16"/>
      <c r="G235" s="16"/>
      <c r="H235" s="16"/>
      <c r="I235" s="16"/>
      <c r="J235" s="16"/>
      <c r="K235" s="16"/>
      <c r="L235" s="16"/>
    </row>
    <row r="236" spans="3:12" ht="13.5" customHeight="1">
      <c r="C236" s="16"/>
      <c r="D236" s="16"/>
      <c r="E236" s="16"/>
      <c r="F236" s="16"/>
      <c r="G236" s="16"/>
      <c r="H236" s="16"/>
      <c r="I236" s="16"/>
      <c r="J236" s="16"/>
      <c r="K236" s="16"/>
      <c r="L236" s="16"/>
    </row>
    <row r="237" spans="3:12" ht="13.5" customHeight="1">
      <c r="C237" s="16"/>
      <c r="D237" s="16"/>
      <c r="E237" s="16"/>
      <c r="F237" s="16"/>
      <c r="G237" s="16"/>
      <c r="H237" s="16"/>
      <c r="I237" s="16"/>
      <c r="J237" s="16"/>
      <c r="K237" s="16"/>
      <c r="L237" s="16"/>
    </row>
    <row r="238" spans="3:12" ht="13.5" customHeight="1">
      <c r="C238" s="16"/>
      <c r="D238" s="16"/>
      <c r="E238" s="16"/>
      <c r="F238" s="16"/>
      <c r="G238" s="16"/>
      <c r="H238" s="16"/>
      <c r="I238" s="16"/>
      <c r="J238" s="16"/>
      <c r="K238" s="16"/>
      <c r="L238" s="16"/>
    </row>
    <row r="239" spans="3:12" ht="13.5" customHeight="1">
      <c r="C239" s="16"/>
      <c r="D239" s="16"/>
      <c r="E239" s="16"/>
      <c r="F239" s="16"/>
      <c r="G239" s="16"/>
      <c r="H239" s="16"/>
      <c r="I239" s="16"/>
      <c r="J239" s="16"/>
      <c r="K239" s="16"/>
      <c r="L239" s="16"/>
    </row>
    <row r="240" spans="3:12" ht="13.5" customHeight="1">
      <c r="C240" s="16"/>
      <c r="D240" s="16"/>
      <c r="E240" s="16"/>
      <c r="F240" s="16"/>
      <c r="G240" s="16"/>
      <c r="H240" s="16"/>
      <c r="I240" s="16"/>
      <c r="J240" s="16"/>
      <c r="K240" s="16"/>
      <c r="L240" s="16"/>
    </row>
    <row r="241" spans="3:12" ht="13.5" customHeight="1">
      <c r="C241" s="16"/>
      <c r="D241" s="16"/>
      <c r="E241" s="16"/>
      <c r="F241" s="16"/>
      <c r="G241" s="16"/>
      <c r="H241" s="16"/>
      <c r="I241" s="16"/>
      <c r="J241" s="16"/>
      <c r="K241" s="16"/>
      <c r="L241" s="16"/>
    </row>
    <row r="242" spans="3:12" ht="13.5" customHeight="1">
      <c r="C242" s="16"/>
      <c r="D242" s="16"/>
      <c r="E242" s="16"/>
      <c r="F242" s="16"/>
      <c r="G242" s="16"/>
      <c r="H242" s="16"/>
      <c r="I242" s="16"/>
      <c r="J242" s="16"/>
      <c r="K242" s="16"/>
      <c r="L242" s="16"/>
    </row>
    <row r="243" spans="3:12" ht="13.5" customHeight="1">
      <c r="C243" s="16"/>
      <c r="D243" s="16"/>
      <c r="E243" s="16"/>
      <c r="F243" s="16"/>
      <c r="G243" s="16"/>
      <c r="H243" s="16"/>
      <c r="I243" s="16"/>
      <c r="J243" s="16"/>
      <c r="K243" s="16"/>
      <c r="L243" s="16"/>
    </row>
    <row r="244" spans="3:12" ht="13.5" customHeight="1">
      <c r="C244" s="16"/>
      <c r="D244" s="16"/>
      <c r="E244" s="16"/>
      <c r="F244" s="16"/>
      <c r="G244" s="16"/>
      <c r="H244" s="16"/>
      <c r="I244" s="16"/>
      <c r="J244" s="16"/>
      <c r="K244" s="16"/>
      <c r="L244" s="16"/>
    </row>
    <row r="245" spans="3:12" ht="13">
      <c r="C245" s="16"/>
      <c r="D245" s="16"/>
      <c r="E245" s="16"/>
      <c r="F245" s="16"/>
      <c r="G245" s="16"/>
      <c r="H245" s="16"/>
      <c r="I245" s="16"/>
      <c r="J245" s="16"/>
      <c r="K245" s="16"/>
      <c r="L245" s="16"/>
    </row>
    <row r="246" spans="3:12" ht="13">
      <c r="C246" s="16"/>
      <c r="D246" s="16"/>
      <c r="E246" s="16"/>
      <c r="F246" s="16"/>
      <c r="G246" s="16"/>
      <c r="H246" s="16"/>
      <c r="I246" s="16"/>
      <c r="J246" s="16"/>
      <c r="K246" s="16"/>
      <c r="L246" s="16"/>
    </row>
    <row r="247" spans="3:12" ht="13">
      <c r="C247" s="16"/>
      <c r="D247" s="16"/>
      <c r="E247" s="16"/>
      <c r="F247" s="16"/>
      <c r="G247" s="16"/>
      <c r="H247" s="16"/>
      <c r="I247" s="16"/>
      <c r="J247" s="16"/>
      <c r="K247" s="16"/>
      <c r="L247" s="16"/>
    </row>
    <row r="248" spans="3:12" ht="13">
      <c r="C248" s="16"/>
      <c r="D248" s="16"/>
      <c r="E248" s="16"/>
      <c r="F248" s="16"/>
      <c r="G248" s="16"/>
      <c r="H248" s="16"/>
      <c r="I248" s="16"/>
      <c r="J248" s="16"/>
      <c r="K248" s="16"/>
      <c r="L248" s="16"/>
    </row>
    <row r="249" spans="3:12" ht="13">
      <c r="C249" s="16"/>
      <c r="D249" s="16"/>
      <c r="E249" s="16"/>
      <c r="F249" s="16"/>
      <c r="G249" s="16"/>
      <c r="H249" s="16"/>
      <c r="I249" s="16"/>
      <c r="J249" s="16"/>
      <c r="K249" s="16"/>
      <c r="L249" s="16"/>
    </row>
    <row r="250" spans="3:12" ht="13">
      <c r="C250" s="16"/>
      <c r="D250" s="16"/>
      <c r="E250" s="16"/>
      <c r="F250" s="16"/>
      <c r="G250" s="16"/>
      <c r="H250" s="16"/>
      <c r="I250" s="16"/>
      <c r="J250" s="16"/>
      <c r="K250" s="16"/>
      <c r="L250" s="16"/>
    </row>
    <row r="251" spans="3:12" ht="13">
      <c r="C251" s="16"/>
      <c r="D251" s="16"/>
      <c r="E251" s="16"/>
      <c r="F251" s="16"/>
      <c r="G251" s="16"/>
      <c r="H251" s="16"/>
      <c r="I251" s="16"/>
      <c r="J251" s="16"/>
      <c r="K251" s="16"/>
      <c r="L251" s="16"/>
    </row>
    <row r="252" spans="3:12" ht="13">
      <c r="C252" s="16"/>
      <c r="D252" s="16"/>
      <c r="E252" s="16"/>
      <c r="F252" s="16"/>
      <c r="G252" s="16"/>
      <c r="H252" s="16"/>
      <c r="I252" s="16"/>
      <c r="J252" s="16"/>
      <c r="K252" s="16"/>
      <c r="L252" s="16"/>
    </row>
    <row r="253" spans="3:12" ht="13">
      <c r="C253" s="16"/>
      <c r="D253" s="16"/>
      <c r="E253" s="16"/>
      <c r="F253" s="16"/>
      <c r="G253" s="16"/>
      <c r="H253" s="16"/>
      <c r="I253" s="16"/>
      <c r="J253" s="16"/>
      <c r="K253" s="16"/>
      <c r="L253" s="16"/>
    </row>
    <row r="254" spans="3:12" ht="13">
      <c r="C254" s="16"/>
      <c r="D254" s="16"/>
      <c r="E254" s="16"/>
      <c r="F254" s="16"/>
      <c r="G254" s="16"/>
      <c r="H254" s="16"/>
      <c r="I254" s="16"/>
      <c r="J254" s="16"/>
      <c r="K254" s="16"/>
      <c r="L254" s="16"/>
    </row>
    <row r="255" spans="3:12" ht="13">
      <c r="C255" s="16"/>
      <c r="D255" s="16"/>
      <c r="E255" s="16"/>
      <c r="F255" s="16"/>
      <c r="G255" s="16"/>
      <c r="H255" s="16"/>
      <c r="I255" s="16"/>
      <c r="J255" s="16"/>
      <c r="K255" s="16"/>
      <c r="L255" s="16"/>
    </row>
    <row r="256" spans="3:12" ht="13">
      <c r="C256" s="16"/>
      <c r="D256" s="16"/>
      <c r="E256" s="16"/>
      <c r="F256" s="16"/>
      <c r="G256" s="16"/>
      <c r="H256" s="16"/>
      <c r="I256" s="16"/>
      <c r="J256" s="16"/>
      <c r="K256" s="16"/>
      <c r="L256" s="16"/>
    </row>
    <row r="257" spans="3:12" ht="13">
      <c r="C257" s="16"/>
      <c r="D257" s="16"/>
      <c r="E257" s="16"/>
      <c r="F257" s="16"/>
      <c r="G257" s="16"/>
      <c r="H257" s="16"/>
      <c r="I257" s="16"/>
      <c r="J257" s="16"/>
      <c r="K257" s="16"/>
      <c r="L257" s="16"/>
    </row>
    <row r="258" spans="3:12" ht="13">
      <c r="C258" s="16"/>
      <c r="D258" s="16"/>
      <c r="E258" s="16"/>
      <c r="F258" s="16"/>
      <c r="G258" s="16"/>
      <c r="H258" s="16"/>
      <c r="I258" s="16"/>
      <c r="J258" s="16"/>
      <c r="K258" s="16"/>
      <c r="L258" s="16"/>
    </row>
    <row r="259" spans="3:12" ht="13">
      <c r="C259" s="16"/>
      <c r="D259" s="16"/>
      <c r="E259" s="16"/>
      <c r="F259" s="16"/>
      <c r="G259" s="16"/>
      <c r="H259" s="16"/>
      <c r="I259" s="16"/>
      <c r="J259" s="16"/>
      <c r="K259" s="16"/>
      <c r="L259" s="16"/>
    </row>
    <row r="260" spans="3:12" ht="13">
      <c r="C260" s="16"/>
      <c r="D260" s="16"/>
      <c r="E260" s="16"/>
      <c r="F260" s="16"/>
      <c r="G260" s="16"/>
      <c r="H260" s="16"/>
      <c r="I260" s="16"/>
      <c r="J260" s="16"/>
      <c r="K260" s="16"/>
      <c r="L260" s="16"/>
    </row>
    <row r="261" spans="3:12" ht="13">
      <c r="C261" s="16"/>
      <c r="D261" s="16"/>
      <c r="E261" s="16"/>
      <c r="F261" s="16"/>
      <c r="G261" s="16"/>
      <c r="H261" s="16"/>
      <c r="I261" s="16"/>
      <c r="J261" s="16"/>
      <c r="K261" s="16"/>
      <c r="L261" s="16"/>
    </row>
    <row r="262" spans="3:12" ht="13">
      <c r="C262" s="16"/>
      <c r="D262" s="16"/>
      <c r="E262" s="16"/>
      <c r="F262" s="16"/>
      <c r="G262" s="16"/>
      <c r="H262" s="16"/>
      <c r="I262" s="16"/>
      <c r="J262" s="16"/>
      <c r="K262" s="16"/>
      <c r="L262" s="16"/>
    </row>
    <row r="263" spans="3:12" ht="13">
      <c r="C263" s="16"/>
      <c r="D263" s="16"/>
      <c r="E263" s="16"/>
      <c r="F263" s="16"/>
      <c r="G263" s="16"/>
      <c r="H263" s="16"/>
      <c r="I263" s="16"/>
      <c r="J263" s="16"/>
      <c r="K263" s="16"/>
      <c r="L263" s="16"/>
    </row>
    <row r="264" spans="3:12" ht="13">
      <c r="C264" s="16"/>
      <c r="D264" s="16"/>
      <c r="E264" s="16"/>
      <c r="F264" s="16"/>
      <c r="G264" s="16"/>
      <c r="H264" s="16"/>
      <c r="I264" s="16"/>
      <c r="J264" s="16"/>
      <c r="K264" s="16"/>
      <c r="L264" s="16"/>
    </row>
    <row r="265" spans="3:12" ht="13">
      <c r="C265" s="16"/>
      <c r="D265" s="16"/>
      <c r="E265" s="16"/>
      <c r="F265" s="16"/>
      <c r="G265" s="16"/>
      <c r="H265" s="16"/>
      <c r="I265" s="16"/>
      <c r="J265" s="16"/>
      <c r="K265" s="16"/>
      <c r="L265" s="16"/>
    </row>
    <row r="266" spans="3:12" ht="13">
      <c r="C266" s="16"/>
      <c r="D266" s="16"/>
      <c r="E266" s="16"/>
      <c r="F266" s="16"/>
      <c r="G266" s="16"/>
      <c r="H266" s="16"/>
      <c r="I266" s="16"/>
      <c r="J266" s="16"/>
      <c r="K266" s="16"/>
      <c r="L266" s="16"/>
    </row>
    <row r="267" spans="3:12" ht="13">
      <c r="C267" s="16"/>
      <c r="D267" s="16"/>
      <c r="E267" s="16"/>
      <c r="F267" s="16"/>
      <c r="G267" s="16"/>
      <c r="H267" s="16"/>
      <c r="I267" s="16"/>
      <c r="J267" s="16"/>
      <c r="K267" s="16"/>
      <c r="L267" s="16"/>
    </row>
    <row r="268" spans="3:12" ht="13">
      <c r="C268" s="16"/>
      <c r="D268" s="16"/>
      <c r="E268" s="16"/>
      <c r="F268" s="16"/>
      <c r="G268" s="16"/>
      <c r="H268" s="16"/>
      <c r="I268" s="16"/>
      <c r="J268" s="16"/>
      <c r="K268" s="16"/>
      <c r="L268" s="16"/>
    </row>
    <row r="269" spans="3:12" ht="13">
      <c r="C269" s="16"/>
      <c r="D269" s="16"/>
      <c r="E269" s="16"/>
      <c r="F269" s="16"/>
      <c r="G269" s="16"/>
      <c r="H269" s="16"/>
      <c r="I269" s="16"/>
      <c r="J269" s="16"/>
      <c r="K269" s="16"/>
      <c r="L269" s="16"/>
    </row>
    <row r="270" spans="3:12" ht="13">
      <c r="C270" s="16"/>
      <c r="D270" s="16"/>
      <c r="E270" s="16"/>
      <c r="F270" s="16"/>
      <c r="G270" s="16"/>
      <c r="H270" s="16"/>
      <c r="I270" s="16"/>
      <c r="J270" s="16"/>
      <c r="K270" s="16"/>
      <c r="L270" s="16"/>
    </row>
    <row r="271" spans="3:12" ht="13">
      <c r="C271" s="16"/>
      <c r="D271" s="16"/>
      <c r="E271" s="16"/>
      <c r="F271" s="16"/>
      <c r="G271" s="16"/>
      <c r="H271" s="16"/>
      <c r="I271" s="16"/>
      <c r="J271" s="16"/>
      <c r="K271" s="16"/>
      <c r="L271" s="16"/>
    </row>
    <row r="272" spans="3:12" ht="13">
      <c r="C272" s="16"/>
      <c r="D272" s="16"/>
      <c r="E272" s="16"/>
      <c r="F272" s="16"/>
      <c r="G272" s="16"/>
      <c r="H272" s="16"/>
      <c r="I272" s="16"/>
      <c r="J272" s="16"/>
      <c r="K272" s="16"/>
      <c r="L272" s="16"/>
    </row>
    <row r="273" spans="3:12" ht="13">
      <c r="C273" s="16"/>
      <c r="D273" s="16"/>
      <c r="E273" s="16"/>
      <c r="F273" s="16"/>
      <c r="G273" s="16"/>
      <c r="H273" s="16"/>
      <c r="I273" s="16"/>
      <c r="J273" s="16"/>
      <c r="K273" s="16"/>
      <c r="L273" s="16"/>
    </row>
    <row r="274" spans="3:12" ht="13">
      <c r="C274" s="16"/>
      <c r="D274" s="16"/>
      <c r="E274" s="16"/>
      <c r="F274" s="16"/>
      <c r="G274" s="16"/>
      <c r="H274" s="16"/>
      <c r="I274" s="16"/>
      <c r="J274" s="16"/>
      <c r="K274" s="16"/>
      <c r="L274" s="16"/>
    </row>
    <row r="275" spans="3:12" ht="13">
      <c r="C275" s="16"/>
      <c r="D275" s="16"/>
      <c r="E275" s="16"/>
      <c r="F275" s="16"/>
      <c r="G275" s="16"/>
      <c r="H275" s="16"/>
      <c r="I275" s="16"/>
      <c r="J275" s="16"/>
      <c r="K275" s="16"/>
      <c r="L275" s="16"/>
    </row>
    <row r="276" spans="3:12" ht="13">
      <c r="C276" s="16"/>
      <c r="D276" s="16"/>
      <c r="E276" s="16"/>
      <c r="F276" s="16"/>
      <c r="G276" s="16"/>
      <c r="H276" s="16"/>
      <c r="I276" s="16"/>
      <c r="J276" s="16"/>
      <c r="K276" s="16"/>
      <c r="L276" s="16"/>
    </row>
    <row r="277" spans="3:12" ht="13">
      <c r="C277" s="16"/>
      <c r="D277" s="16"/>
      <c r="E277" s="16"/>
      <c r="F277" s="16"/>
      <c r="G277" s="16"/>
      <c r="H277" s="16"/>
      <c r="I277" s="16"/>
      <c r="J277" s="16"/>
      <c r="K277" s="16"/>
      <c r="L277" s="16"/>
    </row>
    <row r="278" spans="3:12" ht="13">
      <c r="C278" s="16"/>
      <c r="D278" s="16"/>
      <c r="E278" s="16"/>
      <c r="F278" s="16"/>
      <c r="G278" s="16"/>
      <c r="H278" s="16"/>
      <c r="I278" s="16"/>
      <c r="J278" s="16"/>
      <c r="K278" s="16"/>
      <c r="L278" s="16"/>
    </row>
    <row r="279" spans="3:12" ht="13">
      <c r="C279" s="16"/>
      <c r="D279" s="16"/>
      <c r="E279" s="16"/>
      <c r="F279" s="16"/>
      <c r="G279" s="16"/>
      <c r="H279" s="16"/>
      <c r="I279" s="16"/>
      <c r="J279" s="16"/>
      <c r="K279" s="16"/>
      <c r="L279" s="16"/>
    </row>
    <row r="280" spans="3:12" ht="13">
      <c r="C280" s="16"/>
      <c r="D280" s="16"/>
      <c r="E280" s="16"/>
      <c r="F280" s="16"/>
      <c r="G280" s="16"/>
      <c r="H280" s="16"/>
      <c r="I280" s="16"/>
      <c r="J280" s="16"/>
      <c r="K280" s="16"/>
      <c r="L280" s="16"/>
    </row>
    <row r="281" spans="3:12" ht="13">
      <c r="C281" s="16"/>
      <c r="D281" s="16"/>
      <c r="E281" s="16"/>
      <c r="F281" s="16"/>
      <c r="G281" s="16"/>
      <c r="H281" s="16"/>
      <c r="I281" s="16"/>
      <c r="J281" s="16"/>
      <c r="K281" s="16"/>
      <c r="L281" s="16"/>
    </row>
    <row r="282" spans="3:12" ht="13">
      <c r="C282" s="16"/>
      <c r="D282" s="16"/>
      <c r="E282" s="16"/>
      <c r="F282" s="16"/>
      <c r="G282" s="16"/>
      <c r="H282" s="16"/>
      <c r="I282" s="16"/>
      <c r="J282" s="16"/>
      <c r="K282" s="16"/>
      <c r="L282" s="16"/>
    </row>
    <row r="283" spans="3:12" ht="13">
      <c r="C283" s="16"/>
      <c r="D283" s="16"/>
      <c r="E283" s="16"/>
      <c r="F283" s="16"/>
      <c r="G283" s="16"/>
      <c r="H283" s="16"/>
      <c r="I283" s="16"/>
      <c r="J283" s="16"/>
      <c r="K283" s="16"/>
      <c r="L283" s="16"/>
    </row>
    <row r="284" spans="3:12" ht="13">
      <c r="C284" s="16"/>
      <c r="D284" s="16"/>
      <c r="E284" s="16"/>
      <c r="F284" s="16"/>
      <c r="G284" s="16"/>
      <c r="H284" s="16"/>
      <c r="I284" s="16"/>
      <c r="J284" s="16"/>
      <c r="K284" s="16"/>
      <c r="L284" s="16"/>
    </row>
    <row r="285" spans="3:12" ht="13">
      <c r="C285" s="16"/>
      <c r="D285" s="16"/>
      <c r="E285" s="16"/>
      <c r="F285" s="16"/>
      <c r="G285" s="16"/>
      <c r="H285" s="16"/>
      <c r="I285" s="16"/>
      <c r="J285" s="16"/>
      <c r="K285" s="16"/>
      <c r="L285" s="16"/>
    </row>
    <row r="286" spans="3:12" ht="13">
      <c r="C286" s="16"/>
      <c r="D286" s="16"/>
      <c r="E286" s="16"/>
      <c r="F286" s="16"/>
      <c r="G286" s="16"/>
      <c r="H286" s="16"/>
      <c r="I286" s="16"/>
      <c r="J286" s="16"/>
      <c r="K286" s="16"/>
      <c r="L286" s="16"/>
    </row>
    <row r="287" spans="3:12" ht="13">
      <c r="C287" s="16"/>
      <c r="D287" s="16"/>
      <c r="E287" s="16"/>
      <c r="F287" s="16"/>
      <c r="G287" s="16"/>
      <c r="H287" s="16"/>
      <c r="I287" s="16"/>
      <c r="J287" s="16"/>
      <c r="K287" s="16"/>
      <c r="L287" s="16"/>
    </row>
    <row r="288" spans="3:12" ht="13">
      <c r="C288" s="16"/>
      <c r="D288" s="16"/>
      <c r="E288" s="16"/>
      <c r="F288" s="16"/>
      <c r="G288" s="16"/>
      <c r="H288" s="16"/>
      <c r="I288" s="16"/>
      <c r="J288" s="16"/>
      <c r="K288" s="16"/>
      <c r="L288" s="16"/>
    </row>
    <row r="289" spans="3:12" ht="13">
      <c r="C289" s="16"/>
      <c r="D289" s="16"/>
      <c r="E289" s="16"/>
      <c r="F289" s="16"/>
      <c r="G289" s="16"/>
      <c r="H289" s="16"/>
      <c r="I289" s="16"/>
      <c r="J289" s="16"/>
      <c r="K289" s="16"/>
      <c r="L289" s="16"/>
    </row>
    <row r="290" spans="3:12" ht="13">
      <c r="C290" s="16"/>
      <c r="D290" s="16"/>
      <c r="E290" s="16"/>
      <c r="F290" s="16"/>
      <c r="G290" s="16"/>
      <c r="H290" s="16"/>
      <c r="I290" s="16"/>
      <c r="J290" s="16"/>
      <c r="K290" s="16"/>
      <c r="L290" s="16"/>
    </row>
    <row r="291" spans="3:12" ht="13">
      <c r="C291" s="16"/>
      <c r="D291" s="16"/>
      <c r="E291" s="16"/>
      <c r="F291" s="16"/>
      <c r="G291" s="16"/>
      <c r="H291" s="16"/>
      <c r="I291" s="16"/>
      <c r="J291" s="16"/>
      <c r="K291" s="16"/>
      <c r="L291" s="16"/>
    </row>
    <row r="292" spans="3:12" ht="13">
      <c r="C292" s="16"/>
      <c r="D292" s="16"/>
      <c r="E292" s="16"/>
      <c r="F292" s="16"/>
      <c r="G292" s="16"/>
      <c r="H292" s="16"/>
      <c r="I292" s="16"/>
      <c r="J292" s="16"/>
      <c r="K292" s="16"/>
      <c r="L292" s="16"/>
    </row>
    <row r="293" spans="3:12" ht="13">
      <c r="C293" s="16"/>
      <c r="D293" s="16"/>
      <c r="E293" s="16"/>
      <c r="F293" s="16"/>
      <c r="G293" s="16"/>
      <c r="H293" s="16"/>
      <c r="I293" s="16"/>
      <c r="J293" s="16"/>
      <c r="K293" s="16"/>
      <c r="L293" s="16"/>
    </row>
    <row r="294" spans="3:12" ht="13">
      <c r="C294" s="16"/>
      <c r="D294" s="16"/>
      <c r="E294" s="16"/>
      <c r="F294" s="16"/>
      <c r="G294" s="16"/>
      <c r="H294" s="16"/>
      <c r="I294" s="16"/>
      <c r="J294" s="16"/>
      <c r="K294" s="16"/>
      <c r="L294" s="16"/>
    </row>
    <row r="295" spans="3:12" ht="13">
      <c r="C295" s="16"/>
      <c r="D295" s="16"/>
      <c r="E295" s="16"/>
      <c r="F295" s="16"/>
      <c r="G295" s="16"/>
      <c r="H295" s="16"/>
      <c r="I295" s="16"/>
      <c r="J295" s="16"/>
      <c r="K295" s="16"/>
      <c r="L295" s="16"/>
    </row>
    <row r="296" spans="3:12" ht="13">
      <c r="C296" s="16"/>
      <c r="D296" s="16"/>
      <c r="E296" s="16"/>
      <c r="F296" s="16"/>
      <c r="G296" s="16"/>
      <c r="H296" s="16"/>
      <c r="I296" s="16"/>
      <c r="J296" s="16"/>
      <c r="K296" s="16"/>
      <c r="L296" s="16"/>
    </row>
    <row r="297" spans="3:12" ht="13">
      <c r="C297" s="16"/>
      <c r="D297" s="16"/>
      <c r="E297" s="16"/>
      <c r="F297" s="16"/>
      <c r="G297" s="16"/>
      <c r="H297" s="16"/>
      <c r="I297" s="16"/>
      <c r="J297" s="16"/>
      <c r="K297" s="16"/>
      <c r="L297" s="16"/>
    </row>
    <row r="298" spans="3:12" ht="13">
      <c r="C298" s="16"/>
      <c r="D298" s="16"/>
      <c r="E298" s="16"/>
      <c r="F298" s="16"/>
      <c r="G298" s="16"/>
      <c r="H298" s="16"/>
      <c r="I298" s="16"/>
      <c r="J298" s="16"/>
      <c r="K298" s="16"/>
      <c r="L298" s="16"/>
    </row>
    <row r="299" spans="3:12" ht="13">
      <c r="C299" s="16"/>
      <c r="D299" s="16"/>
      <c r="E299" s="16"/>
      <c r="F299" s="16"/>
      <c r="G299" s="16"/>
      <c r="H299" s="16"/>
      <c r="I299" s="16"/>
      <c r="J299" s="16"/>
      <c r="K299" s="16"/>
      <c r="L299" s="16"/>
    </row>
    <row r="300" spans="3:12" ht="13">
      <c r="C300" s="16"/>
      <c r="D300" s="16"/>
      <c r="E300" s="16"/>
      <c r="F300" s="16"/>
      <c r="G300" s="16"/>
      <c r="H300" s="16"/>
      <c r="I300" s="16"/>
      <c r="J300" s="16"/>
      <c r="K300" s="16"/>
      <c r="L300" s="16"/>
    </row>
    <row r="301" spans="3:12" ht="13">
      <c r="C301" s="16"/>
      <c r="D301" s="16"/>
      <c r="E301" s="16"/>
      <c r="F301" s="16"/>
      <c r="G301" s="16"/>
      <c r="H301" s="16"/>
      <c r="I301" s="16"/>
      <c r="J301" s="16"/>
      <c r="K301" s="16"/>
      <c r="L301" s="16"/>
    </row>
    <row r="302" spans="3:12" ht="13">
      <c r="C302" s="16"/>
      <c r="D302" s="16"/>
      <c r="E302" s="16"/>
      <c r="F302" s="16"/>
      <c r="G302" s="16"/>
      <c r="H302" s="16"/>
      <c r="I302" s="16"/>
      <c r="J302" s="16"/>
      <c r="K302" s="16"/>
      <c r="L302" s="16"/>
    </row>
  </sheetData>
  <mergeCells count="13">
    <mergeCell ref="C9:D9"/>
    <mergeCell ref="E4:H4"/>
    <mergeCell ref="N4:Q4"/>
    <mergeCell ref="C6:D6"/>
    <mergeCell ref="C7:D7"/>
    <mergeCell ref="C8:D8"/>
    <mergeCell ref="C18:D18"/>
    <mergeCell ref="C20:D20"/>
    <mergeCell ref="N92:Q92"/>
    <mergeCell ref="C32:D32"/>
    <mergeCell ref="C33:D33"/>
    <mergeCell ref="C34:D34"/>
    <mergeCell ref="E92:H92"/>
  </mergeCells>
  <phoneticPr fontId="0" type="noConversion"/>
  <pageMargins left="0.36" right="0.38" top="0.42" bottom="0.52" header="0.23" footer="0.28000000000000003"/>
  <pageSetup scale="66" fitToHeight="0" orientation="landscape" r:id="rId1"/>
  <headerFooter alignWithMargins="0"/>
  <rowBreaks count="3" manualBreakCount="3">
    <brk id="41" max="16383" man="1"/>
    <brk id="88" max="16383" man="1"/>
    <brk id="12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C18:O27"/>
  <sheetViews>
    <sheetView workbookViewId="0">
      <selection activeCell="G13" sqref="G13"/>
    </sheetView>
  </sheetViews>
  <sheetFormatPr defaultRowHeight="12.5"/>
  <sheetData>
    <row r="18" spans="3:15" ht="12.75" customHeight="1">
      <c r="C18" s="413" t="str">
        <f>+'Historical Analysis'!C1</f>
        <v>QUALCOMM Incorporated (QCOM)</v>
      </c>
      <c r="D18" s="414"/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</row>
    <row r="19" spans="3:15" ht="12.75" customHeight="1"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</row>
    <row r="20" spans="3:15" ht="38.25" customHeight="1"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</row>
    <row r="27" spans="3:15" ht="15.5">
      <c r="F27" s="415" t="s">
        <v>171</v>
      </c>
      <c r="G27" s="416"/>
      <c r="H27" s="416"/>
      <c r="I27" s="416"/>
      <c r="J27" s="416"/>
      <c r="K27" s="416"/>
      <c r="L27" s="416"/>
    </row>
  </sheetData>
  <mergeCells count="2">
    <mergeCell ref="C18:O20"/>
    <mergeCell ref="F27:L27"/>
  </mergeCells>
  <phoneticPr fontId="23" type="noConversion"/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Y417"/>
  <sheetViews>
    <sheetView tabSelected="1" topLeftCell="A5" workbookViewId="0">
      <selection activeCell="D22" sqref="D22"/>
    </sheetView>
  </sheetViews>
  <sheetFormatPr defaultRowHeight="12.5"/>
  <cols>
    <col min="1" max="1" width="36.1796875" customWidth="1"/>
    <col min="2" max="2" width="14.1796875" customWidth="1"/>
    <col min="3" max="5" width="12.453125" customWidth="1"/>
    <col min="6" max="8" width="12.54296875" customWidth="1"/>
    <col min="9" max="9" width="11" customWidth="1"/>
    <col min="10" max="10" width="4.1796875" customWidth="1"/>
    <col min="11" max="11" width="8.81640625" customWidth="1"/>
    <col min="12" max="12" width="11.1796875" customWidth="1"/>
    <col min="13" max="13" width="3.81640625" customWidth="1"/>
    <col min="14" max="18" width="12.81640625" customWidth="1"/>
    <col min="19" max="19" width="13.453125" customWidth="1"/>
    <col min="20" max="20" width="12.81640625" bestFit="1" customWidth="1"/>
  </cols>
  <sheetData>
    <row r="1" spans="1:25" ht="20">
      <c r="A1" s="79" t="str">
        <f>+'Historical Analysis'!C1</f>
        <v>QUALCOMM Incorporated (QCOM)</v>
      </c>
      <c r="B1" s="79"/>
      <c r="C1" s="79"/>
      <c r="D1" s="79"/>
      <c r="E1" s="79"/>
      <c r="F1" s="79"/>
      <c r="G1" s="79"/>
      <c r="H1" s="79"/>
    </row>
    <row r="2" spans="1:25" ht="15" customHeight="1"/>
    <row r="3" spans="1:25" ht="16" thickBot="1">
      <c r="A3" s="2" t="s">
        <v>113</v>
      </c>
      <c r="B3" s="262"/>
      <c r="C3" s="262"/>
      <c r="D3" s="262"/>
      <c r="E3" s="262"/>
      <c r="F3" s="423"/>
      <c r="G3" s="423"/>
      <c r="H3" s="423"/>
      <c r="I3" s="423"/>
      <c r="J3" s="80"/>
      <c r="N3" s="423" t="s">
        <v>172</v>
      </c>
      <c r="O3" s="423"/>
      <c r="P3" s="423"/>
      <c r="Q3" s="423"/>
      <c r="R3" s="423"/>
      <c r="S3" s="424"/>
    </row>
    <row r="4" spans="1:25" ht="15" customHeight="1" thickBot="1">
      <c r="A4" s="2"/>
      <c r="B4" s="2"/>
      <c r="C4" s="2"/>
      <c r="D4" s="2"/>
      <c r="E4" s="2"/>
      <c r="F4" s="2"/>
      <c r="G4" s="2"/>
      <c r="H4" s="2"/>
      <c r="I4" s="153" t="s">
        <v>141</v>
      </c>
      <c r="J4" s="80"/>
    </row>
    <row r="5" spans="1:25" ht="47.25" customHeight="1" thickBot="1">
      <c r="A5" s="81" t="s">
        <v>117</v>
      </c>
      <c r="B5" s="282">
        <f>+'Historical Analysis'!L6</f>
        <v>42643</v>
      </c>
      <c r="C5" s="283">
        <f>+'Historical Analysis'!K6</f>
        <v>43008</v>
      </c>
      <c r="D5" s="283">
        <f>+'Historical Analysis'!J6</f>
        <v>43373</v>
      </c>
      <c r="E5" s="283">
        <f>+'Historical Analysis'!I6</f>
        <v>43738</v>
      </c>
      <c r="F5" s="283">
        <f>+'Historical Analysis'!H6</f>
        <v>44104</v>
      </c>
      <c r="G5" s="283">
        <f>+'Historical Analysis'!G6</f>
        <v>44469</v>
      </c>
      <c r="H5" s="283">
        <f>+'Historical Analysis'!F6</f>
        <v>44834</v>
      </c>
      <c r="I5" s="284">
        <f>+'Historical Analysis'!E6</f>
        <v>45199</v>
      </c>
      <c r="J5" s="83"/>
      <c r="K5" s="246" t="s">
        <v>173</v>
      </c>
      <c r="L5" s="84" t="s">
        <v>174</v>
      </c>
      <c r="M5" s="83"/>
      <c r="N5" s="404">
        <v>45291</v>
      </c>
      <c r="O5" s="283">
        <f>+N5+365</f>
        <v>45656</v>
      </c>
      <c r="P5" s="283">
        <f>+O5+365</f>
        <v>46021</v>
      </c>
      <c r="Q5" s="283">
        <f>+P5+365</f>
        <v>46386</v>
      </c>
      <c r="R5" s="283">
        <f>+Q5+366</f>
        <v>46752</v>
      </c>
      <c r="S5" s="285">
        <f>+R5+365</f>
        <v>47117</v>
      </c>
      <c r="T5" s="61"/>
    </row>
    <row r="6" spans="1:25" ht="12.75" customHeight="1">
      <c r="A6" s="81"/>
      <c r="B6" s="81"/>
      <c r="C6" s="81"/>
      <c r="D6" s="81"/>
      <c r="E6" s="81"/>
      <c r="F6" s="81"/>
      <c r="G6" s="81"/>
      <c r="H6" s="81"/>
      <c r="I6" s="85"/>
      <c r="J6" s="80"/>
      <c r="K6" s="86"/>
      <c r="L6" s="87"/>
      <c r="M6" s="88"/>
      <c r="N6" s="89"/>
      <c r="O6" s="89"/>
      <c r="P6" s="89"/>
      <c r="Q6" s="89"/>
      <c r="R6" s="89"/>
      <c r="S6" s="89"/>
    </row>
    <row r="7" spans="1:25" ht="12.75" customHeight="1">
      <c r="A7" s="90" t="s">
        <v>118</v>
      </c>
      <c r="B7" s="91">
        <f>+'Historical Analysis'!L7</f>
        <v>23554000</v>
      </c>
      <c r="C7" s="91">
        <f>+'Historical Analysis'!K7</f>
        <v>22291000</v>
      </c>
      <c r="D7" s="91">
        <f>+'Historical Analysis'!J7</f>
        <v>22611000</v>
      </c>
      <c r="E7" s="91">
        <f>+'Historical Analysis'!I7</f>
        <v>24273000</v>
      </c>
      <c r="F7" s="91">
        <f>+'Historical Analysis'!H7</f>
        <v>23531000</v>
      </c>
      <c r="G7" s="91">
        <f>+'Historical Analysis'!G7</f>
        <v>33566000</v>
      </c>
      <c r="H7" s="91">
        <f>+'Historical Analysis'!F7</f>
        <v>44200000</v>
      </c>
      <c r="I7" s="92">
        <f>+'Historical Analysis'!E7</f>
        <v>35820000</v>
      </c>
      <c r="J7" s="80"/>
      <c r="K7" s="93"/>
      <c r="L7" s="94"/>
      <c r="M7" s="95"/>
      <c r="N7" s="96">
        <f>+H7*(1+N19)</f>
        <v>45526000</v>
      </c>
      <c r="O7" s="96">
        <f>+N7*(1+O19)</f>
        <v>47119410</v>
      </c>
      <c r="P7" s="96">
        <f>+O7*(1+P19)</f>
        <v>49004186.399999999</v>
      </c>
      <c r="Q7" s="96">
        <f>+P7*(1+Q19)</f>
        <v>51454395.719999999</v>
      </c>
      <c r="R7" s="96">
        <f>+Q7*(1+R19)</f>
        <v>54284387.484599993</v>
      </c>
      <c r="S7" s="96">
        <f>+R7*(1+S19)</f>
        <v>57541450.733675994</v>
      </c>
    </row>
    <row r="8" spans="1:25" ht="12.75" customHeight="1">
      <c r="A8" s="350" t="s">
        <v>9</v>
      </c>
      <c r="B8" s="97">
        <f>+'Historical Analysis'!L8</f>
        <v>9749000</v>
      </c>
      <c r="C8" s="97">
        <f>+'Historical Analysis'!K8</f>
        <v>9792000</v>
      </c>
      <c r="D8" s="97">
        <f>+'Historical Analysis'!J8</f>
        <v>10244000</v>
      </c>
      <c r="E8" s="97">
        <f>+'Historical Analysis'!I8</f>
        <v>8599000</v>
      </c>
      <c r="F8" s="97">
        <f>+'Historical Analysis'!H8</f>
        <v>9255000</v>
      </c>
      <c r="G8" s="97">
        <f>+'Historical Analysis'!G8</f>
        <v>14262000</v>
      </c>
      <c r="H8" s="97">
        <f>+'Historical Analysis'!F8</f>
        <v>18635000</v>
      </c>
      <c r="I8" s="98">
        <f>+'Historical Analysis'!E8</f>
        <v>15869000</v>
      </c>
      <c r="J8" s="80"/>
      <c r="K8" s="93"/>
      <c r="L8" s="99"/>
      <c r="M8" s="351"/>
      <c r="N8" s="100">
        <f t="shared" ref="N8:S8" si="0">+N7-N9</f>
        <v>22193925.000000004</v>
      </c>
      <c r="O8" s="100">
        <f>+O7-O9</f>
        <v>22970712.375000004</v>
      </c>
      <c r="P8" s="100">
        <f t="shared" si="0"/>
        <v>23889540.870000001</v>
      </c>
      <c r="Q8" s="100">
        <f t="shared" si="0"/>
        <v>25084017.913500004</v>
      </c>
      <c r="R8" s="100">
        <f t="shared" si="0"/>
        <v>26463638.898742497</v>
      </c>
      <c r="S8" s="100">
        <f t="shared" si="0"/>
        <v>28051457.232667051</v>
      </c>
    </row>
    <row r="9" spans="1:25" ht="12.75" customHeight="1">
      <c r="A9" s="90" t="s">
        <v>119</v>
      </c>
      <c r="B9" s="96">
        <f t="shared" ref="B9:I9" si="1">+B7-B8</f>
        <v>13805000</v>
      </c>
      <c r="C9" s="96">
        <f t="shared" si="1"/>
        <v>12499000</v>
      </c>
      <c r="D9" s="96">
        <f t="shared" si="1"/>
        <v>12367000</v>
      </c>
      <c r="E9" s="96">
        <f>+E7-E8</f>
        <v>15674000</v>
      </c>
      <c r="F9" s="96">
        <f t="shared" si="1"/>
        <v>14276000</v>
      </c>
      <c r="G9" s="96">
        <f t="shared" si="1"/>
        <v>19304000</v>
      </c>
      <c r="H9" s="96">
        <f t="shared" si="1"/>
        <v>25565000</v>
      </c>
      <c r="I9" s="92">
        <f t="shared" si="1"/>
        <v>19951000</v>
      </c>
      <c r="J9" s="80"/>
      <c r="K9" s="93"/>
      <c r="L9" s="94"/>
      <c r="M9" s="95"/>
      <c r="N9" s="96">
        <f t="shared" ref="N9:S9" si="2">+N7*N20</f>
        <v>23332074.999999996</v>
      </c>
      <c r="O9" s="96">
        <f>+O7*O20</f>
        <v>24148697.624999996</v>
      </c>
      <c r="P9" s="96">
        <f t="shared" si="2"/>
        <v>25114645.529999997</v>
      </c>
      <c r="Q9" s="96">
        <f t="shared" si="2"/>
        <v>26370377.806499995</v>
      </c>
      <c r="R9" s="96">
        <f t="shared" si="2"/>
        <v>27820748.585857496</v>
      </c>
      <c r="S9" s="96">
        <f t="shared" si="2"/>
        <v>29489993.501008943</v>
      </c>
    </row>
    <row r="10" spans="1:25" ht="12.75" customHeight="1">
      <c r="A10" s="350" t="s">
        <v>16</v>
      </c>
      <c r="B10" s="97">
        <f>+'Historical Analysis'!L16</f>
        <v>7310000</v>
      </c>
      <c r="C10" s="97">
        <f>+'Historical Analysis'!K16</f>
        <v>9885000</v>
      </c>
      <c r="D10" s="97">
        <f>+'Historical Analysis'!J16</f>
        <v>11746000</v>
      </c>
      <c r="E10" s="97">
        <f>+'Historical Analysis'!I16</f>
        <v>8007000</v>
      </c>
      <c r="F10" s="97">
        <f>+'Historical Analysis'!H16</f>
        <v>8021000</v>
      </c>
      <c r="G10" s="97">
        <f>+'Historical Analysis'!G16</f>
        <v>9515000</v>
      </c>
      <c r="H10" s="97">
        <f>+'Historical Analysis'!F16</f>
        <v>9705000</v>
      </c>
      <c r="I10" s="98">
        <f>+'Historical Analysis'!E16</f>
        <v>12166000</v>
      </c>
      <c r="J10" s="80"/>
      <c r="K10" s="93"/>
      <c r="L10" s="99"/>
      <c r="M10" s="351"/>
      <c r="N10" s="100">
        <f t="shared" ref="N10:S10" si="3">+N21*N7</f>
        <v>12747280.000000002</v>
      </c>
      <c r="O10" s="100">
        <f t="shared" si="3"/>
        <v>13193434.800000001</v>
      </c>
      <c r="P10" s="100">
        <f t="shared" si="3"/>
        <v>13721172.192000002</v>
      </c>
      <c r="Q10" s="100">
        <f t="shared" si="3"/>
        <v>14407230.801600002</v>
      </c>
      <c r="R10" s="100">
        <f t="shared" si="3"/>
        <v>15199628.495687999</v>
      </c>
      <c r="S10" s="100">
        <f t="shared" si="3"/>
        <v>16111606.20542928</v>
      </c>
    </row>
    <row r="11" spans="1:25" ht="12.75" customHeight="1">
      <c r="A11" s="350"/>
      <c r="B11" s="101"/>
      <c r="C11" s="101"/>
      <c r="D11" s="101"/>
      <c r="E11" s="101"/>
      <c r="F11" s="101"/>
      <c r="G11" s="101"/>
      <c r="H11" s="101"/>
      <c r="I11" s="102"/>
      <c r="J11" s="80"/>
      <c r="K11" s="93"/>
      <c r="L11" s="103"/>
      <c r="M11" s="350"/>
      <c r="N11" s="101"/>
      <c r="O11" s="101"/>
      <c r="P11" s="101"/>
      <c r="Q11" s="101"/>
      <c r="R11" s="101"/>
      <c r="S11" s="101"/>
    </row>
    <row r="12" spans="1:25" ht="12.75" customHeight="1">
      <c r="A12" s="350" t="s">
        <v>175</v>
      </c>
      <c r="B12" s="104">
        <f t="shared" ref="B12:I12" si="4">+B9-B10</f>
        <v>6495000</v>
      </c>
      <c r="C12" s="104">
        <f t="shared" si="4"/>
        <v>2614000</v>
      </c>
      <c r="D12" s="104">
        <f>+D9-D10</f>
        <v>621000</v>
      </c>
      <c r="E12" s="104">
        <f>+E9-E10</f>
        <v>7667000</v>
      </c>
      <c r="F12" s="104">
        <f t="shared" si="4"/>
        <v>6255000</v>
      </c>
      <c r="G12" s="104">
        <f t="shared" si="4"/>
        <v>9789000</v>
      </c>
      <c r="H12" s="104">
        <f t="shared" si="4"/>
        <v>15860000</v>
      </c>
      <c r="I12" s="105">
        <f t="shared" si="4"/>
        <v>7785000</v>
      </c>
      <c r="J12" s="80"/>
      <c r="K12" s="106"/>
      <c r="L12" s="99"/>
      <c r="M12" s="352"/>
      <c r="N12" s="104">
        <f t="shared" ref="N12:S12" si="5">+N9-N10</f>
        <v>10584794.999999994</v>
      </c>
      <c r="O12" s="104">
        <f t="shared" si="5"/>
        <v>10955262.824999996</v>
      </c>
      <c r="P12" s="104">
        <f t="shared" si="5"/>
        <v>11393473.337999996</v>
      </c>
      <c r="Q12" s="104">
        <f t="shared" si="5"/>
        <v>11963147.004899994</v>
      </c>
      <c r="R12" s="104">
        <f t="shared" si="5"/>
        <v>12621120.090169497</v>
      </c>
      <c r="S12" s="104">
        <f t="shared" si="5"/>
        <v>13378387.295579663</v>
      </c>
    </row>
    <row r="13" spans="1:25" ht="14.25" customHeight="1">
      <c r="A13" s="350" t="s">
        <v>21</v>
      </c>
      <c r="B13" s="97">
        <f>+'Historical Analysis'!L21</f>
        <v>0</v>
      </c>
      <c r="C13" s="97">
        <f>+'Historical Analysis'!K21</f>
        <v>0</v>
      </c>
      <c r="D13" s="97">
        <f>+'Historical Analysis'!J21</f>
        <v>0</v>
      </c>
      <c r="E13" s="97">
        <f>+'Historical Analysis'!I21</f>
        <v>0</v>
      </c>
      <c r="F13" s="97">
        <f>+'Historical Analysis'!H21</f>
        <v>602000</v>
      </c>
      <c r="G13" s="97">
        <f>+'Historical Analysis'!G21</f>
        <v>-559000</v>
      </c>
      <c r="H13" s="97">
        <f>+'Historical Analysis'!F21</f>
        <v>-399000</v>
      </c>
      <c r="I13" s="98">
        <f>+'Historical Analysis'!E21</f>
        <v>694000</v>
      </c>
      <c r="J13" s="80"/>
      <c r="K13" s="107"/>
      <c r="L13" s="99"/>
      <c r="M13" s="351"/>
      <c r="N13" s="100">
        <f t="shared" ref="N13:S13" si="6">+N36</f>
        <v>690234.5950135641</v>
      </c>
      <c r="O13" s="100">
        <f t="shared" si="6"/>
        <v>659300</v>
      </c>
      <c r="P13" s="100">
        <f t="shared" si="6"/>
        <v>624600</v>
      </c>
      <c r="Q13" s="100">
        <f t="shared" si="6"/>
        <v>589900</v>
      </c>
      <c r="R13" s="100">
        <f t="shared" si="6"/>
        <v>555200</v>
      </c>
      <c r="S13" s="100">
        <f t="shared" si="6"/>
        <v>520500</v>
      </c>
      <c r="U13" s="2" t="s">
        <v>176</v>
      </c>
      <c r="V13" s="2"/>
      <c r="W13" s="2"/>
      <c r="X13" s="2"/>
      <c r="Y13" s="2"/>
    </row>
    <row r="14" spans="1:25" ht="14.25" customHeight="1">
      <c r="A14" s="350" t="s">
        <v>177</v>
      </c>
      <c r="B14" s="101">
        <f t="shared" ref="B14:I14" si="7">+B12-B13</f>
        <v>6495000</v>
      </c>
      <c r="C14" s="101">
        <f t="shared" si="7"/>
        <v>2614000</v>
      </c>
      <c r="D14" s="101">
        <f t="shared" si="7"/>
        <v>621000</v>
      </c>
      <c r="E14" s="101">
        <f>+E12-E13</f>
        <v>7667000</v>
      </c>
      <c r="F14" s="101">
        <f t="shared" si="7"/>
        <v>5653000</v>
      </c>
      <c r="G14" s="101">
        <f t="shared" si="7"/>
        <v>10348000</v>
      </c>
      <c r="H14" s="101">
        <f t="shared" si="7"/>
        <v>16259000</v>
      </c>
      <c r="I14" s="105">
        <f t="shared" si="7"/>
        <v>7091000</v>
      </c>
      <c r="J14" s="80"/>
      <c r="K14" s="106"/>
      <c r="L14" s="99"/>
      <c r="M14" s="352"/>
      <c r="N14" s="104">
        <f t="shared" ref="N14:S14" si="8">+N12-N13</f>
        <v>9894560.40498643</v>
      </c>
      <c r="O14" s="104">
        <f t="shared" si="8"/>
        <v>10295962.824999996</v>
      </c>
      <c r="P14" s="104">
        <f t="shared" si="8"/>
        <v>10768873.337999996</v>
      </c>
      <c r="Q14" s="104">
        <f t="shared" si="8"/>
        <v>11373247.004899994</v>
      </c>
      <c r="R14" s="104">
        <f t="shared" si="8"/>
        <v>12065920.090169497</v>
      </c>
      <c r="S14" s="104">
        <f t="shared" si="8"/>
        <v>12857887.295579663</v>
      </c>
      <c r="U14" s="2" t="s">
        <v>178</v>
      </c>
      <c r="V14" s="2"/>
      <c r="W14" s="2"/>
      <c r="X14" s="2"/>
      <c r="Y14" s="2"/>
    </row>
    <row r="15" spans="1:25" ht="12.75" customHeight="1">
      <c r="A15" s="350" t="s">
        <v>23</v>
      </c>
      <c r="B15" s="97">
        <f>+'Historical Analysis'!L23</f>
        <v>1131000</v>
      </c>
      <c r="C15" s="97">
        <f>+'Historical Analysis'!K23</f>
        <v>555000</v>
      </c>
      <c r="D15" s="97">
        <f>+'Historical Analysis'!J23</f>
        <v>5356000</v>
      </c>
      <c r="E15" s="97">
        <f>+'Historical Analysis'!I23</f>
        <v>3095000</v>
      </c>
      <c r="F15" s="97">
        <f>+'Historical Analysis'!H23</f>
        <v>521000</v>
      </c>
      <c r="G15" s="97">
        <f>+'Historical Analysis'!G23</f>
        <v>1231000</v>
      </c>
      <c r="H15" s="97">
        <f>+'Historical Analysis'!F23</f>
        <v>2012000</v>
      </c>
      <c r="I15" s="98">
        <f>+'Historical Analysis'!E23</f>
        <v>104000</v>
      </c>
      <c r="J15" s="80"/>
      <c r="K15" s="107"/>
      <c r="L15" s="99"/>
      <c r="M15" s="352"/>
      <c r="N15" s="100">
        <f t="shared" ref="N15:S15" si="9">+N14*N22</f>
        <v>2473640.1012466075</v>
      </c>
      <c r="O15" s="100">
        <f t="shared" si="9"/>
        <v>2573990.7062499989</v>
      </c>
      <c r="P15" s="100">
        <f t="shared" si="9"/>
        <v>2692218.3344999989</v>
      </c>
      <c r="Q15" s="100">
        <f t="shared" si="9"/>
        <v>2843311.7512249984</v>
      </c>
      <c r="R15" s="100">
        <f t="shared" si="9"/>
        <v>3016480.0225423742</v>
      </c>
      <c r="S15" s="100">
        <f t="shared" si="9"/>
        <v>3214471.8238949156</v>
      </c>
      <c r="U15" s="2" t="s">
        <v>179</v>
      </c>
      <c r="V15" s="2"/>
      <c r="W15" s="2"/>
      <c r="X15" s="2"/>
      <c r="Y15" s="2"/>
    </row>
    <row r="16" spans="1:25" ht="14.25" customHeight="1">
      <c r="A16" s="90" t="s">
        <v>124</v>
      </c>
      <c r="B16" s="91">
        <f t="shared" ref="B16:I16" si="10">+B14-B15</f>
        <v>5364000</v>
      </c>
      <c r="C16" s="91">
        <f t="shared" si="10"/>
        <v>2059000</v>
      </c>
      <c r="D16" s="91">
        <f t="shared" si="10"/>
        <v>-4735000</v>
      </c>
      <c r="E16" s="91">
        <f>+E14-E15</f>
        <v>4572000</v>
      </c>
      <c r="F16" s="91">
        <f t="shared" si="10"/>
        <v>5132000</v>
      </c>
      <c r="G16" s="91">
        <f t="shared" si="10"/>
        <v>9117000</v>
      </c>
      <c r="H16" s="91">
        <f t="shared" si="10"/>
        <v>14247000</v>
      </c>
      <c r="I16" s="92">
        <f t="shared" si="10"/>
        <v>6987000</v>
      </c>
      <c r="J16" s="80"/>
      <c r="K16" s="106"/>
      <c r="L16" s="99"/>
      <c r="M16" s="352"/>
      <c r="N16" s="104">
        <f t="shared" ref="N16:S16" si="11">+N14-N15</f>
        <v>7420920.3037398225</v>
      </c>
      <c r="O16" s="104">
        <f t="shared" si="11"/>
        <v>7721972.1187499966</v>
      </c>
      <c r="P16" s="104">
        <f t="shared" si="11"/>
        <v>8076655.0034999968</v>
      </c>
      <c r="Q16" s="104">
        <f t="shared" si="11"/>
        <v>8529935.2536749952</v>
      </c>
      <c r="R16" s="104">
        <f t="shared" si="11"/>
        <v>9049440.0676271226</v>
      </c>
      <c r="S16" s="104">
        <f t="shared" si="11"/>
        <v>9643415.4716847464</v>
      </c>
      <c r="U16" s="2" t="s">
        <v>180</v>
      </c>
      <c r="V16" s="2"/>
      <c r="W16" s="2"/>
      <c r="X16" s="2"/>
      <c r="Y16" s="2"/>
    </row>
    <row r="17" spans="1:25" ht="12.75" customHeight="1">
      <c r="A17" s="350"/>
      <c r="B17" s="101"/>
      <c r="C17" s="101"/>
      <c r="D17" s="101"/>
      <c r="E17" s="101"/>
      <c r="F17" s="101"/>
      <c r="G17" s="101"/>
      <c r="H17" s="101"/>
      <c r="I17" s="102"/>
      <c r="J17" s="80"/>
      <c r="K17" s="108"/>
      <c r="L17" s="103"/>
      <c r="M17" s="350"/>
      <c r="N17" s="101"/>
      <c r="O17" s="101"/>
      <c r="P17" s="101"/>
      <c r="Q17" s="101"/>
      <c r="R17" s="101"/>
      <c r="S17" s="101"/>
      <c r="U17" s="2" t="s">
        <v>181</v>
      </c>
      <c r="V17" s="2"/>
      <c r="W17" s="2"/>
      <c r="X17" s="2"/>
      <c r="Y17" s="2"/>
    </row>
    <row r="18" spans="1:25" ht="12.75" customHeight="1">
      <c r="A18" s="109" t="s">
        <v>182</v>
      </c>
      <c r="B18" s="110"/>
      <c r="C18" s="110"/>
      <c r="D18" s="110"/>
      <c r="E18" s="110"/>
      <c r="F18" s="110"/>
      <c r="G18" s="110"/>
      <c r="H18" s="110"/>
      <c r="I18" s="111"/>
      <c r="J18" s="80"/>
      <c r="K18" s="112"/>
      <c r="L18" s="113"/>
      <c r="M18" s="114"/>
      <c r="N18" s="115"/>
      <c r="O18" s="115"/>
      <c r="P18" s="115"/>
      <c r="Q18" s="115"/>
      <c r="R18" s="115"/>
      <c r="S18" s="115"/>
      <c r="U18" s="2" t="s">
        <v>183</v>
      </c>
      <c r="V18" s="2"/>
      <c r="W18" s="2"/>
      <c r="X18" s="2"/>
      <c r="Y18" s="2"/>
    </row>
    <row r="19" spans="1:25" ht="12.75" customHeight="1">
      <c r="A19" s="350" t="s">
        <v>169</v>
      </c>
      <c r="B19" s="115"/>
      <c r="C19" s="115">
        <f t="shared" ref="C19:I19" si="12">+C7/B7-1</f>
        <v>-5.3621465568480908E-2</v>
      </c>
      <c r="D19" s="115">
        <f>+D7/C7-1</f>
        <v>1.4355569512359168E-2</v>
      </c>
      <c r="E19" s="115">
        <f>+E7/B7-1</f>
        <v>3.0525600747219217E-2</v>
      </c>
      <c r="F19" s="115">
        <f>+F7/D7-1</f>
        <v>4.0688160629781978E-2</v>
      </c>
      <c r="G19" s="115">
        <f t="shared" si="12"/>
        <v>0.42645871403680258</v>
      </c>
      <c r="H19" s="115">
        <f t="shared" si="12"/>
        <v>0.31680867544539115</v>
      </c>
      <c r="I19" s="116">
        <f t="shared" si="12"/>
        <v>-0.18959276018099547</v>
      </c>
      <c r="J19" s="80"/>
      <c r="K19" s="117">
        <f>AVERAGE(B19:H19)</f>
        <v>0.12920254246717885</v>
      </c>
      <c r="L19" s="237"/>
      <c r="M19" s="114"/>
      <c r="N19" s="125">
        <v>0.03</v>
      </c>
      <c r="O19" s="125">
        <v>3.5000000000000003E-2</v>
      </c>
      <c r="P19" s="125">
        <v>0.04</v>
      </c>
      <c r="Q19" s="125">
        <v>0.05</v>
      </c>
      <c r="R19" s="125">
        <v>5.5E-2</v>
      </c>
      <c r="S19" s="125">
        <v>0.06</v>
      </c>
    </row>
    <row r="20" spans="1:25" ht="12.75" customHeight="1">
      <c r="A20" s="350" t="s">
        <v>162</v>
      </c>
      <c r="B20" s="119">
        <f>+B9/B7</f>
        <v>0.58610002547338036</v>
      </c>
      <c r="C20" s="119">
        <f t="shared" ref="C20:I20" si="13">+C9/C7</f>
        <v>0.56071957292180696</v>
      </c>
      <c r="D20" s="119">
        <f>+D9/D7</f>
        <v>0.5469461766396887</v>
      </c>
      <c r="E20" s="119">
        <f>+E9/E7</f>
        <v>0.64573806286820745</v>
      </c>
      <c r="F20" s="119">
        <f t="shared" si="13"/>
        <v>0.606689048489227</v>
      </c>
      <c r="G20" s="119">
        <f t="shared" si="13"/>
        <v>0.57510576178275641</v>
      </c>
      <c r="H20" s="119">
        <f t="shared" si="13"/>
        <v>0.5783936651583711</v>
      </c>
      <c r="I20" s="116">
        <f t="shared" si="13"/>
        <v>0.55697934115019543</v>
      </c>
      <c r="J20" s="80"/>
      <c r="K20" s="117">
        <f>AVERAGE(B20:H20)</f>
        <v>0.58567033047620554</v>
      </c>
      <c r="L20" s="118">
        <v>0.51249999999999996</v>
      </c>
      <c r="M20" s="114"/>
      <c r="N20" s="119">
        <f>+L20</f>
        <v>0.51249999999999996</v>
      </c>
      <c r="O20" s="119">
        <f>+N20</f>
        <v>0.51249999999999996</v>
      </c>
      <c r="P20" s="119">
        <f>+O20</f>
        <v>0.51249999999999996</v>
      </c>
      <c r="Q20" s="119">
        <f t="shared" ref="P20:R21" si="14">+P20</f>
        <v>0.51249999999999996</v>
      </c>
      <c r="R20" s="119">
        <f t="shared" si="14"/>
        <v>0.51249999999999996</v>
      </c>
      <c r="S20" s="119">
        <f>+R20</f>
        <v>0.51249999999999996</v>
      </c>
    </row>
    <row r="21" spans="1:25" ht="12.75" customHeight="1">
      <c r="A21" s="350" t="s">
        <v>184</v>
      </c>
      <c r="B21" s="119">
        <f>+B10/B7</f>
        <v>0.31035068353570516</v>
      </c>
      <c r="C21" s="119">
        <f t="shared" ref="C21:I21" si="15">+C10/C7</f>
        <v>0.44345251446772238</v>
      </c>
      <c r="D21" s="119">
        <f>+D10/D7</f>
        <v>0.51948166821458586</v>
      </c>
      <c r="E21" s="119">
        <f>+E10/E7</f>
        <v>0.32987269805957237</v>
      </c>
      <c r="F21" s="119">
        <f t="shared" si="15"/>
        <v>0.34086949130933664</v>
      </c>
      <c r="G21" s="119">
        <f t="shared" si="15"/>
        <v>0.28347136983852705</v>
      </c>
      <c r="H21" s="119">
        <f t="shared" si="15"/>
        <v>0.21957013574660633</v>
      </c>
      <c r="I21" s="116">
        <f t="shared" si="15"/>
        <v>0.33964265773310998</v>
      </c>
      <c r="J21" s="80"/>
      <c r="K21" s="117">
        <f>AVERAGE(B21:H21)</f>
        <v>0.34958122302457939</v>
      </c>
      <c r="L21" s="118">
        <v>0.28000000000000003</v>
      </c>
      <c r="M21" s="114"/>
      <c r="N21" s="119">
        <f>+L21</f>
        <v>0.28000000000000003</v>
      </c>
      <c r="O21" s="119">
        <f>+N21</f>
        <v>0.28000000000000003</v>
      </c>
      <c r="P21" s="119">
        <f t="shared" si="14"/>
        <v>0.28000000000000003</v>
      </c>
      <c r="Q21" s="119">
        <f t="shared" si="14"/>
        <v>0.28000000000000003</v>
      </c>
      <c r="R21" s="119">
        <f t="shared" si="14"/>
        <v>0.28000000000000003</v>
      </c>
      <c r="S21" s="119">
        <f>+R21</f>
        <v>0.28000000000000003</v>
      </c>
    </row>
    <row r="22" spans="1:25" ht="12.75" customHeight="1">
      <c r="A22" s="350" t="s">
        <v>185</v>
      </c>
      <c r="B22" s="120">
        <f>+B15/B14</f>
        <v>0.1741339491916859</v>
      </c>
      <c r="C22" s="120">
        <f>+C15/C14</f>
        <v>0.21231828615149195</v>
      </c>
      <c r="D22" s="120">
        <f>+D15/D14</f>
        <v>8.6247987117552327</v>
      </c>
      <c r="E22" s="120">
        <f>+E15/E14</f>
        <v>0.40367810095213252</v>
      </c>
      <c r="F22" s="120">
        <f t="shared" ref="F22:I22" si="16">+F15/F14</f>
        <v>9.2163453033787368E-2</v>
      </c>
      <c r="G22" s="120">
        <f t="shared" si="16"/>
        <v>0.11896018554310012</v>
      </c>
      <c r="H22" s="120">
        <f t="shared" si="16"/>
        <v>0.12374684789962483</v>
      </c>
      <c r="I22" s="116">
        <f t="shared" si="16"/>
        <v>1.4666478634889296E-2</v>
      </c>
      <c r="J22" s="80"/>
      <c r="K22" s="117">
        <f>SUM(B22+C22+E22+F22+G22+H22)/7</f>
        <v>0.16071440325311753</v>
      </c>
      <c r="L22" s="121">
        <v>0.25</v>
      </c>
      <c r="M22" s="353"/>
      <c r="N22" s="119">
        <f>+L22</f>
        <v>0.25</v>
      </c>
      <c r="O22" s="119">
        <f>+N22</f>
        <v>0.25</v>
      </c>
      <c r="P22" s="119">
        <f>+O22</f>
        <v>0.25</v>
      </c>
      <c r="Q22" s="119">
        <f>+P22</f>
        <v>0.25</v>
      </c>
      <c r="R22" s="119">
        <f>+Q22</f>
        <v>0.25</v>
      </c>
      <c r="S22" s="119">
        <f>+R22</f>
        <v>0.25</v>
      </c>
    </row>
    <row r="23" spans="1:25" ht="12.75" customHeight="1">
      <c r="A23" s="350"/>
      <c r="B23" s="101"/>
      <c r="C23" s="101"/>
      <c r="D23" s="101" t="s">
        <v>3</v>
      </c>
      <c r="E23" s="101"/>
      <c r="F23" s="101"/>
      <c r="G23" s="101"/>
      <c r="H23" s="101"/>
      <c r="I23" s="122"/>
      <c r="J23" s="80"/>
      <c r="K23" s="123"/>
      <c r="L23" s="124"/>
      <c r="M23" s="353"/>
      <c r="N23" s="125"/>
      <c r="O23" s="125"/>
      <c r="P23" s="125"/>
      <c r="Q23" s="125"/>
      <c r="R23" s="125"/>
      <c r="S23" s="125"/>
    </row>
    <row r="24" spans="1:25" ht="12.75" customHeight="1">
      <c r="A24" s="126" t="s">
        <v>186</v>
      </c>
      <c r="B24" s="127"/>
      <c r="C24" s="127"/>
      <c r="D24" s="127"/>
      <c r="E24" s="127"/>
      <c r="F24" s="127"/>
      <c r="G24" s="127"/>
      <c r="H24" s="127"/>
      <c r="I24" s="105"/>
      <c r="J24" s="80"/>
      <c r="K24" s="106"/>
      <c r="L24" s="99"/>
      <c r="M24" s="352"/>
      <c r="N24" s="128"/>
      <c r="O24" s="128"/>
      <c r="P24" s="128"/>
      <c r="Q24" s="128"/>
      <c r="R24" s="128"/>
      <c r="S24" s="128"/>
    </row>
    <row r="25" spans="1:25" ht="12.75" customHeight="1">
      <c r="A25" s="350" t="s">
        <v>81</v>
      </c>
      <c r="B25" s="129">
        <f>+'Historical Analysis'!L97</f>
        <v>1428000</v>
      </c>
      <c r="C25" s="129">
        <f>+'Historical Analysis'!K97</f>
        <v>1461000</v>
      </c>
      <c r="D25" s="129">
        <f>+'Historical Analysis'!J97</f>
        <v>1561000</v>
      </c>
      <c r="E25" s="129">
        <f>+'Historical Analysis'!I97</f>
        <v>1401000</v>
      </c>
      <c r="F25" s="129">
        <f>+'Historical Analysis'!H97</f>
        <v>1393000</v>
      </c>
      <c r="G25" s="129">
        <f>+'Historical Analysis'!G97</f>
        <v>1582000</v>
      </c>
      <c r="H25" s="129">
        <f>+'Historical Analysis'!F97</f>
        <v>1762000</v>
      </c>
      <c r="I25" s="105">
        <f>+'Historical Analysis'!E97</f>
        <v>1809000</v>
      </c>
      <c r="J25" s="80"/>
      <c r="K25" s="106"/>
      <c r="L25" s="99"/>
      <c r="M25" s="352"/>
      <c r="N25" s="101">
        <f t="shared" ref="N25:S25" si="17">+N28*N$7</f>
        <v>1821040</v>
      </c>
      <c r="O25" s="101">
        <f t="shared" si="17"/>
        <v>1884776.4000000001</v>
      </c>
      <c r="P25" s="101">
        <f t="shared" si="17"/>
        <v>1960167.456</v>
      </c>
      <c r="Q25" s="101">
        <f t="shared" si="17"/>
        <v>2058175.8288</v>
      </c>
      <c r="R25" s="101">
        <f t="shared" si="17"/>
        <v>2171375.499384</v>
      </c>
      <c r="S25" s="101">
        <f t="shared" si="17"/>
        <v>2301658.0293470398</v>
      </c>
    </row>
    <row r="26" spans="1:25" ht="12.75" customHeight="1">
      <c r="A26" s="350" t="s">
        <v>187</v>
      </c>
      <c r="B26" s="129">
        <f>-'Historical Analysis'!L106</f>
        <v>539000</v>
      </c>
      <c r="C26" s="129">
        <f>-'Historical Analysis'!K106</f>
        <v>690000</v>
      </c>
      <c r="D26" s="129">
        <f>-'Historical Analysis'!J106</f>
        <v>784000</v>
      </c>
      <c r="E26" s="129">
        <f>-'Historical Analysis'!I106</f>
        <v>887000</v>
      </c>
      <c r="F26" s="129">
        <f>-'Historical Analysis'!H106</f>
        <v>1407000</v>
      </c>
      <c r="G26" s="129">
        <f>-'Historical Analysis'!G106</f>
        <v>1888000</v>
      </c>
      <c r="H26" s="129">
        <f>-'Historical Analysis'!F106</f>
        <v>2262000</v>
      </c>
      <c r="I26" s="105">
        <f>-'Historical Analysis'!E106</f>
        <v>1450000</v>
      </c>
      <c r="J26" s="80"/>
      <c r="K26" s="106"/>
      <c r="L26" s="99"/>
      <c r="M26" s="352"/>
      <c r="N26" s="101">
        <f t="shared" ref="N26:S26" si="18">+N29*N7</f>
        <v>2731560</v>
      </c>
      <c r="O26" s="101">
        <f t="shared" si="18"/>
        <v>2827164.6</v>
      </c>
      <c r="P26" s="101">
        <f t="shared" si="18"/>
        <v>2940251.1839999999</v>
      </c>
      <c r="Q26" s="101">
        <f t="shared" si="18"/>
        <v>3087263.7431999999</v>
      </c>
      <c r="R26" s="101">
        <f t="shared" si="18"/>
        <v>3257063.2490759995</v>
      </c>
      <c r="S26" s="101">
        <f t="shared" si="18"/>
        <v>3452487.0440205596</v>
      </c>
    </row>
    <row r="27" spans="1:25" ht="15.5">
      <c r="B27" s="128"/>
      <c r="C27" s="128"/>
      <c r="D27" s="128"/>
      <c r="E27" s="128"/>
      <c r="F27" s="128"/>
      <c r="G27" s="128"/>
      <c r="H27" s="128"/>
      <c r="I27" s="130"/>
      <c r="J27" s="80"/>
      <c r="K27" s="93"/>
      <c r="L27" s="131"/>
      <c r="N27" s="128"/>
      <c r="O27" s="128"/>
      <c r="P27" s="128"/>
      <c r="Q27" s="128"/>
      <c r="R27" s="128"/>
      <c r="S27" s="128"/>
    </row>
    <row r="28" spans="1:25" ht="12.75" customHeight="1">
      <c r="A28" s="350" t="s">
        <v>81</v>
      </c>
      <c r="B28" s="119">
        <f>+B25/B7</f>
        <v>6.0626645155812176E-2</v>
      </c>
      <c r="C28" s="119">
        <f t="shared" ref="C28:I28" si="19">+C25/C7</f>
        <v>6.5542147054865191E-2</v>
      </c>
      <c r="D28" s="119">
        <f t="shared" si="19"/>
        <v>6.903719428596701E-2</v>
      </c>
      <c r="E28" s="119">
        <f>+E25/E7</f>
        <v>5.7718452601656159E-2</v>
      </c>
      <c r="F28" s="119">
        <f t="shared" si="19"/>
        <v>5.9198504100973187E-2</v>
      </c>
      <c r="G28" s="119">
        <f t="shared" si="19"/>
        <v>4.7131025442411961E-2</v>
      </c>
      <c r="H28" s="119">
        <f t="shared" si="19"/>
        <v>3.9864253393665158E-2</v>
      </c>
      <c r="I28" s="116">
        <f t="shared" si="19"/>
        <v>5.0502512562814073E-2</v>
      </c>
      <c r="J28" s="80"/>
      <c r="K28" s="117">
        <f>AVERAGE(B28:H28)</f>
        <v>5.7016888862192978E-2</v>
      </c>
      <c r="L28" s="121">
        <v>0.04</v>
      </c>
      <c r="M28" s="352"/>
      <c r="N28" s="119">
        <f>+L28</f>
        <v>0.04</v>
      </c>
      <c r="O28" s="119">
        <f t="shared" ref="O28:S29" si="20">+N28</f>
        <v>0.04</v>
      </c>
      <c r="P28" s="119">
        <f t="shared" si="20"/>
        <v>0.04</v>
      </c>
      <c r="Q28" s="119">
        <f t="shared" si="20"/>
        <v>0.04</v>
      </c>
      <c r="R28" s="119">
        <f t="shared" si="20"/>
        <v>0.04</v>
      </c>
      <c r="S28" s="119">
        <f t="shared" si="20"/>
        <v>0.04</v>
      </c>
    </row>
    <row r="29" spans="1:25" ht="12.75" customHeight="1">
      <c r="A29" s="350" t="s">
        <v>95</v>
      </c>
      <c r="B29" s="119">
        <f t="shared" ref="B29:I29" si="21">+B26/B7</f>
        <v>2.2883586651948715E-2</v>
      </c>
      <c r="C29" s="119">
        <f t="shared" si="21"/>
        <v>3.0954196761024629E-2</v>
      </c>
      <c r="D29" s="119">
        <f>+D26/D7</f>
        <v>3.467338905842289E-2</v>
      </c>
      <c r="E29" s="119">
        <f>+E26/E7</f>
        <v>3.65426605693569E-2</v>
      </c>
      <c r="F29" s="119">
        <f t="shared" si="21"/>
        <v>5.9793463941183969E-2</v>
      </c>
      <c r="G29" s="119">
        <f t="shared" si="21"/>
        <v>5.6247393195495439E-2</v>
      </c>
      <c r="H29" s="119">
        <f t="shared" si="21"/>
        <v>5.1176470588235295E-2</v>
      </c>
      <c r="I29" s="116">
        <f t="shared" si="21"/>
        <v>4.0480178671133446E-2</v>
      </c>
      <c r="J29" s="80"/>
      <c r="K29" s="117">
        <f>AVERAGE(B29:H29)</f>
        <v>4.175302296652398E-2</v>
      </c>
      <c r="L29" s="121">
        <v>0.06</v>
      </c>
      <c r="M29" s="352"/>
      <c r="N29" s="119">
        <f>+L29</f>
        <v>0.06</v>
      </c>
      <c r="O29" s="119">
        <f t="shared" si="20"/>
        <v>0.06</v>
      </c>
      <c r="P29" s="119">
        <f t="shared" si="20"/>
        <v>0.06</v>
      </c>
      <c r="Q29" s="119">
        <f t="shared" si="20"/>
        <v>0.06</v>
      </c>
      <c r="R29" s="119">
        <f t="shared" si="20"/>
        <v>0.06</v>
      </c>
      <c r="S29" s="119">
        <f t="shared" si="20"/>
        <v>0.06</v>
      </c>
    </row>
    <row r="30" spans="1:25" ht="12.75" customHeight="1">
      <c r="A30" s="89"/>
      <c r="B30" s="128"/>
      <c r="C30" s="128"/>
      <c r="D30" s="128"/>
      <c r="E30" s="128"/>
      <c r="F30" s="128"/>
      <c r="G30" s="128"/>
      <c r="H30" s="128"/>
      <c r="I30" s="105"/>
      <c r="J30" s="80"/>
      <c r="K30" s="106"/>
      <c r="L30" s="99"/>
      <c r="M30" s="352"/>
      <c r="N30" s="128"/>
      <c r="O30" s="128"/>
      <c r="P30" s="128"/>
      <c r="Q30" s="128"/>
      <c r="R30" s="128"/>
      <c r="S30" s="128"/>
    </row>
    <row r="31" spans="1:25" ht="12.75" customHeight="1">
      <c r="A31" s="126" t="s">
        <v>188</v>
      </c>
      <c r="B31" s="127"/>
      <c r="C31" s="127"/>
      <c r="D31" s="127"/>
      <c r="E31" s="127"/>
      <c r="F31" s="127"/>
      <c r="G31" s="238"/>
      <c r="H31" s="238"/>
      <c r="I31" s="130"/>
      <c r="J31" s="80"/>
      <c r="K31" s="93"/>
      <c r="L31" s="131"/>
      <c r="M31" s="89"/>
      <c r="N31" s="128"/>
      <c r="O31" s="128"/>
      <c r="P31" s="128"/>
      <c r="Q31" s="128"/>
      <c r="R31" s="128"/>
      <c r="S31" s="128"/>
    </row>
    <row r="32" spans="1:25" ht="12.75" customHeight="1">
      <c r="A32" s="350" t="s">
        <v>189</v>
      </c>
      <c r="B32" s="101">
        <f>+'Historical Analysis'!L67</f>
        <v>1749000</v>
      </c>
      <c r="C32" s="101">
        <f>+'Historical Analysis'!K67</f>
        <v>2495000</v>
      </c>
      <c r="D32" s="101">
        <f>+'Historical Analysis'!J67</f>
        <v>1005000</v>
      </c>
      <c r="E32" s="101">
        <f>+'Historical Analysis'!I67</f>
        <v>2496000</v>
      </c>
      <c r="F32" s="101">
        <f>+'Historical Analysis'!H67</f>
        <v>500000</v>
      </c>
      <c r="G32" s="101">
        <f>+'Historical Analysis'!G67</f>
        <v>2044000</v>
      </c>
      <c r="H32" s="101">
        <f>+'Historical Analysis'!F67</f>
        <v>1945000</v>
      </c>
      <c r="I32" s="105">
        <f>+'Historical Analysis'!E67</f>
        <v>914000</v>
      </c>
      <c r="J32" s="80"/>
      <c r="K32" s="132"/>
      <c r="L32" s="131"/>
      <c r="M32" s="89"/>
      <c r="N32" s="128"/>
      <c r="O32" s="128"/>
      <c r="P32" s="128"/>
      <c r="Q32" s="128"/>
      <c r="R32" s="128"/>
      <c r="S32" s="128"/>
    </row>
    <row r="33" spans="1:19" ht="12.75" customHeight="1">
      <c r="A33" s="350" t="s">
        <v>62</v>
      </c>
      <c r="B33" s="101">
        <f>+'Historical Analysis'!L70</f>
        <v>10008000</v>
      </c>
      <c r="C33" s="101">
        <f>+'Historical Analysis'!K70</f>
        <v>19398000</v>
      </c>
      <c r="D33" s="101">
        <f>+'Historical Analysis'!J70</f>
        <v>15365000</v>
      </c>
      <c r="E33" s="101">
        <f>+'Historical Analysis'!I70</f>
        <v>13437000</v>
      </c>
      <c r="F33" s="101">
        <f>+'Historical Analysis'!H70</f>
        <v>15226000</v>
      </c>
      <c r="G33" s="101">
        <f>+'Historical Analysis'!G70</f>
        <v>13701000</v>
      </c>
      <c r="H33" s="101">
        <f>+'Historical Analysis'!F70</f>
        <v>13537000</v>
      </c>
      <c r="I33" s="105">
        <f>+'Historical Analysis'!E70</f>
        <v>14484000</v>
      </c>
      <c r="J33" s="80"/>
      <c r="K33" s="132"/>
      <c r="L33" s="131"/>
      <c r="M33" s="89"/>
      <c r="N33" s="128"/>
      <c r="O33" s="128"/>
      <c r="P33" s="128"/>
      <c r="Q33" s="128"/>
      <c r="R33" s="128"/>
      <c r="S33" s="128"/>
    </row>
    <row r="34" spans="1:19" ht="18" customHeight="1" thickBot="1">
      <c r="A34" s="350" t="s">
        <v>190</v>
      </c>
      <c r="B34" s="261">
        <f t="shared" ref="B34:I34" si="22">+B33+B32</f>
        <v>11757000</v>
      </c>
      <c r="C34" s="261">
        <f t="shared" si="22"/>
        <v>21893000</v>
      </c>
      <c r="D34" s="261">
        <f t="shared" si="22"/>
        <v>16370000</v>
      </c>
      <c r="E34" s="261">
        <f>+E33+E32</f>
        <v>15933000</v>
      </c>
      <c r="F34" s="261">
        <f t="shared" si="22"/>
        <v>15726000</v>
      </c>
      <c r="G34" s="261">
        <f t="shared" si="22"/>
        <v>15745000</v>
      </c>
      <c r="H34" s="261">
        <f t="shared" si="22"/>
        <v>15482000</v>
      </c>
      <c r="I34" s="278">
        <f t="shared" si="22"/>
        <v>15398000</v>
      </c>
      <c r="J34" s="80"/>
      <c r="K34" s="106"/>
      <c r="L34" s="99"/>
      <c r="M34" s="352"/>
      <c r="N34" s="104">
        <f>+H34+N35</f>
        <v>14707900</v>
      </c>
      <c r="O34" s="104">
        <f>+N34+O35</f>
        <v>13933800</v>
      </c>
      <c r="P34" s="104">
        <f>+O34+P35</f>
        <v>13159700</v>
      </c>
      <c r="Q34" s="104">
        <f>+P34+Q35</f>
        <v>12385600</v>
      </c>
      <c r="R34" s="104">
        <f>+Q34+R35</f>
        <v>11611500</v>
      </c>
      <c r="S34" s="104">
        <f>+R34+S35</f>
        <v>10837400</v>
      </c>
    </row>
    <row r="35" spans="1:19" ht="12.75" customHeight="1" thickTop="1">
      <c r="A35" s="350" t="s">
        <v>191</v>
      </c>
      <c r="B35" s="101"/>
      <c r="C35" s="101"/>
      <c r="D35" s="101"/>
      <c r="E35" s="101"/>
      <c r="F35" s="101"/>
      <c r="G35" s="129"/>
      <c r="H35" s="149"/>
      <c r="I35" s="105"/>
      <c r="J35" s="80"/>
      <c r="K35" s="106"/>
      <c r="L35" s="121">
        <v>0.05</v>
      </c>
      <c r="M35" s="352"/>
      <c r="N35" s="104">
        <f>-L35*H34</f>
        <v>-774100</v>
      </c>
      <c r="O35" s="104">
        <f>+N35</f>
        <v>-774100</v>
      </c>
      <c r="P35" s="104">
        <f>+O35</f>
        <v>-774100</v>
      </c>
      <c r="Q35" s="104">
        <f>+P35</f>
        <v>-774100</v>
      </c>
      <c r="R35" s="104">
        <f>+Q35</f>
        <v>-774100</v>
      </c>
      <c r="S35" s="104">
        <f>+R35</f>
        <v>-774100</v>
      </c>
    </row>
    <row r="36" spans="1:19" ht="12.75" customHeight="1">
      <c r="A36" s="350" t="s">
        <v>192</v>
      </c>
      <c r="B36" s="101"/>
      <c r="F36" s="101"/>
      <c r="G36" s="286" t="s">
        <v>193</v>
      </c>
      <c r="H36" s="297">
        <f>+I13/H34</f>
        <v>4.4826249838522153E-2</v>
      </c>
      <c r="I36" s="116"/>
      <c r="J36" s="80"/>
      <c r="K36" s="133"/>
      <c r="L36" s="121">
        <f>+H36</f>
        <v>4.4826249838522153E-2</v>
      </c>
      <c r="M36" s="352"/>
      <c r="N36" s="104">
        <f>+$L$36*I34</f>
        <v>690234.5950135641</v>
      </c>
      <c r="O36" s="104">
        <f>+N34*$L$36</f>
        <v>659300</v>
      </c>
      <c r="P36" s="104">
        <f>+O34*$L$36</f>
        <v>624600</v>
      </c>
      <c r="Q36" s="104">
        <f>+P34*$L$36</f>
        <v>589900</v>
      </c>
      <c r="R36" s="104">
        <f>+Q34*$L$36</f>
        <v>555200</v>
      </c>
      <c r="S36" s="104">
        <f>+R34*$L$36</f>
        <v>520500</v>
      </c>
    </row>
    <row r="37" spans="1:19" ht="12.75" customHeight="1">
      <c r="A37" s="134"/>
      <c r="B37" s="135"/>
      <c r="C37" s="135"/>
      <c r="D37" s="135"/>
      <c r="E37" s="135"/>
      <c r="F37" s="135"/>
      <c r="G37" s="239"/>
      <c r="H37" s="239"/>
      <c r="I37" s="136"/>
      <c r="J37" s="80"/>
      <c r="K37" s="137"/>
      <c r="L37" s="138"/>
      <c r="M37" s="134"/>
      <c r="N37" s="135"/>
      <c r="O37" s="128"/>
      <c r="P37" s="128"/>
      <c r="Q37" s="128"/>
      <c r="R37" s="128"/>
      <c r="S37" s="128"/>
    </row>
    <row r="38" spans="1:19" ht="13.5" customHeight="1" thickBot="1">
      <c r="A38" s="139" t="s">
        <v>194</v>
      </c>
      <c r="B38" s="140"/>
      <c r="C38" s="140"/>
      <c r="D38" s="140"/>
      <c r="E38" s="140"/>
      <c r="F38" s="140"/>
      <c r="G38" s="140"/>
      <c r="H38" s="140"/>
      <c r="I38" s="136"/>
      <c r="J38" s="80"/>
      <c r="K38" s="137"/>
      <c r="L38" s="138"/>
      <c r="M38" s="134"/>
      <c r="N38" s="135"/>
      <c r="O38" s="128"/>
      <c r="P38" s="128"/>
      <c r="Q38" s="128"/>
      <c r="R38" s="128"/>
      <c r="S38" s="128"/>
    </row>
    <row r="39" spans="1:19" ht="18" customHeight="1" thickBot="1">
      <c r="A39" s="89"/>
      <c r="B39" s="279">
        <f t="shared" ref="B39:H39" si="23">+B5</f>
        <v>42643</v>
      </c>
      <c r="C39" s="280">
        <f t="shared" si="23"/>
        <v>43008</v>
      </c>
      <c r="D39" s="280">
        <f t="shared" si="23"/>
        <v>43373</v>
      </c>
      <c r="E39" s="280">
        <f>+E5</f>
        <v>43738</v>
      </c>
      <c r="F39" s="280">
        <f t="shared" si="23"/>
        <v>44104</v>
      </c>
      <c r="G39" s="280">
        <f t="shared" si="23"/>
        <v>44469</v>
      </c>
      <c r="H39" s="280">
        <f t="shared" si="23"/>
        <v>44834</v>
      </c>
      <c r="I39" s="270">
        <f>+'Historical Analysis'!E45</f>
        <v>45199</v>
      </c>
      <c r="J39" s="80"/>
      <c r="K39" s="137"/>
      <c r="L39" s="138"/>
      <c r="M39" s="88"/>
      <c r="N39" s="279">
        <f>+N5</f>
        <v>45291</v>
      </c>
      <c r="O39" s="280">
        <f>+N39+365</f>
        <v>45656</v>
      </c>
      <c r="P39" s="280">
        <f>+O39+365</f>
        <v>46021</v>
      </c>
      <c r="Q39" s="280">
        <f>+P39+365</f>
        <v>46386</v>
      </c>
      <c r="R39" s="280">
        <f>+Q39+365</f>
        <v>46751</v>
      </c>
      <c r="S39" s="281">
        <f>+R39+365</f>
        <v>47116</v>
      </c>
    </row>
    <row r="40" spans="1:19" ht="16.5" customHeight="1">
      <c r="A40" s="90" t="s">
        <v>195</v>
      </c>
      <c r="B40" s="104">
        <f t="shared" ref="B40:I40" si="24">+B25+B12</f>
        <v>7923000</v>
      </c>
      <c r="C40" s="104">
        <f t="shared" si="24"/>
        <v>4075000</v>
      </c>
      <c r="D40" s="104">
        <f t="shared" si="24"/>
        <v>2182000</v>
      </c>
      <c r="E40" s="104">
        <f>+E25+E12</f>
        <v>9068000</v>
      </c>
      <c r="F40" s="104">
        <f t="shared" si="24"/>
        <v>7648000</v>
      </c>
      <c r="G40" s="104">
        <f t="shared" si="24"/>
        <v>11371000</v>
      </c>
      <c r="H40" s="104">
        <f t="shared" si="24"/>
        <v>17622000</v>
      </c>
      <c r="I40" s="105">
        <f t="shared" si="24"/>
        <v>9594000</v>
      </c>
      <c r="J40" s="80"/>
      <c r="K40" s="137"/>
      <c r="L40" s="138"/>
      <c r="M40" s="352"/>
      <c r="N40" s="104">
        <f t="shared" ref="N40:S40" si="25">+N25+N12</f>
        <v>12405834.999999994</v>
      </c>
      <c r="O40" s="104">
        <f t="shared" si="25"/>
        <v>12840039.224999996</v>
      </c>
      <c r="P40" s="104">
        <f t="shared" si="25"/>
        <v>13353640.793999996</v>
      </c>
      <c r="Q40" s="104">
        <f t="shared" si="25"/>
        <v>14021322.833699994</v>
      </c>
      <c r="R40" s="104">
        <f t="shared" si="25"/>
        <v>14792495.589553498</v>
      </c>
      <c r="S40" s="104">
        <f t="shared" si="25"/>
        <v>15680045.324926702</v>
      </c>
    </row>
    <row r="41" spans="1:19" ht="12.75" customHeight="1">
      <c r="A41" s="350"/>
      <c r="B41" s="101"/>
      <c r="C41" s="101"/>
      <c r="D41" s="101"/>
      <c r="E41" s="101"/>
      <c r="F41" s="101"/>
      <c r="G41" s="101"/>
      <c r="H41" s="101"/>
      <c r="I41" s="105"/>
      <c r="J41" s="80"/>
      <c r="K41" s="137"/>
      <c r="L41" s="138"/>
      <c r="M41" s="352"/>
      <c r="N41" s="135"/>
      <c r="O41" s="135"/>
      <c r="P41" s="135"/>
      <c r="Q41" s="135"/>
      <c r="R41" s="135"/>
      <c r="S41" s="169"/>
    </row>
    <row r="42" spans="1:19" ht="12.75" customHeight="1">
      <c r="A42" s="126" t="s">
        <v>196</v>
      </c>
      <c r="B42" s="127"/>
      <c r="C42" s="127"/>
      <c r="D42" s="127"/>
      <c r="E42" s="127"/>
      <c r="F42" s="127"/>
      <c r="G42" s="127"/>
      <c r="H42" s="127"/>
      <c r="I42" s="105"/>
      <c r="J42" s="80"/>
      <c r="K42" s="106"/>
      <c r="L42" s="99"/>
      <c r="M42" s="352"/>
      <c r="N42" s="128"/>
      <c r="O42" s="128"/>
      <c r="P42" s="128"/>
      <c r="Q42" s="128"/>
      <c r="R42" s="128"/>
      <c r="S42" s="128"/>
    </row>
    <row r="43" spans="1:19" ht="12.75" customHeight="1">
      <c r="A43" s="350" t="s">
        <v>169</v>
      </c>
      <c r="B43" s="141"/>
      <c r="C43" s="115">
        <f>+C7/B7-1</f>
        <v>-5.3621465568480908E-2</v>
      </c>
      <c r="D43" s="115">
        <f>+D7/C7-1</f>
        <v>1.4355569512359168E-2</v>
      </c>
      <c r="E43" s="115">
        <f>+E7/B7-1</f>
        <v>3.0525600747219217E-2</v>
      </c>
      <c r="F43" s="115">
        <f>+F7/C7-1</f>
        <v>5.5627831860391996E-2</v>
      </c>
      <c r="G43" s="115">
        <f>+G7/F7-1</f>
        <v>0.42645871403680258</v>
      </c>
      <c r="H43" s="115">
        <f>+H7/G7-1</f>
        <v>0.31680867544539115</v>
      </c>
      <c r="I43" s="116">
        <f>+I7/H7-1</f>
        <v>-0.18959276018099547</v>
      </c>
      <c r="J43" s="80"/>
      <c r="K43" s="117"/>
      <c r="L43" s="124"/>
      <c r="M43" s="353"/>
      <c r="N43" s="115">
        <f>+N7/H7-1</f>
        <v>3.0000000000000027E-2</v>
      </c>
      <c r="O43" s="115">
        <f>+O7/N7-1</f>
        <v>3.499999999999992E-2</v>
      </c>
      <c r="P43" s="115">
        <f>+P7/O7-1</f>
        <v>4.0000000000000036E-2</v>
      </c>
      <c r="Q43" s="115">
        <f>+Q7/P7-1</f>
        <v>5.0000000000000044E-2</v>
      </c>
      <c r="R43" s="115">
        <f>+R7/Q7-1</f>
        <v>5.4999999999999938E-2</v>
      </c>
      <c r="S43" s="115">
        <f>+S7/R7-1</f>
        <v>6.0000000000000053E-2</v>
      </c>
    </row>
    <row r="44" spans="1:19" ht="13.5" customHeight="1">
      <c r="A44" s="350"/>
      <c r="B44" s="101"/>
      <c r="C44" s="101"/>
      <c r="D44" s="101"/>
      <c r="E44" s="101"/>
      <c r="F44" s="101"/>
      <c r="G44" s="101"/>
      <c r="H44" s="101"/>
      <c r="I44" s="116"/>
      <c r="J44" s="80"/>
      <c r="K44" s="117"/>
      <c r="L44" s="124"/>
      <c r="M44" s="353"/>
      <c r="N44" s="101"/>
      <c r="O44" s="128"/>
      <c r="P44" s="128"/>
      <c r="Q44" s="128"/>
      <c r="R44" s="128"/>
      <c r="S44" s="128"/>
    </row>
    <row r="45" spans="1:19" ht="12.75" customHeight="1">
      <c r="A45" s="126" t="s">
        <v>197</v>
      </c>
      <c r="B45" s="127"/>
      <c r="C45" s="127"/>
      <c r="D45" s="127"/>
      <c r="E45" s="127"/>
      <c r="F45" s="127"/>
      <c r="G45" s="127"/>
      <c r="H45" s="127"/>
      <c r="I45" s="105"/>
      <c r="J45" s="80"/>
      <c r="K45" s="106"/>
      <c r="L45" s="99"/>
      <c r="M45" s="352"/>
      <c r="N45" s="101"/>
      <c r="O45" s="128"/>
      <c r="P45" s="128"/>
      <c r="Q45" s="128"/>
      <c r="R45" s="128"/>
      <c r="S45" s="128"/>
    </row>
    <row r="46" spans="1:19" ht="12.75" customHeight="1">
      <c r="A46" s="350" t="s">
        <v>198</v>
      </c>
      <c r="B46" s="277">
        <f t="shared" ref="B46:I46" si="26">+B34/B40</f>
        <v>1.4839076107535025</v>
      </c>
      <c r="C46" s="277">
        <f t="shared" si="26"/>
        <v>5.3725153374233132</v>
      </c>
      <c r="D46" s="277">
        <f t="shared" si="26"/>
        <v>7.5022914757103578</v>
      </c>
      <c r="E46" s="277">
        <f>+E34/E40</f>
        <v>1.7570577856197618</v>
      </c>
      <c r="F46" s="277">
        <f t="shared" si="26"/>
        <v>2.056223849372385</v>
      </c>
      <c r="G46" s="277">
        <f t="shared" si="26"/>
        <v>1.3846627385454227</v>
      </c>
      <c r="H46" s="277">
        <f t="shared" si="26"/>
        <v>0.87856088979684488</v>
      </c>
      <c r="I46" s="142">
        <f t="shared" si="26"/>
        <v>1.6049614342297269</v>
      </c>
      <c r="J46" s="80"/>
      <c r="K46" s="143"/>
      <c r="L46" s="144"/>
      <c r="M46" s="354"/>
      <c r="N46" s="145">
        <f t="shared" ref="N46:S46" si="27">+N34/N40</f>
        <v>1.1855630838230564</v>
      </c>
      <c r="O46" s="145">
        <f t="shared" si="27"/>
        <v>1.0851836007533695</v>
      </c>
      <c r="P46" s="145">
        <f t="shared" si="27"/>
        <v>0.98547656051320953</v>
      </c>
      <c r="Q46" s="145">
        <f t="shared" si="27"/>
        <v>0.88334033435357728</v>
      </c>
      <c r="R46" s="145">
        <f t="shared" si="27"/>
        <v>0.7849588279208326</v>
      </c>
      <c r="S46" s="145">
        <f t="shared" si="27"/>
        <v>0.69115871640828053</v>
      </c>
    </row>
    <row r="47" spans="1:19" ht="12.75" customHeight="1">
      <c r="A47" s="350" t="s">
        <v>199</v>
      </c>
      <c r="B47" s="277" t="e">
        <f>+B40/B13</f>
        <v>#DIV/0!</v>
      </c>
      <c r="C47" s="277" t="e">
        <f t="shared" ref="C47:I47" si="28">+C40/C13</f>
        <v>#DIV/0!</v>
      </c>
      <c r="D47" s="277" t="e">
        <f t="shared" si="28"/>
        <v>#DIV/0!</v>
      </c>
      <c r="E47" s="277" t="e">
        <f>+E40/E13</f>
        <v>#DIV/0!</v>
      </c>
      <c r="F47" s="277">
        <f t="shared" si="28"/>
        <v>12.704318936877076</v>
      </c>
      <c r="G47" s="277">
        <f t="shared" si="28"/>
        <v>-20.341681574239715</v>
      </c>
      <c r="H47" s="277">
        <f t="shared" si="28"/>
        <v>-44.165413533834588</v>
      </c>
      <c r="I47" s="142">
        <f t="shared" si="28"/>
        <v>13.82420749279539</v>
      </c>
      <c r="J47" s="80"/>
      <c r="K47" s="143"/>
      <c r="L47" s="144"/>
      <c r="M47" s="354"/>
      <c r="N47" s="277">
        <f t="shared" ref="N47:S47" si="29">+N40/N13</f>
        <v>17.973360201912513</v>
      </c>
      <c r="O47" s="277">
        <f t="shared" si="29"/>
        <v>19.475260465645377</v>
      </c>
      <c r="P47" s="277">
        <f t="shared" si="29"/>
        <v>21.37950815561959</v>
      </c>
      <c r="Q47" s="277">
        <f t="shared" si="29"/>
        <v>23.768982596541775</v>
      </c>
      <c r="R47" s="277">
        <f t="shared" si="29"/>
        <v>26.643543929311054</v>
      </c>
      <c r="S47" s="277">
        <f t="shared" si="29"/>
        <v>30.124967002741023</v>
      </c>
    </row>
    <row r="48" spans="1:19" ht="12.75" customHeight="1">
      <c r="A48" s="350" t="s">
        <v>200</v>
      </c>
      <c r="B48" s="384" t="e">
        <f t="shared" ref="B48:I48" si="30">+B12/B13</f>
        <v>#DIV/0!</v>
      </c>
      <c r="C48" s="384" t="e">
        <f t="shared" si="30"/>
        <v>#DIV/0!</v>
      </c>
      <c r="D48" s="384" t="e">
        <f t="shared" si="30"/>
        <v>#DIV/0!</v>
      </c>
      <c r="E48" s="384" t="e">
        <f>+E12/E13</f>
        <v>#DIV/0!</v>
      </c>
      <c r="F48" s="384">
        <f t="shared" si="30"/>
        <v>10.390365448504983</v>
      </c>
      <c r="G48" s="384">
        <f t="shared" si="30"/>
        <v>-17.511627906976745</v>
      </c>
      <c r="H48" s="384">
        <f t="shared" si="30"/>
        <v>-39.749373433583962</v>
      </c>
      <c r="I48" s="385">
        <f t="shared" si="30"/>
        <v>11.217579250720462</v>
      </c>
      <c r="J48" s="80"/>
      <c r="K48" s="143"/>
      <c r="L48" s="144"/>
      <c r="M48" s="354"/>
      <c r="N48" s="277">
        <f t="shared" ref="N48:S48" si="31">+N12/N13</f>
        <v>15.335068796127189</v>
      </c>
      <c r="O48" s="277">
        <f t="shared" si="31"/>
        <v>16.616506635825868</v>
      </c>
      <c r="P48" s="277">
        <f t="shared" si="31"/>
        <v>18.241231729106623</v>
      </c>
      <c r="Q48" s="277">
        <f t="shared" si="31"/>
        <v>20.279957628242062</v>
      </c>
      <c r="R48" s="277">
        <f t="shared" si="31"/>
        <v>22.732565003907595</v>
      </c>
      <c r="S48" s="277">
        <f t="shared" si="31"/>
        <v>25.702953497751512</v>
      </c>
    </row>
    <row r="49" spans="1:19" ht="12.75" customHeight="1">
      <c r="A49" s="350"/>
      <c r="B49" s="101"/>
      <c r="C49" s="101"/>
      <c r="D49" s="101"/>
      <c r="E49" s="101"/>
      <c r="F49" s="101"/>
      <c r="G49" s="101"/>
      <c r="H49" s="101"/>
      <c r="I49" s="105"/>
      <c r="J49" s="80"/>
      <c r="K49" s="106"/>
      <c r="L49" s="99"/>
      <c r="M49" s="352"/>
      <c r="N49" s="101"/>
      <c r="O49" s="128"/>
      <c r="P49" s="128"/>
      <c r="Q49" s="128"/>
      <c r="R49" s="128"/>
      <c r="S49" s="128"/>
    </row>
    <row r="50" spans="1:19" ht="12.75" customHeight="1">
      <c r="A50" s="126" t="s">
        <v>161</v>
      </c>
      <c r="B50" s="127"/>
      <c r="C50" s="127"/>
      <c r="D50" s="127"/>
      <c r="E50" s="127"/>
      <c r="F50" s="127"/>
      <c r="G50" s="127"/>
      <c r="H50" s="127"/>
      <c r="I50" s="105"/>
      <c r="J50" s="80"/>
      <c r="K50" s="106"/>
      <c r="L50" s="99"/>
      <c r="M50" s="352"/>
      <c r="N50" s="101"/>
      <c r="O50" s="128"/>
      <c r="P50" s="128"/>
      <c r="Q50" s="128"/>
      <c r="R50" s="128"/>
      <c r="S50" s="128"/>
    </row>
    <row r="51" spans="1:19" ht="12.75" customHeight="1">
      <c r="A51" s="350" t="s">
        <v>201</v>
      </c>
      <c r="B51" s="119">
        <f t="shared" ref="B51:I51" si="32">+B9/B7</f>
        <v>0.58610002547338036</v>
      </c>
      <c r="C51" s="119">
        <f t="shared" si="32"/>
        <v>0.56071957292180696</v>
      </c>
      <c r="D51" s="119">
        <f>+D9/D7</f>
        <v>0.5469461766396887</v>
      </c>
      <c r="E51" s="119">
        <f>+E9/E7</f>
        <v>0.64573806286820745</v>
      </c>
      <c r="F51" s="119">
        <f t="shared" si="32"/>
        <v>0.606689048489227</v>
      </c>
      <c r="G51" s="119">
        <f t="shared" si="32"/>
        <v>0.57510576178275641</v>
      </c>
      <c r="H51" s="119">
        <f t="shared" si="32"/>
        <v>0.5783936651583711</v>
      </c>
      <c r="I51" s="116">
        <f t="shared" si="32"/>
        <v>0.55697934115019543</v>
      </c>
      <c r="J51" s="80"/>
      <c r="K51" s="117"/>
      <c r="L51" s="124"/>
      <c r="M51" s="353"/>
      <c r="N51" s="119">
        <f t="shared" ref="N51:S51" si="33">+N9/N7</f>
        <v>0.51249999999999996</v>
      </c>
      <c r="O51" s="119">
        <f t="shared" si="33"/>
        <v>0.51249999999999996</v>
      </c>
      <c r="P51" s="119">
        <f t="shared" si="33"/>
        <v>0.51249999999999996</v>
      </c>
      <c r="Q51" s="119">
        <f t="shared" si="33"/>
        <v>0.51249999999999996</v>
      </c>
      <c r="R51" s="119">
        <f t="shared" si="33"/>
        <v>0.51249999999999996</v>
      </c>
      <c r="S51" s="119">
        <f t="shared" si="33"/>
        <v>0.51249999999999996</v>
      </c>
    </row>
    <row r="52" spans="1:19" ht="12.75" customHeight="1">
      <c r="A52" s="350" t="s">
        <v>202</v>
      </c>
      <c r="B52" s="119">
        <f t="shared" ref="B52:I52" si="34">+B40/B7</f>
        <v>0.33637598709348732</v>
      </c>
      <c r="C52" s="119">
        <f t="shared" si="34"/>
        <v>0.1828092055089498</v>
      </c>
      <c r="D52" s="119">
        <f>+D40/D7</f>
        <v>9.6501702711069837E-2</v>
      </c>
      <c r="E52" s="119">
        <f>+E40/E7</f>
        <v>0.37358381741029129</v>
      </c>
      <c r="F52" s="119">
        <f t="shared" si="34"/>
        <v>0.32501806128086352</v>
      </c>
      <c r="G52" s="119">
        <f t="shared" si="34"/>
        <v>0.33876541738664123</v>
      </c>
      <c r="H52" s="119">
        <f t="shared" si="34"/>
        <v>0.39868778280542988</v>
      </c>
      <c r="I52" s="116">
        <f t="shared" si="34"/>
        <v>0.26783919597989952</v>
      </c>
      <c r="J52" s="80"/>
      <c r="K52" s="117"/>
      <c r="L52" s="124"/>
      <c r="M52" s="353"/>
      <c r="N52" s="119">
        <f t="shared" ref="N52:S52" si="35">+N40/N7</f>
        <v>0.27249999999999985</v>
      </c>
      <c r="O52" s="119">
        <f t="shared" si="35"/>
        <v>0.27249999999999991</v>
      </c>
      <c r="P52" s="119">
        <f t="shared" si="35"/>
        <v>0.27249999999999991</v>
      </c>
      <c r="Q52" s="119">
        <f t="shared" si="35"/>
        <v>0.27249999999999991</v>
      </c>
      <c r="R52" s="119">
        <f t="shared" si="35"/>
        <v>0.27250000000000002</v>
      </c>
      <c r="S52" s="119">
        <f t="shared" si="35"/>
        <v>0.27249999999999991</v>
      </c>
    </row>
    <row r="53" spans="1:19" ht="12.75" customHeight="1">
      <c r="A53" s="350" t="s">
        <v>203</v>
      </c>
      <c r="B53" s="119">
        <f t="shared" ref="B53:I53" si="36">+B12/B7</f>
        <v>0.27574934193767514</v>
      </c>
      <c r="C53" s="119">
        <f t="shared" si="36"/>
        <v>0.11726705845408461</v>
      </c>
      <c r="D53" s="119">
        <f>+D12/D7</f>
        <v>2.7464508425102827E-2</v>
      </c>
      <c r="E53" s="119">
        <f>+E12/E7</f>
        <v>0.31586536480863509</v>
      </c>
      <c r="F53" s="119">
        <f t="shared" si="36"/>
        <v>0.26581955717989036</v>
      </c>
      <c r="G53" s="119">
        <f t="shared" si="36"/>
        <v>0.2916343919442293</v>
      </c>
      <c r="H53" s="119">
        <f t="shared" si="36"/>
        <v>0.35882352941176471</v>
      </c>
      <c r="I53" s="116">
        <f t="shared" si="36"/>
        <v>0.21733668341708542</v>
      </c>
      <c r="J53" s="80"/>
      <c r="K53" s="117"/>
      <c r="L53" s="124"/>
      <c r="M53" s="353"/>
      <c r="N53" s="119">
        <f t="shared" ref="N53:S53" si="37">+N12/N7</f>
        <v>0.23249999999999987</v>
      </c>
      <c r="O53" s="119">
        <f t="shared" si="37"/>
        <v>0.2324999999999999</v>
      </c>
      <c r="P53" s="119">
        <f t="shared" si="37"/>
        <v>0.23249999999999993</v>
      </c>
      <c r="Q53" s="119">
        <f t="shared" si="37"/>
        <v>0.23249999999999987</v>
      </c>
      <c r="R53" s="119">
        <f t="shared" si="37"/>
        <v>0.23249999999999998</v>
      </c>
      <c r="S53" s="119">
        <f t="shared" si="37"/>
        <v>0.2324999999999999</v>
      </c>
    </row>
    <row r="54" spans="1:19" ht="12.75" customHeight="1" thickBot="1">
      <c r="A54" s="350"/>
      <c r="B54" s="350"/>
      <c r="C54" s="350"/>
      <c r="D54" s="350"/>
      <c r="E54" s="350"/>
      <c r="F54" s="101"/>
      <c r="G54" s="101"/>
      <c r="H54" s="101"/>
      <c r="I54" s="146"/>
      <c r="J54" s="80"/>
      <c r="K54" s="147"/>
      <c r="L54" s="148"/>
      <c r="M54" s="352"/>
      <c r="N54" s="128"/>
      <c r="O54" s="128"/>
      <c r="P54" s="128"/>
      <c r="Q54" s="128"/>
      <c r="R54" s="128"/>
      <c r="S54" s="128"/>
    </row>
    <row r="55" spans="1:19" ht="12.75" customHeight="1">
      <c r="A55" s="89"/>
      <c r="B55" s="89"/>
      <c r="C55" s="89"/>
      <c r="D55" s="89"/>
      <c r="E55" s="89"/>
      <c r="F55" s="89"/>
      <c r="G55" s="89"/>
      <c r="H55" s="89"/>
      <c r="I55" s="352"/>
      <c r="J55" s="80"/>
      <c r="K55" s="149"/>
      <c r="L55" s="352"/>
      <c r="M55" s="352"/>
      <c r="N55" s="128"/>
      <c r="O55" s="128"/>
      <c r="P55" s="128"/>
      <c r="Q55" s="128"/>
      <c r="R55" s="128"/>
      <c r="S55" s="128"/>
    </row>
    <row r="56" spans="1:19" ht="12.75" customHeight="1">
      <c r="I56" s="150"/>
      <c r="J56" s="80"/>
      <c r="K56" s="149"/>
      <c r="L56" s="150"/>
      <c r="M56" s="150"/>
      <c r="N56" s="104"/>
      <c r="O56" s="104"/>
      <c r="P56" s="104"/>
      <c r="Q56" s="104"/>
      <c r="R56" s="104"/>
      <c r="S56" s="104"/>
    </row>
    <row r="57" spans="1:19" ht="12.75" customHeight="1">
      <c r="I57" s="150"/>
      <c r="J57" s="80"/>
      <c r="K57" s="149"/>
      <c r="L57" s="150"/>
      <c r="M57" s="150"/>
      <c r="N57" s="150"/>
      <c r="O57" s="150"/>
      <c r="P57" s="150"/>
      <c r="Q57" s="150"/>
      <c r="R57" s="150"/>
      <c r="S57" s="150"/>
    </row>
    <row r="58" spans="1:19" ht="12.75" customHeight="1">
      <c r="I58" s="150"/>
      <c r="J58" s="80"/>
      <c r="K58" s="149"/>
      <c r="L58" s="150"/>
      <c r="M58" s="150"/>
      <c r="N58" s="150"/>
      <c r="O58" s="150"/>
      <c r="P58" s="150"/>
      <c r="Q58" s="150"/>
      <c r="R58" s="150"/>
      <c r="S58" s="150"/>
    </row>
    <row r="59" spans="1:19" ht="12.75" customHeight="1">
      <c r="I59" s="150"/>
      <c r="J59" s="80"/>
      <c r="K59" s="149"/>
      <c r="L59" s="150"/>
      <c r="M59" s="150"/>
      <c r="N59" s="150"/>
      <c r="O59" s="150"/>
      <c r="P59" s="150"/>
      <c r="Q59" s="150"/>
      <c r="R59" s="150"/>
      <c r="S59" s="150"/>
    </row>
    <row r="60" spans="1:19" ht="12.75" customHeight="1">
      <c r="I60" s="150"/>
      <c r="J60" s="80"/>
      <c r="K60" s="149"/>
      <c r="L60" s="150"/>
      <c r="M60" s="150"/>
      <c r="N60" s="150"/>
      <c r="O60" s="150"/>
      <c r="P60" s="150"/>
      <c r="Q60" s="150"/>
      <c r="R60" s="150"/>
      <c r="S60" s="150"/>
    </row>
    <row r="61" spans="1:19" ht="12.75" customHeight="1">
      <c r="I61" s="150"/>
      <c r="J61" s="80"/>
      <c r="K61" s="149"/>
      <c r="L61" s="150"/>
      <c r="M61" s="150"/>
      <c r="N61" s="150"/>
      <c r="O61" s="150"/>
      <c r="P61" s="150"/>
      <c r="Q61" s="150"/>
      <c r="R61" s="150"/>
      <c r="S61" s="150"/>
    </row>
    <row r="62" spans="1:19" ht="12.75" customHeight="1">
      <c r="I62" s="150"/>
      <c r="J62" s="80"/>
      <c r="K62" s="149"/>
      <c r="L62" s="150"/>
      <c r="M62" s="150"/>
    </row>
    <row r="63" spans="1:19" ht="12.75" customHeight="1">
      <c r="I63" s="150"/>
      <c r="J63" s="80"/>
      <c r="K63" s="149"/>
      <c r="L63" s="150"/>
      <c r="M63" s="150"/>
    </row>
    <row r="64" spans="1:19" ht="12.75" customHeight="1">
      <c r="I64" s="150"/>
      <c r="J64" s="80"/>
      <c r="K64" s="149"/>
      <c r="L64" s="150"/>
      <c r="M64" s="150"/>
    </row>
    <row r="65" spans="9:13" ht="12.75" customHeight="1">
      <c r="I65" s="150"/>
      <c r="J65" s="80"/>
      <c r="K65" s="149"/>
      <c r="L65" s="150"/>
      <c r="M65" s="150"/>
    </row>
    <row r="66" spans="9:13" ht="12.75" customHeight="1">
      <c r="I66" s="150"/>
      <c r="J66" s="80"/>
      <c r="K66" s="149"/>
      <c r="L66" s="150"/>
      <c r="M66" s="150"/>
    </row>
    <row r="67" spans="9:13" ht="12.75" customHeight="1">
      <c r="I67" s="150"/>
      <c r="J67" s="80"/>
      <c r="K67" s="149"/>
      <c r="L67" s="150"/>
      <c r="M67" s="150"/>
    </row>
    <row r="68" spans="9:13" ht="12.75" customHeight="1">
      <c r="I68" s="150"/>
      <c r="J68" s="80"/>
      <c r="K68" s="149"/>
      <c r="L68" s="150"/>
      <c r="M68" s="150"/>
    </row>
    <row r="69" spans="9:13" ht="12.75" customHeight="1">
      <c r="I69" s="150"/>
      <c r="J69" s="80"/>
      <c r="K69" s="149"/>
      <c r="L69" s="150"/>
      <c r="M69" s="150"/>
    </row>
    <row r="70" spans="9:13" ht="12.75" customHeight="1">
      <c r="I70" s="150"/>
      <c r="J70" s="80"/>
      <c r="K70" s="149"/>
      <c r="L70" s="150"/>
      <c r="M70" s="150"/>
    </row>
    <row r="71" spans="9:13" ht="12.75" customHeight="1">
      <c r="I71" s="150"/>
      <c r="J71" s="80"/>
      <c r="K71" s="149"/>
      <c r="L71" s="150"/>
      <c r="M71" s="150"/>
    </row>
    <row r="72" spans="9:13" ht="12.75" customHeight="1">
      <c r="I72" s="150"/>
      <c r="J72" s="80"/>
      <c r="K72" s="149"/>
      <c r="L72" s="150"/>
      <c r="M72" s="150"/>
    </row>
    <row r="73" spans="9:13" ht="12.75" customHeight="1">
      <c r="I73" s="150"/>
      <c r="J73" s="80"/>
      <c r="K73" s="149"/>
      <c r="L73" s="150"/>
      <c r="M73" s="150"/>
    </row>
    <row r="74" spans="9:13" ht="12.75" customHeight="1">
      <c r="I74" s="150"/>
      <c r="J74" s="80"/>
      <c r="K74" s="149"/>
      <c r="L74" s="150"/>
      <c r="M74" s="150"/>
    </row>
    <row r="75" spans="9:13" ht="12.75" customHeight="1">
      <c r="I75" s="150"/>
      <c r="J75" s="80"/>
      <c r="K75" s="149"/>
      <c r="L75" s="150"/>
      <c r="M75" s="150"/>
    </row>
    <row r="76" spans="9:13" ht="12.75" customHeight="1">
      <c r="I76" s="150"/>
      <c r="J76" s="80"/>
      <c r="K76" s="149"/>
      <c r="L76" s="150"/>
      <c r="M76" s="150"/>
    </row>
    <row r="77" spans="9:13" ht="12.75" customHeight="1">
      <c r="I77" s="150"/>
      <c r="J77" s="80"/>
      <c r="K77" s="150"/>
      <c r="L77" s="150"/>
      <c r="M77" s="150"/>
    </row>
    <row r="78" spans="9:13" ht="12.75" customHeight="1">
      <c r="I78" s="150"/>
      <c r="J78" s="80"/>
      <c r="K78" s="150"/>
      <c r="L78" s="150"/>
      <c r="M78" s="150"/>
    </row>
    <row r="79" spans="9:13" ht="12.75" customHeight="1">
      <c r="I79" s="150"/>
      <c r="J79" s="80"/>
      <c r="K79" s="150"/>
      <c r="L79" s="150"/>
      <c r="M79" s="150"/>
    </row>
    <row r="80" spans="9:13" ht="12.75" customHeight="1">
      <c r="I80" s="150"/>
      <c r="J80" s="80"/>
      <c r="K80" s="150"/>
      <c r="L80" s="150"/>
      <c r="M80" s="150"/>
    </row>
    <row r="81" spans="9:13" ht="12.75" customHeight="1">
      <c r="I81" s="150"/>
      <c r="J81" s="80"/>
      <c r="K81" s="150"/>
      <c r="L81" s="150"/>
      <c r="M81" s="150"/>
    </row>
    <row r="82" spans="9:13" ht="12.75" customHeight="1">
      <c r="I82" s="150"/>
      <c r="J82" s="80"/>
      <c r="K82" s="150"/>
      <c r="L82" s="150"/>
      <c r="M82" s="150"/>
    </row>
    <row r="83" spans="9:13" ht="12.75" customHeight="1">
      <c r="I83" s="150"/>
      <c r="J83" s="80"/>
      <c r="K83" s="150"/>
      <c r="L83" s="150"/>
      <c r="M83" s="150"/>
    </row>
    <row r="84" spans="9:13" ht="12.75" customHeight="1">
      <c r="I84" s="150"/>
      <c r="J84" s="80"/>
      <c r="K84" s="150"/>
      <c r="L84" s="150"/>
      <c r="M84" s="150"/>
    </row>
    <row r="85" spans="9:13" ht="12.75" customHeight="1">
      <c r="I85" s="150"/>
      <c r="J85" s="80"/>
      <c r="K85" s="150"/>
      <c r="L85" s="150"/>
      <c r="M85" s="150"/>
    </row>
    <row r="86" spans="9:13" ht="12.75" customHeight="1">
      <c r="I86" s="150"/>
      <c r="J86" s="80"/>
      <c r="K86" s="150"/>
      <c r="L86" s="150"/>
      <c r="M86" s="150"/>
    </row>
    <row r="87" spans="9:13" ht="12.75" customHeight="1">
      <c r="I87" s="150"/>
      <c r="J87" s="80"/>
      <c r="K87" s="150"/>
      <c r="L87" s="150"/>
      <c r="M87" s="150"/>
    </row>
    <row r="88" spans="9:13" ht="12.75" customHeight="1">
      <c r="I88" s="150"/>
      <c r="J88" s="80"/>
      <c r="K88" s="150"/>
      <c r="L88" s="150"/>
      <c r="M88" s="150"/>
    </row>
    <row r="89" spans="9:13" ht="12.75" customHeight="1">
      <c r="I89" s="150"/>
      <c r="J89" s="80"/>
      <c r="K89" s="150"/>
      <c r="L89" s="150"/>
      <c r="M89" s="150"/>
    </row>
    <row r="90" spans="9:13" ht="12.75" customHeight="1">
      <c r="I90" s="150"/>
      <c r="J90" s="80"/>
      <c r="K90" s="150"/>
      <c r="L90" s="150"/>
      <c r="M90" s="150"/>
    </row>
    <row r="91" spans="9:13" ht="12.75" customHeight="1">
      <c r="I91" s="150"/>
      <c r="J91" s="80"/>
      <c r="K91" s="150"/>
      <c r="L91" s="150"/>
      <c r="M91" s="150"/>
    </row>
    <row r="92" spans="9:13" ht="12.75" customHeight="1">
      <c r="I92" s="150"/>
      <c r="J92" s="80"/>
      <c r="K92" s="150"/>
      <c r="L92" s="150"/>
      <c r="M92" s="150"/>
    </row>
    <row r="93" spans="9:13" ht="12.75" customHeight="1">
      <c r="I93" s="150"/>
      <c r="J93" s="80"/>
      <c r="K93" s="150"/>
      <c r="L93" s="150"/>
      <c r="M93" s="150"/>
    </row>
    <row r="94" spans="9:13" ht="12.75" customHeight="1">
      <c r="I94" s="150"/>
      <c r="J94" s="80"/>
      <c r="K94" s="150"/>
      <c r="L94" s="150"/>
      <c r="M94" s="150"/>
    </row>
    <row r="95" spans="9:13" ht="12.75" customHeight="1">
      <c r="I95" s="150"/>
      <c r="J95" s="80"/>
      <c r="K95" s="150"/>
      <c r="L95" s="150"/>
      <c r="M95" s="150"/>
    </row>
    <row r="96" spans="9:13" ht="12.75" customHeight="1">
      <c r="I96" s="150"/>
      <c r="J96" s="80"/>
      <c r="K96" s="150"/>
      <c r="L96" s="150"/>
      <c r="M96" s="150"/>
    </row>
    <row r="97" spans="9:13" ht="12.75" customHeight="1">
      <c r="I97" s="150"/>
      <c r="J97" s="80"/>
      <c r="K97" s="150"/>
      <c r="L97" s="150"/>
      <c r="M97" s="150"/>
    </row>
    <row r="98" spans="9:13" ht="12.75" customHeight="1">
      <c r="I98" s="150"/>
      <c r="J98" s="80"/>
      <c r="K98" s="150"/>
      <c r="L98" s="150"/>
      <c r="M98" s="150"/>
    </row>
    <row r="99" spans="9:13" ht="12.75" customHeight="1">
      <c r="I99" s="150"/>
      <c r="J99" s="80"/>
      <c r="K99" s="150"/>
      <c r="L99" s="150"/>
      <c r="M99" s="150"/>
    </row>
    <row r="100" spans="9:13" ht="12.75" customHeight="1">
      <c r="I100" s="150"/>
      <c r="J100" s="80"/>
      <c r="K100" s="150"/>
      <c r="L100" s="150"/>
      <c r="M100" s="150"/>
    </row>
    <row r="101" spans="9:13" ht="12.75" customHeight="1">
      <c r="I101" s="150"/>
      <c r="J101" s="80"/>
      <c r="K101" s="150"/>
      <c r="L101" s="150"/>
      <c r="M101" s="150"/>
    </row>
    <row r="102" spans="9:13" ht="12.75" customHeight="1">
      <c r="I102" s="150"/>
      <c r="J102" s="80"/>
      <c r="K102" s="150"/>
      <c r="L102" s="150"/>
      <c r="M102" s="150"/>
    </row>
    <row r="103" spans="9:13" ht="12.75" customHeight="1">
      <c r="I103" s="150"/>
      <c r="J103" s="80"/>
      <c r="K103" s="150"/>
      <c r="L103" s="150"/>
      <c r="M103" s="150"/>
    </row>
    <row r="104" spans="9:13" ht="12.75" customHeight="1">
      <c r="I104" s="150"/>
      <c r="J104" s="80"/>
      <c r="K104" s="150"/>
      <c r="L104" s="150"/>
      <c r="M104" s="150"/>
    </row>
    <row r="105" spans="9:13" ht="12.75" customHeight="1">
      <c r="I105" s="150"/>
      <c r="J105" s="80"/>
      <c r="K105" s="150"/>
      <c r="L105" s="150"/>
      <c r="M105" s="150"/>
    </row>
    <row r="106" spans="9:13" ht="12.75" customHeight="1">
      <c r="I106" s="150"/>
      <c r="J106" s="80"/>
      <c r="K106" s="150"/>
      <c r="L106" s="150"/>
      <c r="M106" s="150"/>
    </row>
    <row r="107" spans="9:13" ht="12.75" customHeight="1">
      <c r="I107" s="150"/>
      <c r="J107" s="80"/>
      <c r="K107" s="150"/>
      <c r="L107" s="150"/>
      <c r="M107" s="150"/>
    </row>
    <row r="108" spans="9:13" ht="12.75" customHeight="1">
      <c r="I108" s="150"/>
      <c r="J108" s="80"/>
      <c r="K108" s="150"/>
      <c r="L108" s="150"/>
      <c r="M108" s="150"/>
    </row>
    <row r="109" spans="9:13" ht="12.75" customHeight="1">
      <c r="I109" s="150"/>
      <c r="J109" s="80"/>
      <c r="K109" s="150"/>
      <c r="L109" s="150"/>
      <c r="M109" s="150"/>
    </row>
    <row r="110" spans="9:13" ht="12.75" customHeight="1">
      <c r="I110" s="150"/>
      <c r="J110" s="80"/>
      <c r="K110" s="150"/>
      <c r="L110" s="150"/>
      <c r="M110" s="150"/>
    </row>
    <row r="111" spans="9:13" ht="12.75" customHeight="1">
      <c r="I111" s="150"/>
      <c r="J111" s="150"/>
      <c r="K111" s="150"/>
      <c r="L111" s="150"/>
      <c r="M111" s="150"/>
    </row>
    <row r="112" spans="9:13" ht="12.75" customHeight="1">
      <c r="I112" s="150"/>
      <c r="J112" s="150"/>
      <c r="K112" s="150"/>
      <c r="L112" s="150"/>
      <c r="M112" s="150"/>
    </row>
    <row r="113" spans="9:13" ht="12.75" customHeight="1">
      <c r="I113" s="150"/>
      <c r="J113" s="150"/>
      <c r="K113" s="150"/>
      <c r="L113" s="150"/>
      <c r="M113" s="150"/>
    </row>
    <row r="114" spans="9:13" ht="12.75" customHeight="1">
      <c r="I114" s="150"/>
      <c r="J114" s="150"/>
      <c r="K114" s="150"/>
      <c r="L114" s="150"/>
      <c r="M114" s="150"/>
    </row>
    <row r="115" spans="9:13" ht="12.75" customHeight="1">
      <c r="I115" s="150"/>
      <c r="J115" s="150"/>
      <c r="K115" s="150"/>
      <c r="L115" s="150"/>
      <c r="M115" s="150"/>
    </row>
    <row r="116" spans="9:13" ht="12.75" customHeight="1">
      <c r="I116" s="150"/>
      <c r="J116" s="150"/>
      <c r="K116" s="150"/>
      <c r="L116" s="150"/>
      <c r="M116" s="150"/>
    </row>
    <row r="117" spans="9:13" ht="12.75" customHeight="1">
      <c r="I117" s="150"/>
      <c r="J117" s="150"/>
      <c r="K117" s="150"/>
      <c r="L117" s="150"/>
      <c r="M117" s="150"/>
    </row>
    <row r="118" spans="9:13" ht="12.75" customHeight="1">
      <c r="I118" s="150"/>
      <c r="J118" s="150"/>
      <c r="K118" s="150"/>
      <c r="L118" s="150"/>
      <c r="M118" s="150"/>
    </row>
    <row r="119" spans="9:13" ht="12.75" customHeight="1">
      <c r="I119" s="150"/>
      <c r="J119" s="150"/>
      <c r="K119" s="150"/>
      <c r="L119" s="150"/>
      <c r="M119" s="150"/>
    </row>
    <row r="120" spans="9:13" ht="12.75" customHeight="1">
      <c r="I120" s="150"/>
      <c r="J120" s="150"/>
      <c r="K120" s="150"/>
      <c r="L120" s="150"/>
      <c r="M120" s="150"/>
    </row>
    <row r="121" spans="9:13" ht="12.75" customHeight="1">
      <c r="I121" s="150"/>
      <c r="J121" s="150"/>
      <c r="K121" s="150"/>
      <c r="L121" s="150"/>
      <c r="M121" s="150"/>
    </row>
    <row r="122" spans="9:13" ht="12.75" customHeight="1">
      <c r="I122" s="150"/>
      <c r="J122" s="150"/>
      <c r="K122" s="150"/>
      <c r="L122" s="150"/>
      <c r="M122" s="150"/>
    </row>
    <row r="123" spans="9:13" ht="12.75" customHeight="1">
      <c r="I123" s="150"/>
      <c r="J123" s="150"/>
      <c r="K123" s="150"/>
      <c r="L123" s="150"/>
      <c r="M123" s="150"/>
    </row>
    <row r="124" spans="9:13" ht="12.75" customHeight="1">
      <c r="I124" s="150"/>
      <c r="J124" s="150"/>
      <c r="K124" s="150"/>
      <c r="L124" s="150"/>
      <c r="M124" s="150"/>
    </row>
    <row r="125" spans="9:13" ht="12.75" customHeight="1">
      <c r="I125" s="150"/>
      <c r="J125" s="150"/>
      <c r="K125" s="150"/>
      <c r="L125" s="150"/>
      <c r="M125" s="150"/>
    </row>
    <row r="126" spans="9:13" ht="12.75" customHeight="1">
      <c r="I126" s="150"/>
      <c r="J126" s="150"/>
      <c r="K126" s="150"/>
      <c r="L126" s="150"/>
      <c r="M126" s="150"/>
    </row>
    <row r="127" spans="9:13" ht="12.75" customHeight="1">
      <c r="I127" s="150"/>
      <c r="J127" s="150"/>
      <c r="K127" s="150"/>
      <c r="L127" s="150"/>
      <c r="M127" s="150"/>
    </row>
    <row r="128" spans="9:13" ht="12.75" customHeight="1">
      <c r="I128" s="150"/>
      <c r="J128" s="150"/>
      <c r="K128" s="150"/>
      <c r="L128" s="150"/>
      <c r="M128" s="150"/>
    </row>
    <row r="129" spans="9:13" ht="12.75" customHeight="1">
      <c r="I129" s="150"/>
      <c r="J129" s="150"/>
      <c r="K129" s="150"/>
      <c r="L129" s="150"/>
      <c r="M129" s="150"/>
    </row>
    <row r="130" spans="9:13" ht="12.75" customHeight="1">
      <c r="I130" s="150"/>
      <c r="J130" s="150"/>
      <c r="K130" s="150"/>
      <c r="L130" s="150"/>
      <c r="M130" s="150"/>
    </row>
    <row r="131" spans="9:13" ht="12.75" customHeight="1">
      <c r="I131" s="150"/>
      <c r="J131" s="150"/>
      <c r="K131" s="150"/>
      <c r="L131" s="150"/>
      <c r="M131" s="150"/>
    </row>
    <row r="132" spans="9:13" ht="12.75" customHeight="1">
      <c r="I132" s="150"/>
      <c r="J132" s="150"/>
      <c r="K132" s="150"/>
      <c r="L132" s="150"/>
      <c r="M132" s="150"/>
    </row>
    <row r="133" spans="9:13" ht="12.75" customHeight="1">
      <c r="I133" s="150"/>
      <c r="J133" s="150"/>
      <c r="K133" s="150"/>
      <c r="L133" s="150"/>
      <c r="M133" s="150"/>
    </row>
    <row r="134" spans="9:13" ht="12.75" customHeight="1">
      <c r="I134" s="150"/>
      <c r="J134" s="150"/>
      <c r="K134" s="150"/>
      <c r="L134" s="150"/>
      <c r="M134" s="150"/>
    </row>
    <row r="135" spans="9:13" ht="12.75" customHeight="1">
      <c r="I135" s="150"/>
      <c r="J135" s="150"/>
      <c r="K135" s="150"/>
      <c r="L135" s="150"/>
      <c r="M135" s="150"/>
    </row>
    <row r="136" spans="9:13" ht="12.75" customHeight="1">
      <c r="I136" s="150"/>
      <c r="J136" s="150"/>
      <c r="K136" s="150"/>
      <c r="L136" s="150"/>
      <c r="M136" s="150"/>
    </row>
    <row r="137" spans="9:13" ht="12.75" customHeight="1">
      <c r="I137" s="150"/>
      <c r="J137" s="150"/>
      <c r="K137" s="150"/>
      <c r="L137" s="150"/>
      <c r="M137" s="150"/>
    </row>
    <row r="138" spans="9:13" ht="12.75" customHeight="1">
      <c r="I138" s="150"/>
      <c r="J138" s="150"/>
      <c r="K138" s="150"/>
      <c r="L138" s="150"/>
      <c r="M138" s="150"/>
    </row>
    <row r="139" spans="9:13" ht="12.75" customHeight="1">
      <c r="I139" s="150"/>
      <c r="J139" s="150"/>
      <c r="K139" s="150"/>
      <c r="L139" s="150"/>
      <c r="M139" s="150"/>
    </row>
    <row r="140" spans="9:13" ht="12.75" customHeight="1">
      <c r="I140" s="150"/>
      <c r="J140" s="150"/>
      <c r="K140" s="150"/>
      <c r="L140" s="150"/>
      <c r="M140" s="150"/>
    </row>
    <row r="141" spans="9:13" ht="12.75" customHeight="1">
      <c r="I141" s="150"/>
      <c r="J141" s="150"/>
      <c r="K141" s="150"/>
      <c r="L141" s="150"/>
      <c r="M141" s="150"/>
    </row>
    <row r="142" spans="9:13" ht="12.75" customHeight="1">
      <c r="I142" s="150"/>
      <c r="J142" s="150"/>
      <c r="K142" s="150"/>
      <c r="L142" s="150"/>
      <c r="M142" s="150"/>
    </row>
    <row r="143" spans="9:13" ht="12.75" customHeight="1">
      <c r="I143" s="150"/>
      <c r="J143" s="150"/>
      <c r="K143" s="150"/>
      <c r="L143" s="150"/>
      <c r="M143" s="150"/>
    </row>
    <row r="144" spans="9:13" ht="12.75" customHeight="1">
      <c r="I144" s="150"/>
      <c r="J144" s="150"/>
      <c r="K144" s="150"/>
      <c r="L144" s="150"/>
      <c r="M144" s="150"/>
    </row>
    <row r="145" spans="9:13" ht="12.75" customHeight="1">
      <c r="I145" s="150"/>
      <c r="J145" s="150"/>
      <c r="K145" s="150"/>
      <c r="L145" s="150"/>
      <c r="M145" s="150"/>
    </row>
    <row r="146" spans="9:13" ht="12.75" customHeight="1">
      <c r="I146" s="150"/>
      <c r="J146" s="150"/>
      <c r="K146" s="150"/>
      <c r="L146" s="150"/>
      <c r="M146" s="150"/>
    </row>
    <row r="147" spans="9:13" ht="12.75" customHeight="1">
      <c r="I147" s="150"/>
      <c r="J147" s="150"/>
      <c r="K147" s="150"/>
      <c r="L147" s="150"/>
      <c r="M147" s="150"/>
    </row>
    <row r="148" spans="9:13" ht="12.75" customHeight="1">
      <c r="I148" s="150"/>
      <c r="J148" s="150"/>
      <c r="K148" s="150"/>
      <c r="L148" s="150"/>
      <c r="M148" s="150"/>
    </row>
    <row r="149" spans="9:13" ht="12.75" customHeight="1">
      <c r="I149" s="150"/>
      <c r="J149" s="150"/>
      <c r="K149" s="150"/>
      <c r="L149" s="150"/>
      <c r="M149" s="150"/>
    </row>
    <row r="150" spans="9:13" ht="12.75" customHeight="1">
      <c r="I150" s="150"/>
      <c r="J150" s="150"/>
      <c r="K150" s="150"/>
      <c r="L150" s="150"/>
      <c r="M150" s="150"/>
    </row>
    <row r="151" spans="9:13" ht="12.75" customHeight="1">
      <c r="I151" s="150"/>
      <c r="J151" s="150"/>
      <c r="K151" s="150"/>
      <c r="L151" s="150"/>
      <c r="M151" s="150"/>
    </row>
    <row r="152" spans="9:13" ht="12.75" customHeight="1">
      <c r="I152" s="150"/>
      <c r="J152" s="150"/>
      <c r="K152" s="150"/>
      <c r="L152" s="150"/>
      <c r="M152" s="150"/>
    </row>
    <row r="153" spans="9:13" ht="12.75" customHeight="1">
      <c r="I153" s="150"/>
      <c r="J153" s="150"/>
      <c r="K153" s="150"/>
      <c r="L153" s="150"/>
      <c r="M153" s="150"/>
    </row>
    <row r="154" spans="9:13" ht="12.75" customHeight="1">
      <c r="I154" s="150"/>
      <c r="J154" s="150"/>
      <c r="K154" s="150"/>
      <c r="L154" s="150"/>
      <c r="M154" s="150"/>
    </row>
    <row r="155" spans="9:13" ht="12.75" customHeight="1">
      <c r="I155" s="150"/>
      <c r="J155" s="150"/>
      <c r="K155" s="150"/>
      <c r="L155" s="150"/>
      <c r="M155" s="150"/>
    </row>
    <row r="156" spans="9:13" ht="12.75" customHeight="1">
      <c r="I156" s="150"/>
      <c r="J156" s="150"/>
      <c r="K156" s="150"/>
      <c r="L156" s="150"/>
      <c r="M156" s="150"/>
    </row>
    <row r="157" spans="9:13" ht="12.75" customHeight="1">
      <c r="I157" s="150"/>
      <c r="J157" s="150"/>
      <c r="K157" s="150"/>
      <c r="L157" s="150"/>
      <c r="M157" s="150"/>
    </row>
    <row r="158" spans="9:13" ht="12.75" customHeight="1">
      <c r="I158" s="150"/>
      <c r="J158" s="150"/>
      <c r="K158" s="150"/>
      <c r="L158" s="150"/>
      <c r="M158" s="150"/>
    </row>
    <row r="159" spans="9:13" ht="12.75" customHeight="1">
      <c r="I159" s="150"/>
      <c r="J159" s="150"/>
      <c r="K159" s="150"/>
      <c r="L159" s="150"/>
      <c r="M159" s="150"/>
    </row>
    <row r="160" spans="9:13" ht="12.75" customHeight="1">
      <c r="I160" s="150"/>
      <c r="J160" s="150"/>
      <c r="K160" s="150"/>
      <c r="L160" s="150"/>
      <c r="M160" s="150"/>
    </row>
    <row r="161" spans="9:13" ht="12.75" customHeight="1">
      <c r="I161" s="150"/>
      <c r="J161" s="150"/>
      <c r="K161" s="150"/>
      <c r="L161" s="150"/>
      <c r="M161" s="150"/>
    </row>
    <row r="162" spans="9:13" ht="12.75" customHeight="1">
      <c r="I162" s="150"/>
      <c r="J162" s="150"/>
      <c r="K162" s="150"/>
      <c r="L162" s="150"/>
      <c r="M162" s="150"/>
    </row>
    <row r="163" spans="9:13" ht="12.75" customHeight="1">
      <c r="I163" s="150"/>
      <c r="J163" s="150"/>
      <c r="K163" s="150"/>
      <c r="L163" s="150"/>
      <c r="M163" s="150"/>
    </row>
    <row r="164" spans="9:13" ht="12.75" customHeight="1">
      <c r="I164" s="150"/>
      <c r="J164" s="150"/>
      <c r="K164" s="150"/>
      <c r="L164" s="150"/>
      <c r="M164" s="150"/>
    </row>
    <row r="165" spans="9:13" ht="12.75" customHeight="1">
      <c r="I165" s="150"/>
      <c r="J165" s="150"/>
      <c r="K165" s="150"/>
      <c r="L165" s="150"/>
      <c r="M165" s="150"/>
    </row>
    <row r="166" spans="9:13" ht="12.75" customHeight="1">
      <c r="I166" s="150"/>
      <c r="J166" s="150"/>
      <c r="K166" s="150"/>
      <c r="L166" s="150"/>
      <c r="M166" s="150"/>
    </row>
    <row r="167" spans="9:13" ht="12.75" customHeight="1">
      <c r="I167" s="150"/>
      <c r="J167" s="150"/>
      <c r="K167" s="150"/>
      <c r="L167" s="150"/>
      <c r="M167" s="150"/>
    </row>
    <row r="168" spans="9:13" ht="12.75" customHeight="1">
      <c r="I168" s="150"/>
      <c r="J168" s="150"/>
      <c r="K168" s="150"/>
      <c r="L168" s="150"/>
      <c r="M168" s="150"/>
    </row>
    <row r="169" spans="9:13" ht="12.75" customHeight="1">
      <c r="I169" s="150"/>
      <c r="J169" s="150"/>
      <c r="K169" s="150"/>
      <c r="L169" s="150"/>
      <c r="M169" s="150"/>
    </row>
    <row r="170" spans="9:13" ht="12.75" customHeight="1">
      <c r="I170" s="150"/>
      <c r="J170" s="150"/>
      <c r="K170" s="150"/>
      <c r="L170" s="150"/>
      <c r="M170" s="150"/>
    </row>
    <row r="171" spans="9:13" ht="12.75" customHeight="1">
      <c r="I171" s="150"/>
      <c r="J171" s="150"/>
      <c r="K171" s="150"/>
      <c r="L171" s="150"/>
      <c r="M171" s="150"/>
    </row>
    <row r="172" spans="9:13" ht="12.75" customHeight="1">
      <c r="I172" s="150"/>
      <c r="J172" s="150"/>
      <c r="K172" s="150"/>
      <c r="L172" s="150"/>
      <c r="M172" s="150"/>
    </row>
    <row r="173" spans="9:13" ht="12.75" customHeight="1">
      <c r="I173" s="150"/>
      <c r="J173" s="150"/>
      <c r="K173" s="150"/>
      <c r="L173" s="150"/>
      <c r="M173" s="150"/>
    </row>
    <row r="174" spans="9:13" ht="12.75" customHeight="1">
      <c r="I174" s="150"/>
      <c r="J174" s="150"/>
      <c r="K174" s="150"/>
      <c r="L174" s="150"/>
      <c r="M174" s="150"/>
    </row>
    <row r="175" spans="9:13" ht="12.75" customHeight="1">
      <c r="I175" s="150"/>
      <c r="J175" s="150"/>
      <c r="K175" s="150"/>
      <c r="L175" s="150"/>
      <c r="M175" s="150"/>
    </row>
    <row r="176" spans="9:13" ht="12.75" customHeight="1">
      <c r="I176" s="150"/>
      <c r="J176" s="150"/>
      <c r="K176" s="150"/>
      <c r="L176" s="150"/>
      <c r="M176" s="150"/>
    </row>
    <row r="177" spans="9:13" ht="12.75" customHeight="1">
      <c r="I177" s="150"/>
      <c r="J177" s="150"/>
      <c r="K177" s="150"/>
      <c r="L177" s="150"/>
      <c r="M177" s="150"/>
    </row>
    <row r="178" spans="9:13" ht="12.75" customHeight="1">
      <c r="I178" s="150"/>
      <c r="J178" s="150"/>
      <c r="K178" s="150"/>
      <c r="L178" s="150"/>
      <c r="M178" s="150"/>
    </row>
    <row r="179" spans="9:13" ht="12.75" customHeight="1">
      <c r="I179" s="150"/>
      <c r="J179" s="150"/>
      <c r="K179" s="150"/>
      <c r="L179" s="150"/>
      <c r="M179" s="150"/>
    </row>
    <row r="180" spans="9:13" ht="12.75" customHeight="1">
      <c r="I180" s="150"/>
      <c r="J180" s="150"/>
      <c r="K180" s="150"/>
      <c r="L180" s="150"/>
      <c r="M180" s="150"/>
    </row>
    <row r="181" spans="9:13" ht="12.75" customHeight="1">
      <c r="I181" s="150"/>
      <c r="J181" s="150"/>
      <c r="K181" s="150"/>
      <c r="L181" s="150"/>
      <c r="M181" s="150"/>
    </row>
    <row r="182" spans="9:13" ht="12.75" customHeight="1">
      <c r="I182" s="150"/>
      <c r="J182" s="150"/>
      <c r="K182" s="150"/>
      <c r="L182" s="150"/>
      <c r="M182" s="150"/>
    </row>
    <row r="183" spans="9:13" ht="12.75" customHeight="1">
      <c r="I183" s="150"/>
      <c r="J183" s="150"/>
      <c r="K183" s="150"/>
      <c r="L183" s="150"/>
      <c r="M183" s="150"/>
    </row>
    <row r="184" spans="9:13" ht="12.75" customHeight="1">
      <c r="I184" s="150"/>
      <c r="J184" s="150"/>
      <c r="K184" s="150"/>
      <c r="L184" s="150"/>
      <c r="M184" s="150"/>
    </row>
    <row r="185" spans="9:13" ht="12.75" customHeight="1">
      <c r="I185" s="150"/>
      <c r="J185" s="150"/>
      <c r="K185" s="150"/>
      <c r="L185" s="150"/>
      <c r="M185" s="150"/>
    </row>
    <row r="186" spans="9:13" ht="12.75" customHeight="1">
      <c r="I186" s="150"/>
      <c r="J186" s="150"/>
      <c r="K186" s="150"/>
      <c r="L186" s="150"/>
      <c r="M186" s="150"/>
    </row>
    <row r="187" spans="9:13" ht="12.75" customHeight="1">
      <c r="I187" s="150"/>
      <c r="J187" s="150"/>
      <c r="K187" s="150"/>
      <c r="L187" s="150"/>
      <c r="M187" s="150"/>
    </row>
    <row r="188" spans="9:13" ht="12.75" customHeight="1">
      <c r="I188" s="150"/>
      <c r="J188" s="150"/>
      <c r="K188" s="150"/>
      <c r="L188" s="150"/>
      <c r="M188" s="150"/>
    </row>
    <row r="189" spans="9:13" ht="12.75" customHeight="1">
      <c r="I189" s="150"/>
      <c r="J189" s="150"/>
      <c r="K189" s="150"/>
      <c r="L189" s="150"/>
      <c r="M189" s="150"/>
    </row>
    <row r="190" spans="9:13" ht="12.75" customHeight="1">
      <c r="I190" s="150"/>
      <c r="J190" s="150"/>
      <c r="K190" s="150"/>
      <c r="L190" s="150"/>
      <c r="M190" s="150"/>
    </row>
    <row r="191" spans="9:13" ht="12.75" customHeight="1">
      <c r="I191" s="150"/>
      <c r="J191" s="150"/>
      <c r="K191" s="150"/>
      <c r="L191" s="150"/>
      <c r="M191" s="150"/>
    </row>
    <row r="192" spans="9:13" ht="12.75" customHeight="1">
      <c r="I192" s="150"/>
      <c r="J192" s="150"/>
      <c r="K192" s="150"/>
      <c r="L192" s="150"/>
      <c r="M192" s="150"/>
    </row>
    <row r="193" spans="9:13" ht="12.75" customHeight="1">
      <c r="I193" s="150"/>
      <c r="J193" s="150"/>
      <c r="K193" s="150"/>
      <c r="L193" s="150"/>
      <c r="M193" s="150"/>
    </row>
    <row r="194" spans="9:13" ht="12.75" customHeight="1">
      <c r="I194" s="150"/>
      <c r="J194" s="150"/>
      <c r="K194" s="150"/>
      <c r="L194" s="150"/>
      <c r="M194" s="150"/>
    </row>
    <row r="195" spans="9:13" ht="12.75" customHeight="1">
      <c r="I195" s="150"/>
      <c r="J195" s="150"/>
      <c r="K195" s="150"/>
      <c r="L195" s="150"/>
      <c r="M195" s="150"/>
    </row>
    <row r="196" spans="9:13" ht="12.75" customHeight="1">
      <c r="I196" s="150"/>
      <c r="J196" s="150"/>
      <c r="K196" s="150"/>
      <c r="L196" s="150"/>
      <c r="M196" s="150"/>
    </row>
    <row r="197" spans="9:13" ht="12.75" customHeight="1">
      <c r="I197" s="150"/>
      <c r="J197" s="150"/>
      <c r="K197" s="150"/>
      <c r="L197" s="150"/>
      <c r="M197" s="150"/>
    </row>
    <row r="198" spans="9:13" ht="12.75" customHeight="1">
      <c r="I198" s="150"/>
      <c r="J198" s="150"/>
      <c r="K198" s="150"/>
      <c r="L198" s="150"/>
      <c r="M198" s="150"/>
    </row>
    <row r="199" spans="9:13" ht="12.75" customHeight="1">
      <c r="I199" s="150"/>
      <c r="J199" s="150"/>
      <c r="K199" s="150"/>
      <c r="L199" s="150"/>
      <c r="M199" s="150"/>
    </row>
    <row r="200" spans="9:13" ht="12.75" customHeight="1">
      <c r="I200" s="150"/>
      <c r="J200" s="150"/>
      <c r="K200" s="150"/>
      <c r="L200" s="150"/>
      <c r="M200" s="150"/>
    </row>
    <row r="201" spans="9:13" ht="12.75" customHeight="1">
      <c r="I201" s="150"/>
      <c r="J201" s="150"/>
      <c r="K201" s="150"/>
      <c r="L201" s="150"/>
      <c r="M201" s="150"/>
    </row>
    <row r="202" spans="9:13" ht="12.75" customHeight="1">
      <c r="I202" s="150"/>
      <c r="J202" s="150"/>
      <c r="K202" s="150"/>
      <c r="L202" s="150"/>
      <c r="M202" s="150"/>
    </row>
    <row r="203" spans="9:13" ht="12.75" customHeight="1">
      <c r="I203" s="150"/>
      <c r="J203" s="150"/>
      <c r="K203" s="150"/>
      <c r="L203" s="150"/>
      <c r="M203" s="150"/>
    </row>
    <row r="204" spans="9:13" ht="12.75" customHeight="1">
      <c r="I204" s="150"/>
      <c r="J204" s="150"/>
      <c r="K204" s="150"/>
      <c r="L204" s="150"/>
      <c r="M204" s="150"/>
    </row>
    <row r="205" spans="9:13" ht="12.75" customHeight="1">
      <c r="I205" s="150"/>
      <c r="J205" s="150"/>
      <c r="K205" s="150"/>
      <c r="L205" s="150"/>
      <c r="M205" s="150"/>
    </row>
    <row r="206" spans="9:13" ht="12.75" customHeight="1">
      <c r="I206" s="150"/>
      <c r="J206" s="150"/>
      <c r="K206" s="150"/>
      <c r="L206" s="150"/>
      <c r="M206" s="150"/>
    </row>
    <row r="207" spans="9:13" ht="12.75" customHeight="1">
      <c r="I207" s="150"/>
      <c r="J207" s="150"/>
      <c r="K207" s="150"/>
      <c r="L207" s="150"/>
      <c r="M207" s="150"/>
    </row>
    <row r="208" spans="9:13" ht="12.75" customHeight="1">
      <c r="I208" s="150"/>
      <c r="J208" s="150"/>
      <c r="K208" s="150"/>
      <c r="L208" s="150"/>
      <c r="M208" s="150"/>
    </row>
    <row r="209" spans="9:13" ht="12.75" customHeight="1">
      <c r="I209" s="150"/>
      <c r="J209" s="150"/>
      <c r="K209" s="150"/>
      <c r="L209" s="150"/>
      <c r="M209" s="150"/>
    </row>
    <row r="210" spans="9:13" ht="12.75" customHeight="1">
      <c r="I210" s="150"/>
      <c r="J210" s="150"/>
      <c r="K210" s="150"/>
      <c r="L210" s="150"/>
      <c r="M210" s="150"/>
    </row>
    <row r="211" spans="9:13" ht="12.75" customHeight="1">
      <c r="I211" s="150"/>
      <c r="J211" s="150"/>
      <c r="K211" s="150"/>
      <c r="L211" s="150"/>
      <c r="M211" s="150"/>
    </row>
    <row r="212" spans="9:13" ht="12.75" customHeight="1">
      <c r="I212" s="150"/>
      <c r="J212" s="150"/>
      <c r="K212" s="150"/>
      <c r="L212" s="150"/>
      <c r="M212" s="150"/>
    </row>
    <row r="213" spans="9:13" ht="12.75" customHeight="1">
      <c r="I213" s="150"/>
      <c r="J213" s="150"/>
      <c r="K213" s="150"/>
      <c r="L213" s="150"/>
      <c r="M213" s="150"/>
    </row>
    <row r="214" spans="9:13" ht="12.75" customHeight="1">
      <c r="I214" s="150"/>
      <c r="J214" s="150"/>
      <c r="K214" s="150"/>
      <c r="L214" s="150"/>
      <c r="M214" s="150"/>
    </row>
    <row r="215" spans="9:13" ht="12.75" customHeight="1">
      <c r="I215" s="150"/>
      <c r="J215" s="150"/>
      <c r="K215" s="150"/>
      <c r="L215" s="150"/>
      <c r="M215" s="150"/>
    </row>
    <row r="216" spans="9:13" ht="12.75" customHeight="1">
      <c r="I216" s="150"/>
      <c r="J216" s="150"/>
      <c r="K216" s="150"/>
      <c r="L216" s="150"/>
      <c r="M216" s="150"/>
    </row>
    <row r="217" spans="9:13" ht="12.75" customHeight="1">
      <c r="I217" s="150"/>
      <c r="J217" s="150"/>
      <c r="K217" s="150"/>
      <c r="L217" s="150"/>
      <c r="M217" s="150"/>
    </row>
    <row r="218" spans="9:13" ht="12.75" customHeight="1">
      <c r="I218" s="150"/>
      <c r="J218" s="150"/>
      <c r="K218" s="150"/>
      <c r="L218" s="150"/>
      <c r="M218" s="150"/>
    </row>
    <row r="219" spans="9:13" ht="12.75" customHeight="1">
      <c r="I219" s="150"/>
      <c r="J219" s="150"/>
      <c r="K219" s="150"/>
      <c r="L219" s="150"/>
      <c r="M219" s="150"/>
    </row>
    <row r="220" spans="9:13" ht="12.75" customHeight="1">
      <c r="I220" s="150"/>
      <c r="J220" s="150"/>
      <c r="K220" s="150"/>
      <c r="L220" s="150"/>
      <c r="M220" s="150"/>
    </row>
    <row r="221" spans="9:13" ht="12.75" customHeight="1">
      <c r="I221" s="150"/>
      <c r="J221" s="150"/>
      <c r="K221" s="150"/>
      <c r="L221" s="150"/>
      <c r="M221" s="150"/>
    </row>
    <row r="222" spans="9:13" ht="12.75" customHeight="1">
      <c r="I222" s="150"/>
      <c r="J222" s="150"/>
      <c r="K222" s="150"/>
      <c r="L222" s="150"/>
      <c r="M222" s="150"/>
    </row>
    <row r="223" spans="9:13" ht="12.75" customHeight="1">
      <c r="I223" s="150"/>
      <c r="J223" s="150"/>
      <c r="K223" s="150"/>
      <c r="L223" s="150"/>
      <c r="M223" s="150"/>
    </row>
    <row r="224" spans="9:13" ht="12.75" customHeight="1">
      <c r="I224" s="150"/>
      <c r="J224" s="150"/>
      <c r="K224" s="150"/>
      <c r="L224" s="150"/>
      <c r="M224" s="150"/>
    </row>
    <row r="225" spans="9:13" ht="12.75" customHeight="1">
      <c r="I225" s="150"/>
      <c r="J225" s="150"/>
      <c r="K225" s="150"/>
      <c r="L225" s="150"/>
      <c r="M225" s="150"/>
    </row>
    <row r="226" spans="9:13" ht="12.75" customHeight="1">
      <c r="I226" s="150"/>
      <c r="J226" s="150"/>
      <c r="K226" s="150"/>
      <c r="L226" s="150"/>
      <c r="M226" s="150"/>
    </row>
    <row r="227" spans="9:13" ht="12.75" customHeight="1">
      <c r="I227" s="150"/>
      <c r="J227" s="150"/>
      <c r="K227" s="150"/>
      <c r="L227" s="150"/>
      <c r="M227" s="150"/>
    </row>
    <row r="228" spans="9:13" ht="12.75" customHeight="1">
      <c r="I228" s="150"/>
      <c r="J228" s="150"/>
      <c r="K228" s="150"/>
      <c r="L228" s="150"/>
      <c r="M228" s="150"/>
    </row>
    <row r="229" spans="9:13" ht="12.75" customHeight="1">
      <c r="I229" s="150"/>
      <c r="J229" s="150"/>
      <c r="K229" s="150"/>
      <c r="L229" s="150"/>
      <c r="M229" s="150"/>
    </row>
    <row r="230" spans="9:13" ht="12.75" customHeight="1">
      <c r="I230" s="150"/>
      <c r="J230" s="150"/>
      <c r="K230" s="150"/>
      <c r="L230" s="150"/>
      <c r="M230" s="150"/>
    </row>
    <row r="231" spans="9:13" ht="12.75" customHeight="1">
      <c r="I231" s="150"/>
      <c r="J231" s="150"/>
      <c r="K231" s="150"/>
      <c r="L231" s="150"/>
      <c r="M231" s="150"/>
    </row>
    <row r="232" spans="9:13" ht="12.75" customHeight="1">
      <c r="I232" s="150"/>
      <c r="J232" s="150"/>
      <c r="K232" s="150"/>
      <c r="L232" s="150"/>
      <c r="M232" s="150"/>
    </row>
    <row r="233" spans="9:13" ht="12.75" customHeight="1">
      <c r="I233" s="150"/>
      <c r="J233" s="150"/>
      <c r="K233" s="150"/>
      <c r="L233" s="150"/>
      <c r="M233" s="150"/>
    </row>
    <row r="234" spans="9:13" ht="12.75" customHeight="1">
      <c r="I234" s="150"/>
      <c r="J234" s="150"/>
      <c r="K234" s="150"/>
      <c r="L234" s="150"/>
      <c r="M234" s="150"/>
    </row>
    <row r="235" spans="9:13" ht="12.75" customHeight="1">
      <c r="I235" s="150"/>
      <c r="J235" s="150"/>
      <c r="K235" s="150"/>
      <c r="L235" s="150"/>
      <c r="M235" s="150"/>
    </row>
    <row r="236" spans="9:13" ht="12.75" customHeight="1">
      <c r="I236" s="150"/>
      <c r="J236" s="150"/>
      <c r="K236" s="150"/>
      <c r="L236" s="150"/>
      <c r="M236" s="150"/>
    </row>
    <row r="237" spans="9:13" ht="12.75" customHeight="1">
      <c r="I237" s="150"/>
      <c r="J237" s="150"/>
      <c r="K237" s="150"/>
      <c r="L237" s="150"/>
      <c r="M237" s="150"/>
    </row>
    <row r="238" spans="9:13" ht="12.75" customHeight="1">
      <c r="I238" s="150"/>
      <c r="J238" s="150"/>
      <c r="K238" s="150"/>
      <c r="L238" s="150"/>
      <c r="M238" s="150"/>
    </row>
    <row r="239" spans="9:13" ht="12.75" customHeight="1">
      <c r="I239" s="150"/>
      <c r="J239" s="150"/>
      <c r="K239" s="150"/>
      <c r="L239" s="150"/>
      <c r="M239" s="150"/>
    </row>
    <row r="240" spans="9:13" ht="12.75" customHeight="1">
      <c r="I240" s="150"/>
      <c r="J240" s="150"/>
      <c r="K240" s="150"/>
      <c r="L240" s="150"/>
      <c r="M240" s="150"/>
    </row>
    <row r="241" spans="9:13" ht="12.75" customHeight="1">
      <c r="I241" s="150"/>
      <c r="J241" s="150"/>
      <c r="K241" s="150"/>
      <c r="L241" s="150"/>
      <c r="M241" s="150"/>
    </row>
    <row r="242" spans="9:13" ht="12.75" customHeight="1">
      <c r="I242" s="150"/>
      <c r="J242" s="150"/>
      <c r="K242" s="150"/>
      <c r="L242" s="150"/>
      <c r="M242" s="150"/>
    </row>
    <row r="243" spans="9:13" ht="12.75" customHeight="1">
      <c r="I243" s="150"/>
      <c r="J243" s="150"/>
      <c r="K243" s="150"/>
      <c r="L243" s="150"/>
      <c r="M243" s="150"/>
    </row>
    <row r="244" spans="9:13" ht="12.75" customHeight="1">
      <c r="I244" s="150"/>
      <c r="J244" s="150"/>
      <c r="K244" s="150"/>
      <c r="L244" s="150"/>
      <c r="M244" s="150"/>
    </row>
    <row r="245" spans="9:13" ht="12.75" customHeight="1">
      <c r="I245" s="150"/>
      <c r="J245" s="150"/>
      <c r="K245" s="150"/>
      <c r="L245" s="150"/>
      <c r="M245" s="150"/>
    </row>
    <row r="246" spans="9:13" ht="12.75" customHeight="1">
      <c r="I246" s="150"/>
      <c r="J246" s="150"/>
      <c r="K246" s="150"/>
      <c r="L246" s="150"/>
      <c r="M246" s="150"/>
    </row>
    <row r="247" spans="9:13" ht="12.75" customHeight="1">
      <c r="I247" s="150"/>
      <c r="J247" s="150"/>
      <c r="K247" s="150"/>
      <c r="L247" s="150"/>
      <c r="M247" s="150"/>
    </row>
    <row r="248" spans="9:13" ht="12.75" customHeight="1">
      <c r="I248" s="150"/>
      <c r="J248" s="150"/>
      <c r="K248" s="150"/>
      <c r="L248" s="150"/>
      <c r="M248" s="150"/>
    </row>
    <row r="249" spans="9:13" ht="12.75" customHeight="1">
      <c r="I249" s="150"/>
      <c r="J249" s="150"/>
      <c r="K249" s="150"/>
      <c r="L249" s="150"/>
      <c r="M249" s="150"/>
    </row>
    <row r="250" spans="9:13" ht="12.75" customHeight="1">
      <c r="I250" s="150"/>
      <c r="J250" s="150"/>
      <c r="K250" s="150"/>
      <c r="L250" s="150"/>
      <c r="M250" s="150"/>
    </row>
    <row r="251" spans="9:13" ht="12.75" customHeight="1">
      <c r="I251" s="150"/>
      <c r="J251" s="150"/>
      <c r="K251" s="150"/>
      <c r="L251" s="150"/>
      <c r="M251" s="150"/>
    </row>
    <row r="252" spans="9:13" ht="12.75" customHeight="1">
      <c r="I252" s="150"/>
      <c r="J252" s="150"/>
      <c r="K252" s="150"/>
      <c r="L252" s="150"/>
      <c r="M252" s="150"/>
    </row>
    <row r="253" spans="9:13" ht="12.75" customHeight="1">
      <c r="I253" s="150"/>
      <c r="J253" s="150"/>
      <c r="K253" s="150"/>
      <c r="L253" s="150"/>
      <c r="M253" s="150"/>
    </row>
    <row r="254" spans="9:13" ht="12.75" customHeight="1">
      <c r="I254" s="150"/>
      <c r="J254" s="150"/>
      <c r="K254" s="150"/>
      <c r="L254" s="150"/>
      <c r="M254" s="150"/>
    </row>
    <row r="255" spans="9:13" ht="12.75" customHeight="1">
      <c r="I255" s="150"/>
      <c r="J255" s="150"/>
      <c r="K255" s="150"/>
      <c r="L255" s="150"/>
      <c r="M255" s="150"/>
    </row>
    <row r="256" spans="9:13" ht="12.75" customHeight="1">
      <c r="I256" s="150"/>
      <c r="J256" s="150"/>
      <c r="K256" s="150"/>
      <c r="L256" s="150"/>
      <c r="M256" s="150"/>
    </row>
    <row r="257" spans="9:13" ht="12.75" customHeight="1">
      <c r="I257" s="150"/>
      <c r="J257" s="150"/>
      <c r="K257" s="150"/>
      <c r="L257" s="150"/>
      <c r="M257" s="150"/>
    </row>
    <row r="258" spans="9:13" ht="12.75" customHeight="1">
      <c r="I258" s="150"/>
      <c r="J258" s="150"/>
      <c r="K258" s="150"/>
      <c r="L258" s="150"/>
      <c r="M258" s="150"/>
    </row>
    <row r="259" spans="9:13" ht="12.75" customHeight="1">
      <c r="I259" s="150"/>
      <c r="J259" s="150"/>
      <c r="K259" s="150"/>
      <c r="L259" s="150"/>
      <c r="M259" s="150"/>
    </row>
    <row r="260" spans="9:13" ht="12.75" customHeight="1">
      <c r="I260" s="150"/>
      <c r="J260" s="150"/>
      <c r="K260" s="150"/>
      <c r="L260" s="150"/>
      <c r="M260" s="150"/>
    </row>
    <row r="261" spans="9:13" ht="12.75" customHeight="1">
      <c r="I261" s="150"/>
      <c r="J261" s="150"/>
      <c r="K261" s="150"/>
      <c r="L261" s="150"/>
      <c r="M261" s="150"/>
    </row>
    <row r="262" spans="9:13" ht="12.75" customHeight="1">
      <c r="I262" s="150"/>
      <c r="J262" s="150"/>
      <c r="K262" s="150"/>
      <c r="L262" s="150"/>
      <c r="M262" s="150"/>
    </row>
    <row r="263" spans="9:13" ht="12.75" customHeight="1">
      <c r="I263" s="150"/>
      <c r="J263" s="150"/>
      <c r="K263" s="150"/>
      <c r="L263" s="150"/>
      <c r="M263" s="150"/>
    </row>
    <row r="264" spans="9:13" ht="12.75" customHeight="1">
      <c r="I264" s="150"/>
      <c r="J264" s="150"/>
      <c r="K264" s="150"/>
      <c r="L264" s="150"/>
      <c r="M264" s="150"/>
    </row>
    <row r="265" spans="9:13" ht="12.75" customHeight="1">
      <c r="I265" s="150"/>
      <c r="J265" s="150"/>
      <c r="K265" s="150"/>
      <c r="L265" s="150"/>
      <c r="M265" s="150"/>
    </row>
    <row r="266" spans="9:13" ht="12.75" customHeight="1">
      <c r="I266" s="150"/>
      <c r="J266" s="150"/>
      <c r="K266" s="150"/>
      <c r="L266" s="150"/>
      <c r="M266" s="150"/>
    </row>
    <row r="267" spans="9:13" ht="12.75" customHeight="1"/>
    <row r="268" spans="9:13" ht="12.75" customHeight="1"/>
    <row r="269" spans="9:13" ht="12.75" customHeight="1"/>
    <row r="270" spans="9:13" ht="12.75" customHeight="1"/>
    <row r="271" spans="9:13" ht="12.75" customHeight="1"/>
    <row r="272" spans="9:13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</sheetData>
  <mergeCells count="2">
    <mergeCell ref="F3:I3"/>
    <mergeCell ref="N3:S3"/>
  </mergeCells>
  <phoneticPr fontId="0" type="noConversion"/>
  <pageMargins left="0.36" right="0.3" top="0.59" bottom="0.42" header="0.46" footer="0.67"/>
  <pageSetup scale="5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18:O27"/>
  <sheetViews>
    <sheetView workbookViewId="0">
      <selection activeCell="G13" sqref="G13"/>
    </sheetView>
  </sheetViews>
  <sheetFormatPr defaultRowHeight="12.5"/>
  <sheetData>
    <row r="18" spans="3:15" ht="12.75" customHeight="1">
      <c r="C18" s="413" t="str">
        <f>+'Historical Analysis'!C1</f>
        <v>QUALCOMM Incorporated (QCOM)</v>
      </c>
      <c r="D18" s="414"/>
      <c r="E18" s="414"/>
      <c r="F18" s="414"/>
      <c r="G18" s="414"/>
      <c r="H18" s="414"/>
      <c r="I18" s="414"/>
      <c r="J18" s="414"/>
      <c r="K18" s="414"/>
      <c r="L18" s="414"/>
      <c r="M18" s="414"/>
      <c r="N18" s="414"/>
      <c r="O18" s="414"/>
    </row>
    <row r="19" spans="3:15" ht="12.75" customHeight="1"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</row>
    <row r="20" spans="3:15" ht="38.25" customHeight="1"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</row>
    <row r="27" spans="3:15" ht="15.5">
      <c r="F27" s="415" t="s">
        <v>204</v>
      </c>
      <c r="G27" s="416"/>
      <c r="H27" s="416"/>
      <c r="I27" s="416"/>
      <c r="J27" s="416"/>
      <c r="K27" s="416"/>
      <c r="L27" s="416"/>
    </row>
  </sheetData>
  <mergeCells count="2">
    <mergeCell ref="C18:O20"/>
    <mergeCell ref="F27:L27"/>
  </mergeCells>
  <phoneticPr fontId="23" type="noConversion"/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86"/>
  <sheetViews>
    <sheetView topLeftCell="A81" zoomScale="89" zoomScaleNormal="89" workbookViewId="0">
      <selection activeCell="F87" sqref="F87"/>
    </sheetView>
  </sheetViews>
  <sheetFormatPr defaultRowHeight="12.5"/>
  <cols>
    <col min="1" max="1" width="3.81640625" customWidth="1"/>
    <col min="2" max="2" width="34.1796875" customWidth="1"/>
    <col min="3" max="3" width="22" customWidth="1"/>
    <col min="4" max="4" width="18.81640625" customWidth="1"/>
    <col min="5" max="5" width="13.453125" customWidth="1"/>
    <col min="6" max="6" width="16" customWidth="1"/>
    <col min="7" max="7" width="13.1796875" customWidth="1"/>
    <col min="8" max="8" width="15.81640625" customWidth="1"/>
    <col min="9" max="9" width="14.81640625" customWidth="1"/>
    <col min="10" max="10" width="12.81640625" customWidth="1"/>
    <col min="11" max="11" width="12.1796875" customWidth="1"/>
    <col min="12" max="12" width="5.81640625" customWidth="1"/>
    <col min="13" max="13" width="10.453125" customWidth="1"/>
    <col min="14" max="14" width="12.1796875" customWidth="1"/>
    <col min="15" max="15" width="10.453125" customWidth="1"/>
  </cols>
  <sheetData>
    <row r="1" spans="2:10" ht="14">
      <c r="B1" s="2" t="s">
        <v>205</v>
      </c>
      <c r="D1" s="412" t="s">
        <v>350</v>
      </c>
    </row>
    <row r="2" spans="2:10" ht="14">
      <c r="C2" s="2"/>
      <c r="D2" s="412" t="s">
        <v>351</v>
      </c>
    </row>
    <row r="3" spans="2:10" ht="20">
      <c r="B3" s="154" t="s">
        <v>206</v>
      </c>
      <c r="C3" s="67"/>
    </row>
    <row r="4" spans="2:10" ht="15.5">
      <c r="B4" s="155"/>
      <c r="C4" s="67"/>
    </row>
    <row r="5" spans="2:10" ht="20">
      <c r="B5" s="79" t="str">
        <f>+'Historical Analysis'!C1</f>
        <v>QUALCOMM Incorporated (QCOM)</v>
      </c>
      <c r="C5" s="67"/>
    </row>
    <row r="6" spans="2:10" ht="8.25" customHeight="1"/>
    <row r="7" spans="2:10" ht="21" customHeight="1">
      <c r="B7" t="s">
        <v>207</v>
      </c>
      <c r="D7" s="232" t="s">
        <v>208</v>
      </c>
      <c r="E7" s="232" t="s">
        <v>209</v>
      </c>
      <c r="F7" s="232" t="s">
        <v>210</v>
      </c>
      <c r="G7" s="232" t="s">
        <v>211</v>
      </c>
      <c r="H7" s="232" t="s">
        <v>212</v>
      </c>
      <c r="I7" s="233" t="s">
        <v>213</v>
      </c>
      <c r="J7" s="156"/>
    </row>
    <row r="8" spans="2:10" ht="9.75" customHeight="1" thickBot="1">
      <c r="D8" s="152"/>
      <c r="E8" s="152"/>
      <c r="F8" s="152"/>
      <c r="G8" s="152"/>
      <c r="H8" s="152"/>
      <c r="I8" s="157"/>
      <c r="J8" s="156"/>
    </row>
    <row r="9" spans="2:10" ht="45.75" customHeight="1" thickBot="1">
      <c r="B9" s="158" t="s">
        <v>214</v>
      </c>
      <c r="C9" s="159" t="s">
        <v>215</v>
      </c>
      <c r="D9" s="160" t="s">
        <v>216</v>
      </c>
      <c r="E9" s="160" t="s">
        <v>217</v>
      </c>
      <c r="F9" s="160" t="s">
        <v>218</v>
      </c>
      <c r="G9" s="161" t="s">
        <v>219</v>
      </c>
      <c r="H9" s="162" t="s">
        <v>220</v>
      </c>
      <c r="I9" s="163" t="s">
        <v>221</v>
      </c>
    </row>
    <row r="10" spans="2:10" ht="15.75" hidden="1" customHeight="1">
      <c r="B10" s="164" t="s">
        <v>222</v>
      </c>
      <c r="C10" s="298" t="s">
        <v>223</v>
      </c>
      <c r="D10" s="299">
        <v>64.37</v>
      </c>
      <c r="E10" s="300">
        <v>32.695999999999998</v>
      </c>
      <c r="F10" s="301">
        <f>+E10*D10</f>
        <v>2104.6415200000001</v>
      </c>
      <c r="G10" s="302">
        <f>10.15+318.56</f>
        <v>328.71</v>
      </c>
      <c r="H10" s="303"/>
      <c r="I10" s="165">
        <f>+F10+G10</f>
        <v>2433.3515200000002</v>
      </c>
    </row>
    <row r="11" spans="2:10" ht="15.75" hidden="1" customHeight="1">
      <c r="B11" s="166" t="s">
        <v>224</v>
      </c>
      <c r="C11" s="304" t="s">
        <v>225</v>
      </c>
      <c r="D11" s="305">
        <v>30.76</v>
      </c>
      <c r="E11" s="306">
        <v>74.518000000000001</v>
      </c>
      <c r="F11" s="301">
        <f t="shared" ref="F11:F18" si="0">+E11*D11</f>
        <v>2292.1736800000003</v>
      </c>
      <c r="G11" s="307">
        <f>4.1+398</f>
        <v>402.1</v>
      </c>
      <c r="H11" s="308"/>
      <c r="I11" s="167">
        <f t="shared" ref="I11:I17" si="1">+G11+F11</f>
        <v>2694.2736800000002</v>
      </c>
    </row>
    <row r="12" spans="2:10" ht="15.75" hidden="1" customHeight="1">
      <c r="B12" s="166" t="s">
        <v>226</v>
      </c>
      <c r="C12" s="304" t="s">
        <v>227</v>
      </c>
      <c r="D12" s="305">
        <v>24.35</v>
      </c>
      <c r="E12" s="306">
        <v>380.96499999999997</v>
      </c>
      <c r="F12" s="301">
        <f t="shared" si="0"/>
        <v>9276.4977500000005</v>
      </c>
      <c r="G12" s="307">
        <f>14+3633</f>
        <v>3647</v>
      </c>
      <c r="H12" s="308"/>
      <c r="I12" s="167">
        <f t="shared" si="1"/>
        <v>12923.49775</v>
      </c>
    </row>
    <row r="13" spans="2:10" ht="15.75" hidden="1" customHeight="1">
      <c r="B13" s="166" t="s">
        <v>228</v>
      </c>
      <c r="C13" s="304" t="s">
        <v>229</v>
      </c>
      <c r="D13" s="305">
        <v>23.6</v>
      </c>
      <c r="E13" s="306">
        <v>5.2530000000000001</v>
      </c>
      <c r="F13" s="301">
        <f t="shared" si="0"/>
        <v>123.97080000000001</v>
      </c>
      <c r="G13" s="307">
        <f>739.48+25.72</f>
        <v>765.2</v>
      </c>
      <c r="H13" s="308"/>
      <c r="I13" s="167">
        <f t="shared" si="1"/>
        <v>889.1708000000001</v>
      </c>
    </row>
    <row r="14" spans="2:10" ht="15.75" hidden="1" customHeight="1">
      <c r="B14" s="166" t="s">
        <v>230</v>
      </c>
      <c r="C14" s="304" t="s">
        <v>231</v>
      </c>
      <c r="D14" s="305">
        <v>8.52</v>
      </c>
      <c r="E14" s="306">
        <v>201.8</v>
      </c>
      <c r="F14" s="301">
        <f t="shared" si="0"/>
        <v>1719.336</v>
      </c>
      <c r="G14" s="307">
        <f>115.99+809.62</f>
        <v>925.61</v>
      </c>
      <c r="H14" s="308"/>
      <c r="I14" s="167">
        <f t="shared" si="1"/>
        <v>2644.9459999999999</v>
      </c>
    </row>
    <row r="15" spans="2:10" ht="15.75" hidden="1" customHeight="1">
      <c r="B15" s="166" t="s">
        <v>232</v>
      </c>
      <c r="C15" s="305" t="s">
        <v>233</v>
      </c>
      <c r="D15" s="305">
        <v>19.920000000000002</v>
      </c>
      <c r="E15" s="306">
        <v>21.282</v>
      </c>
      <c r="F15" s="301">
        <f t="shared" si="0"/>
        <v>423.93744000000004</v>
      </c>
      <c r="G15" s="307">
        <f>27.54+170.89</f>
        <v>198.42999999999998</v>
      </c>
      <c r="H15" s="308"/>
      <c r="I15" s="167">
        <f t="shared" si="1"/>
        <v>622.36743999999999</v>
      </c>
    </row>
    <row r="16" spans="2:10" ht="15.75" hidden="1" customHeight="1">
      <c r="B16" s="166" t="s">
        <v>234</v>
      </c>
      <c r="C16" s="305" t="s">
        <v>235</v>
      </c>
      <c r="D16" s="305">
        <v>67.510000000000005</v>
      </c>
      <c r="E16" s="306">
        <v>216.71100000000001</v>
      </c>
      <c r="F16" s="301">
        <f t="shared" si="0"/>
        <v>14630.159610000002</v>
      </c>
      <c r="G16" s="307">
        <f>489+836</f>
        <v>1325</v>
      </c>
      <c r="H16" s="308"/>
      <c r="I16" s="167">
        <f t="shared" si="1"/>
        <v>15955.159610000002</v>
      </c>
    </row>
    <row r="17" spans="1:17" ht="15.75" hidden="1" customHeight="1">
      <c r="B17" s="166" t="s">
        <v>236</v>
      </c>
      <c r="C17" s="309" t="s">
        <v>237</v>
      </c>
      <c r="D17" s="305">
        <v>28.92</v>
      </c>
      <c r="E17" s="306">
        <v>31.791</v>
      </c>
      <c r="F17" s="301">
        <f t="shared" si="0"/>
        <v>919.3957200000001</v>
      </c>
      <c r="G17" s="307">
        <f>89.17+537.46</f>
        <v>626.63</v>
      </c>
      <c r="H17" s="308"/>
      <c r="I17" s="167">
        <f t="shared" si="1"/>
        <v>1546.0257200000001</v>
      </c>
    </row>
    <row r="18" spans="1:17" ht="15.75" customHeight="1" thickBot="1">
      <c r="A18">
        <f>ROW()</f>
        <v>18</v>
      </c>
      <c r="B18" s="166" t="s">
        <v>1</v>
      </c>
      <c r="C18" s="379" t="s">
        <v>238</v>
      </c>
      <c r="D18" s="334">
        <v>129.47</v>
      </c>
      <c r="E18" s="327">
        <v>1100000</v>
      </c>
      <c r="F18" s="310">
        <f t="shared" si="0"/>
        <v>142417000</v>
      </c>
      <c r="G18" s="328">
        <v>16070000</v>
      </c>
      <c r="H18" s="329">
        <v>11320000</v>
      </c>
      <c r="I18" s="168">
        <f>+G18+F18-H18</f>
        <v>147167000</v>
      </c>
    </row>
    <row r="19" spans="1:17" ht="13" thickBot="1">
      <c r="A19">
        <f>ROW()</f>
        <v>19</v>
      </c>
    </row>
    <row r="20" spans="1:17" ht="14">
      <c r="A20">
        <f>ROW()</f>
        <v>20</v>
      </c>
      <c r="B20" s="170" t="s">
        <v>239</v>
      </c>
      <c r="C20" s="177">
        <f>+I18</f>
        <v>147167000</v>
      </c>
    </row>
    <row r="21" spans="1:17" ht="13">
      <c r="A21">
        <f>ROW()</f>
        <v>21</v>
      </c>
      <c r="I21" s="2"/>
      <c r="J21" s="2"/>
    </row>
    <row r="22" spans="1:17">
      <c r="A22">
        <f>ROW()</f>
        <v>22</v>
      </c>
      <c r="H22" t="s">
        <v>3</v>
      </c>
    </row>
    <row r="23" spans="1:17" ht="20">
      <c r="A23">
        <f>ROW()</f>
        <v>23</v>
      </c>
      <c r="B23" s="154" t="s">
        <v>240</v>
      </c>
      <c r="F23" s="89" t="s">
        <v>3</v>
      </c>
      <c r="H23" s="89" t="s">
        <v>3</v>
      </c>
    </row>
    <row r="24" spans="1:17" ht="14.25" customHeight="1">
      <c r="A24">
        <f>ROW()</f>
        <v>24</v>
      </c>
      <c r="B24" s="154"/>
      <c r="E24" s="89" t="s">
        <v>3</v>
      </c>
      <c r="F24">
        <v>1000</v>
      </c>
      <c r="I24" s="89" t="s">
        <v>3</v>
      </c>
    </row>
    <row r="25" spans="1:17" ht="18.75" customHeight="1">
      <c r="A25">
        <f>ROW()</f>
        <v>25</v>
      </c>
      <c r="B25" s="79" t="str">
        <f>+B5</f>
        <v>QUALCOMM Incorporated (QCOM)</v>
      </c>
      <c r="G25" s="89" t="s">
        <v>3</v>
      </c>
    </row>
    <row r="26" spans="1:17" ht="11.25" customHeight="1">
      <c r="A26">
        <f>ROW()</f>
        <v>26</v>
      </c>
      <c r="B26" s="2"/>
      <c r="D26" s="232" t="s">
        <v>208</v>
      </c>
      <c r="E26" s="232" t="s">
        <v>209</v>
      </c>
      <c r="F26" s="232" t="s">
        <v>210</v>
      </c>
      <c r="G26" s="232" t="s">
        <v>211</v>
      </c>
      <c r="H26" s="232" t="s">
        <v>212</v>
      </c>
      <c r="I26" s="233" t="s">
        <v>213</v>
      </c>
      <c r="J26" s="232" t="s">
        <v>241</v>
      </c>
      <c r="K26" s="232" t="s">
        <v>242</v>
      </c>
    </row>
    <row r="27" spans="1:17" ht="9" customHeight="1" thickBot="1">
      <c r="A27">
        <f>ROW()</f>
        <v>27</v>
      </c>
      <c r="B27" s="2"/>
      <c r="D27" s="152"/>
      <c r="E27" s="152"/>
      <c r="F27" s="152"/>
      <c r="G27" s="152"/>
      <c r="H27" s="152"/>
    </row>
    <row r="28" spans="1:17" ht="39.5" thickBot="1">
      <c r="A28">
        <f>ROW()</f>
        <v>28</v>
      </c>
      <c r="B28" s="158" t="s">
        <v>214</v>
      </c>
      <c r="C28" s="244" t="s">
        <v>215</v>
      </c>
      <c r="D28" s="160" t="str">
        <f>+D9</f>
        <v>Stock Price 
(as of 11/16/2023)</v>
      </c>
      <c r="E28" s="160" t="s">
        <v>217</v>
      </c>
      <c r="F28" s="160" t="s">
        <v>218</v>
      </c>
      <c r="G28" s="161" t="s">
        <v>219</v>
      </c>
      <c r="H28" s="162" t="s">
        <v>220</v>
      </c>
      <c r="I28" s="163" t="s">
        <v>221</v>
      </c>
      <c r="J28" s="161" t="s">
        <v>243</v>
      </c>
      <c r="K28" s="171" t="s">
        <v>244</v>
      </c>
      <c r="L28" s="236" t="s">
        <v>245</v>
      </c>
    </row>
    <row r="29" spans="1:17">
      <c r="A29">
        <f>ROW()</f>
        <v>29</v>
      </c>
      <c r="B29" s="394" t="s">
        <v>246</v>
      </c>
      <c r="C29" s="288" t="s">
        <v>247</v>
      </c>
      <c r="D29" s="311">
        <v>494.8</v>
      </c>
      <c r="E29" s="312">
        <f>2.47*10^6</f>
        <v>2470000</v>
      </c>
      <c r="F29" s="310">
        <f>+E29*D29</f>
        <v>1222156000</v>
      </c>
      <c r="G29" s="313">
        <f>10.95*10^6</f>
        <v>10950000</v>
      </c>
      <c r="H29" s="313">
        <f>16.02*10^6</f>
        <v>16020000</v>
      </c>
      <c r="I29" s="220">
        <f>+F29+G29-H29</f>
        <v>1217086000</v>
      </c>
      <c r="J29" s="313">
        <f>12.38*10^6</f>
        <v>12380000</v>
      </c>
      <c r="K29" s="172">
        <f>+I29/J29</f>
        <v>98.310662358642972</v>
      </c>
      <c r="L29" s="240" t="s">
        <v>248</v>
      </c>
    </row>
    <row r="30" spans="1:17">
      <c r="A30">
        <f>ROW()</f>
        <v>30</v>
      </c>
      <c r="B30" s="164" t="s">
        <v>249</v>
      </c>
      <c r="C30" s="288" t="s">
        <v>250</v>
      </c>
      <c r="D30" s="315">
        <v>151.88999999999999</v>
      </c>
      <c r="E30" s="312">
        <f>908.2*10^3</f>
        <v>908200</v>
      </c>
      <c r="F30" s="310">
        <f t="shared" ref="F30:F36" si="2">+E30*D30</f>
        <v>137946498</v>
      </c>
      <c r="G30" s="313">
        <f>11.22*10^6</f>
        <v>11220000</v>
      </c>
      <c r="H30" s="313">
        <f>8.95*10^6</f>
        <v>8950000</v>
      </c>
      <c r="I30" s="220">
        <f t="shared" ref="I30:I36" si="3">+F30+G30-H30</f>
        <v>140216498</v>
      </c>
      <c r="J30" s="313">
        <f>8.85*10^6</f>
        <v>8850000</v>
      </c>
      <c r="K30" s="172">
        <f t="shared" ref="K30:K39" si="4">+I30/J30</f>
        <v>15.843672090395481</v>
      </c>
      <c r="L30" s="240">
        <v>1</v>
      </c>
    </row>
    <row r="31" spans="1:17">
      <c r="A31">
        <f>ROW()</f>
        <v>31</v>
      </c>
      <c r="B31" s="164" t="s">
        <v>251</v>
      </c>
      <c r="C31" s="288" t="s">
        <v>252</v>
      </c>
      <c r="D31" s="311">
        <v>45.74</v>
      </c>
      <c r="E31" s="312">
        <v>903410</v>
      </c>
      <c r="F31" s="310">
        <f>+E31*D31</f>
        <v>41321973.399999999</v>
      </c>
      <c r="G31" s="313">
        <v>2800000</v>
      </c>
      <c r="H31" s="313">
        <v>5050000</v>
      </c>
      <c r="I31" s="220">
        <f t="shared" si="3"/>
        <v>39071973.399999999</v>
      </c>
      <c r="J31" s="313">
        <v>6610000</v>
      </c>
      <c r="K31" s="172">
        <f>+I31/J31</f>
        <v>5.9110398487140694</v>
      </c>
      <c r="L31" s="240">
        <v>1.39</v>
      </c>
    </row>
    <row r="32" spans="1:17">
      <c r="A32">
        <f>ROW()</f>
        <v>32</v>
      </c>
      <c r="B32" s="166" t="s">
        <v>253</v>
      </c>
      <c r="C32" s="314" t="s">
        <v>254</v>
      </c>
      <c r="D32" s="315">
        <v>179.84</v>
      </c>
      <c r="E32" s="312">
        <f>498.31*10^3</f>
        <v>498310</v>
      </c>
      <c r="F32" s="310">
        <f t="shared" si="2"/>
        <v>89616070.400000006</v>
      </c>
      <c r="G32" s="313">
        <f>7.03*10^6</f>
        <v>7030000</v>
      </c>
      <c r="H32" s="313">
        <f>1.15*10^6</f>
        <v>1150000</v>
      </c>
      <c r="I32" s="220">
        <f t="shared" si="3"/>
        <v>95496070.400000006</v>
      </c>
      <c r="J32" s="313">
        <f>6.69*10^6</f>
        <v>6690000</v>
      </c>
      <c r="K32" s="172">
        <f t="shared" si="4"/>
        <v>14.274449985052318</v>
      </c>
      <c r="L32" s="240">
        <v>1.17</v>
      </c>
      <c r="Q32" s="174"/>
    </row>
    <row r="33" spans="1:12">
      <c r="A33">
        <f>ROW()</f>
        <v>33</v>
      </c>
      <c r="B33" s="166" t="s">
        <v>255</v>
      </c>
      <c r="C33" s="319" t="s">
        <v>256</v>
      </c>
      <c r="D33" s="315">
        <v>120.62</v>
      </c>
      <c r="E33" s="316">
        <v>1620000</v>
      </c>
      <c r="F33" s="310">
        <f t="shared" si="2"/>
        <v>195404400</v>
      </c>
      <c r="G33" s="317">
        <v>2860000</v>
      </c>
      <c r="H33" s="318">
        <v>5780000</v>
      </c>
      <c r="I33" s="220">
        <f t="shared" si="3"/>
        <v>192484400</v>
      </c>
      <c r="J33" s="313">
        <v>3580000</v>
      </c>
      <c r="K33" s="333">
        <f>+I33/J33</f>
        <v>53.766592178770949</v>
      </c>
      <c r="L33" s="240">
        <v>1.65</v>
      </c>
    </row>
    <row r="34" spans="1:12">
      <c r="A34">
        <f>ROW()</f>
        <v>34</v>
      </c>
      <c r="B34" s="166" t="s">
        <v>257</v>
      </c>
      <c r="C34" s="319" t="s">
        <v>258</v>
      </c>
      <c r="D34" s="315">
        <v>977.73</v>
      </c>
      <c r="E34" s="316">
        <v>412740</v>
      </c>
      <c r="F34" s="310">
        <f t="shared" si="2"/>
        <v>403548280.19999999</v>
      </c>
      <c r="G34" s="317">
        <v>40460000</v>
      </c>
      <c r="H34" s="318">
        <v>11110000</v>
      </c>
      <c r="I34" s="220">
        <f t="shared" si="3"/>
        <v>432898280.19999999</v>
      </c>
      <c r="J34" s="317">
        <v>20330000</v>
      </c>
      <c r="K34" s="172">
        <f t="shared" si="4"/>
        <v>21.293570103295622</v>
      </c>
      <c r="L34" s="240">
        <v>1.1200000000000001</v>
      </c>
    </row>
    <row r="35" spans="1:12">
      <c r="A35">
        <f>ROW()</f>
        <v>35</v>
      </c>
      <c r="B35" s="166" t="s">
        <v>259</v>
      </c>
      <c r="C35" s="319" t="s">
        <v>260</v>
      </c>
      <c r="D35" s="315">
        <v>43.81</v>
      </c>
      <c r="E35" s="316">
        <v>4220000</v>
      </c>
      <c r="F35" s="310">
        <f t="shared" si="2"/>
        <v>184878200</v>
      </c>
      <c r="G35" s="317">
        <v>48880000</v>
      </c>
      <c r="H35" s="318">
        <v>25030000</v>
      </c>
      <c r="I35" s="220">
        <f t="shared" si="3"/>
        <v>208728200</v>
      </c>
      <c r="J35" s="317">
        <v>8290000</v>
      </c>
      <c r="K35" s="333">
        <f t="shared" si="4"/>
        <v>25.178311218335345</v>
      </c>
      <c r="L35" s="240">
        <v>0.88</v>
      </c>
    </row>
    <row r="36" spans="1:12">
      <c r="A36">
        <f>ROW()</f>
        <v>36</v>
      </c>
      <c r="B36" s="166" t="s">
        <v>261</v>
      </c>
      <c r="C36" s="295" t="s">
        <v>262</v>
      </c>
      <c r="D36" s="315">
        <v>58.07</v>
      </c>
      <c r="E36" s="316">
        <v>138030</v>
      </c>
      <c r="F36" s="310">
        <f t="shared" si="2"/>
        <v>8015402.0999999996</v>
      </c>
      <c r="G36" s="317">
        <v>18050</v>
      </c>
      <c r="H36" s="318">
        <v>114400</v>
      </c>
      <c r="I36" s="220">
        <f t="shared" si="3"/>
        <v>7919052.0999999996</v>
      </c>
      <c r="J36" s="317">
        <v>257710</v>
      </c>
      <c r="K36" s="172">
        <f t="shared" si="4"/>
        <v>30.728540219626712</v>
      </c>
      <c r="L36" s="240">
        <v>1.26</v>
      </c>
    </row>
    <row r="37" spans="1:12">
      <c r="A37">
        <f>ROW()</f>
        <v>37</v>
      </c>
      <c r="B37" s="395" t="s">
        <v>263</v>
      </c>
      <c r="C37" s="320" t="s">
        <v>264</v>
      </c>
      <c r="D37" s="321">
        <v>98.58</v>
      </c>
      <c r="E37" s="322">
        <v>5190000</v>
      </c>
      <c r="F37" s="323">
        <f>+E37*D37</f>
        <v>511630200</v>
      </c>
      <c r="G37" s="324">
        <v>1000000000</v>
      </c>
      <c r="H37" s="325">
        <v>1550000000</v>
      </c>
      <c r="I37" s="256">
        <f>+F37+G37-H37</f>
        <v>-38369800</v>
      </c>
      <c r="J37" s="324">
        <v>1210000</v>
      </c>
      <c r="K37" s="257">
        <f>+I37/J37</f>
        <v>-31.710578512396694</v>
      </c>
      <c r="L37" s="241">
        <v>1.17</v>
      </c>
    </row>
    <row r="38" spans="1:12" ht="13" thickBot="1">
      <c r="A38">
        <f>ROW()</f>
        <v>38</v>
      </c>
    </row>
    <row r="39" spans="1:12">
      <c r="A39">
        <f>ROW()</f>
        <v>39</v>
      </c>
      <c r="B39" s="252" t="s">
        <v>1</v>
      </c>
      <c r="C39" s="326" t="s">
        <v>238</v>
      </c>
      <c r="D39" s="399">
        <v>129.47</v>
      </c>
      <c r="E39" s="327">
        <v>1100000</v>
      </c>
      <c r="F39" s="327">
        <f>+E39*D39</f>
        <v>142417000</v>
      </c>
      <c r="G39" s="328">
        <v>16070000</v>
      </c>
      <c r="H39" s="329">
        <v>11320000</v>
      </c>
      <c r="I39" s="253">
        <f>+G39+F39-H39</f>
        <v>147167000</v>
      </c>
      <c r="J39" s="328">
        <v>10460000</v>
      </c>
      <c r="K39" s="254">
        <f t="shared" si="4"/>
        <v>14.069502868068833</v>
      </c>
      <c r="L39" s="255">
        <v>1.65</v>
      </c>
    </row>
    <row r="40" spans="1:12" ht="13">
      <c r="A40">
        <f>ROW()</f>
        <v>40</v>
      </c>
      <c r="B40" s="2"/>
      <c r="D40" s="169"/>
      <c r="E40" s="169"/>
      <c r="J40" s="203"/>
      <c r="K40" s="173"/>
    </row>
    <row r="41" spans="1:12" ht="13">
      <c r="A41">
        <f>ROW()</f>
        <v>41</v>
      </c>
      <c r="B41" s="2"/>
      <c r="J41" s="2" t="s">
        <v>265</v>
      </c>
      <c r="K41" s="174">
        <f>AVERAGE(K29:K37)</f>
        <v>25.955139943381866</v>
      </c>
      <c r="L41" s="174">
        <f>AVERAGE(L29:L39)</f>
        <v>1.2544444444444443</v>
      </c>
    </row>
    <row r="42" spans="1:12" ht="13">
      <c r="A42">
        <f>ROW()</f>
        <v>42</v>
      </c>
      <c r="B42" s="2" t="s">
        <v>266</v>
      </c>
      <c r="C42" s="175">
        <f>+J39</f>
        <v>10460000</v>
      </c>
      <c r="D42" s="176">
        <f>+K42</f>
        <v>23.85659652059865</v>
      </c>
      <c r="E42" s="176"/>
      <c r="F42" s="192"/>
      <c r="G42" s="174"/>
      <c r="H42" s="174"/>
      <c r="J42" t="s">
        <v>267</v>
      </c>
      <c r="K42" s="174">
        <f>(SUM(K29:K37)-MAX(K29:K37)-MIN(K29:K37))/(COUNT(K29:K37)-2)</f>
        <v>23.85659652059865</v>
      </c>
    </row>
    <row r="43" spans="1:12" ht="13.5" thickBot="1">
      <c r="A43">
        <f>ROW()</f>
        <v>43</v>
      </c>
      <c r="B43" s="2"/>
      <c r="F43" s="2"/>
      <c r="G43" s="174"/>
      <c r="H43" s="174"/>
      <c r="J43" t="s">
        <v>268</v>
      </c>
    </row>
    <row r="44" spans="1:12" ht="14.5" thickBot="1">
      <c r="A44">
        <f>ROW()</f>
        <v>44</v>
      </c>
      <c r="B44" s="170" t="str">
        <f>B20</f>
        <v>Qcom's EV</v>
      </c>
      <c r="C44" s="177">
        <f>+C42*D42</f>
        <v>249539999.60546187</v>
      </c>
    </row>
    <row r="45" spans="1:12" ht="13">
      <c r="A45">
        <f>ROW()</f>
        <v>45</v>
      </c>
      <c r="C45" s="2"/>
    </row>
    <row r="46" spans="1:12" ht="13">
      <c r="A46">
        <f>ROW()</f>
        <v>46</v>
      </c>
      <c r="C46" s="2"/>
      <c r="H46" s="2"/>
      <c r="I46" s="2"/>
    </row>
    <row r="47" spans="1:12">
      <c r="A47">
        <f>ROW()</f>
        <v>47</v>
      </c>
    </row>
    <row r="48" spans="1:12" ht="15.75" customHeight="1">
      <c r="A48">
        <f>ROW()</f>
        <v>48</v>
      </c>
    </row>
    <row r="49" spans="1:9" ht="15.75" customHeight="1">
      <c r="A49">
        <f>ROW()</f>
        <v>49</v>
      </c>
      <c r="B49" s="409" t="s">
        <v>340</v>
      </c>
      <c r="C49" s="410"/>
      <c r="D49" s="410"/>
      <c r="E49" s="410"/>
      <c r="F49" s="410"/>
      <c r="G49" s="410"/>
      <c r="H49" s="410"/>
      <c r="I49" s="410"/>
    </row>
    <row r="50" spans="1:9" ht="4.5" customHeight="1">
      <c r="A50">
        <f>ROW()</f>
        <v>50</v>
      </c>
      <c r="B50" s="410"/>
      <c r="C50" s="410"/>
      <c r="D50" s="410"/>
      <c r="E50" s="410"/>
      <c r="F50" s="410"/>
      <c r="G50" s="410"/>
      <c r="H50" s="410"/>
      <c r="I50" s="410"/>
    </row>
    <row r="51" spans="1:9" ht="21" customHeight="1">
      <c r="A51">
        <f>ROW()</f>
        <v>51</v>
      </c>
      <c r="B51" s="410" t="s">
        <v>169</v>
      </c>
      <c r="C51" s="410" t="s">
        <v>341</v>
      </c>
      <c r="D51" s="410"/>
      <c r="E51" s="410"/>
      <c r="F51" s="410"/>
      <c r="G51" s="410"/>
      <c r="H51" s="410"/>
      <c r="I51" s="410"/>
    </row>
    <row r="52" spans="1:9" ht="11.25" customHeight="1">
      <c r="A52">
        <f>ROW()</f>
        <v>52</v>
      </c>
      <c r="B52" s="411" t="s">
        <v>342</v>
      </c>
      <c r="C52" s="411" t="s">
        <v>343</v>
      </c>
      <c r="D52" s="410"/>
      <c r="E52" s="410"/>
      <c r="F52" s="410"/>
      <c r="G52" s="410"/>
      <c r="H52" s="410"/>
      <c r="I52" s="410"/>
    </row>
    <row r="53" spans="1:9" ht="15.5">
      <c r="A53">
        <f>ROW()</f>
        <v>53</v>
      </c>
      <c r="B53" s="411" t="s">
        <v>344</v>
      </c>
      <c r="C53" s="411" t="s">
        <v>345</v>
      </c>
      <c r="D53" s="410"/>
      <c r="E53" s="410"/>
      <c r="F53" s="410"/>
      <c r="G53" s="410"/>
      <c r="H53" s="410"/>
      <c r="I53" s="410"/>
    </row>
    <row r="54" spans="1:9" ht="22.5" customHeight="1">
      <c r="A54">
        <f>ROW()</f>
        <v>54</v>
      </c>
      <c r="B54" s="410" t="s">
        <v>346</v>
      </c>
      <c r="C54" s="410" t="s">
        <v>347</v>
      </c>
      <c r="D54" s="410"/>
      <c r="E54" s="410"/>
      <c r="F54" s="410"/>
      <c r="G54" s="410"/>
      <c r="H54" s="410"/>
      <c r="I54" s="410"/>
    </row>
    <row r="55" spans="1:9" ht="38.25" customHeight="1">
      <c r="A55">
        <f>ROW()</f>
        <v>55</v>
      </c>
      <c r="B55" s="410" t="s">
        <v>187</v>
      </c>
      <c r="C55" s="410" t="s">
        <v>348</v>
      </c>
      <c r="D55" s="410"/>
      <c r="E55" s="410"/>
      <c r="F55" s="410"/>
      <c r="G55" s="410"/>
      <c r="H55" s="410"/>
      <c r="I55" s="410"/>
    </row>
    <row r="56" spans="1:9" ht="20.25" customHeight="1">
      <c r="A56">
        <f>ROW()</f>
        <v>56</v>
      </c>
      <c r="B56" s="411" t="s">
        <v>81</v>
      </c>
      <c r="C56" s="411" t="s">
        <v>349</v>
      </c>
      <c r="D56" s="410"/>
      <c r="E56" s="410"/>
      <c r="F56" s="410"/>
      <c r="G56" s="410"/>
      <c r="H56" s="410"/>
      <c r="I56" s="410"/>
    </row>
    <row r="57" spans="1:9" ht="20.25" customHeight="1">
      <c r="A57">
        <f>ROW()</f>
        <v>57</v>
      </c>
      <c r="B57" s="411"/>
      <c r="C57" s="411"/>
      <c r="D57" s="410"/>
      <c r="E57" s="410"/>
      <c r="F57" s="410"/>
      <c r="G57" s="410"/>
      <c r="H57" s="410"/>
      <c r="I57" s="410"/>
    </row>
    <row r="58" spans="1:9" ht="20.25" customHeight="1">
      <c r="A58">
        <f>ROW()</f>
        <v>58</v>
      </c>
    </row>
    <row r="59" spans="1:9" ht="20.25" customHeight="1">
      <c r="A59">
        <f>ROW()</f>
        <v>59</v>
      </c>
    </row>
    <row r="60" spans="1:9" ht="20.25" customHeight="1">
      <c r="A60">
        <f>ROW()</f>
        <v>60</v>
      </c>
    </row>
    <row r="61" spans="1:9" ht="20.25" customHeight="1">
      <c r="A61">
        <f>ROW()</f>
        <v>61</v>
      </c>
    </row>
    <row r="62" spans="1:9" ht="20.25" customHeight="1">
      <c r="A62">
        <f>ROW()</f>
        <v>62</v>
      </c>
    </row>
    <row r="63" spans="1:9" ht="20.25" customHeight="1">
      <c r="A63">
        <f>ROW()</f>
        <v>63</v>
      </c>
    </row>
    <row r="64" spans="1:9" ht="18.75" customHeight="1">
      <c r="A64">
        <f>ROW()</f>
        <v>64</v>
      </c>
    </row>
    <row r="65" spans="1:11" ht="18.75" customHeight="1">
      <c r="A65">
        <f>ROW()</f>
        <v>65</v>
      </c>
    </row>
    <row r="66" spans="1:11" ht="18.75" customHeight="1">
      <c r="A66">
        <f>ROW()</f>
        <v>66</v>
      </c>
    </row>
    <row r="67" spans="1:11" ht="12.75" customHeight="1">
      <c r="A67">
        <f>ROW()</f>
        <v>67</v>
      </c>
    </row>
    <row r="68" spans="1:11">
      <c r="A68">
        <f>ROW()</f>
        <v>68</v>
      </c>
    </row>
    <row r="69" spans="1:11" ht="13">
      <c r="A69">
        <f>ROW()</f>
        <v>69</v>
      </c>
      <c r="B69" s="178"/>
    </row>
    <row r="70" spans="1:11">
      <c r="A70">
        <f>ROW()</f>
        <v>70</v>
      </c>
    </row>
    <row r="71" spans="1:11">
      <c r="A71">
        <f>ROW()</f>
        <v>71</v>
      </c>
    </row>
    <row r="72" spans="1:11">
      <c r="A72">
        <f>ROW()</f>
        <v>72</v>
      </c>
    </row>
    <row r="73" spans="1:11">
      <c r="A73">
        <f>ROW()</f>
        <v>73</v>
      </c>
    </row>
    <row r="74" spans="1:11" ht="13">
      <c r="A74">
        <f>ROW()</f>
        <v>74</v>
      </c>
      <c r="C74" s="2"/>
    </row>
    <row r="75" spans="1:11" ht="13">
      <c r="A75">
        <f>ROW()</f>
        <v>75</v>
      </c>
      <c r="C75" s="2"/>
    </row>
    <row r="76" spans="1:11" ht="13">
      <c r="A76">
        <f>ROW()</f>
        <v>76</v>
      </c>
      <c r="C76" s="2"/>
    </row>
    <row r="77" spans="1:11" ht="20">
      <c r="A77">
        <f>ROW()</f>
        <v>77</v>
      </c>
      <c r="B77" s="79" t="s">
        <v>269</v>
      </c>
    </row>
    <row r="78" spans="1:11" ht="16.5" customHeight="1" thickBot="1">
      <c r="A78">
        <f>ROW()</f>
        <v>78</v>
      </c>
      <c r="B78" s="2" t="s">
        <v>270</v>
      </c>
      <c r="C78" s="89"/>
      <c r="D78" s="89"/>
      <c r="E78" s="89"/>
      <c r="F78" s="89"/>
      <c r="G78" s="89"/>
      <c r="H78" s="89"/>
      <c r="I78" s="89"/>
      <c r="J78" s="89"/>
    </row>
    <row r="79" spans="1:11" ht="15" customHeight="1" thickBot="1">
      <c r="A79">
        <f>ROW()</f>
        <v>79</v>
      </c>
      <c r="B79" s="355"/>
      <c r="C79" s="356"/>
      <c r="D79" s="289" t="s">
        <v>271</v>
      </c>
      <c r="E79" s="289" t="s">
        <v>272</v>
      </c>
      <c r="F79" s="289" t="s">
        <v>273</v>
      </c>
      <c r="G79" s="289" t="s">
        <v>274</v>
      </c>
      <c r="H79" s="289" t="s">
        <v>275</v>
      </c>
      <c r="I79" s="357"/>
      <c r="J79" s="89"/>
    </row>
    <row r="80" spans="1:11" ht="12.75" customHeight="1">
      <c r="A80">
        <f>ROW()</f>
        <v>80</v>
      </c>
      <c r="B80" s="358" t="s">
        <v>276</v>
      </c>
      <c r="C80" s="89"/>
      <c r="D80" s="359">
        <v>21581000</v>
      </c>
      <c r="E80" s="360">
        <f>+D80/$D$82</f>
        <v>0.57318530716315641</v>
      </c>
      <c r="F80" s="290">
        <f>+D84+(D86*D85)</f>
        <v>0.17119999999999999</v>
      </c>
      <c r="G80" s="397">
        <f>+F80</f>
        <v>0.17119999999999999</v>
      </c>
      <c r="H80" s="290">
        <f>+G80*E80</f>
        <v>9.8129324586332375E-2</v>
      </c>
      <c r="I80" s="361"/>
      <c r="J80" s="89"/>
      <c r="K80" t="s">
        <v>277</v>
      </c>
    </row>
    <row r="81" spans="1:11" ht="12.75" customHeight="1">
      <c r="A81">
        <f>ROW()</f>
        <v>81</v>
      </c>
      <c r="B81" s="358" t="s">
        <v>278</v>
      </c>
      <c r="C81" s="89"/>
      <c r="D81" s="359">
        <f>G39</f>
        <v>16070000</v>
      </c>
      <c r="E81" s="360">
        <f>+D81/$D$82</f>
        <v>0.42681469283684365</v>
      </c>
      <c r="F81" s="362">
        <v>5.5E-2</v>
      </c>
      <c r="G81" s="362">
        <f>+F81*(1-D87)</f>
        <v>4.1250000000000002E-2</v>
      </c>
      <c r="H81" s="290">
        <f>+G81*E81</f>
        <v>1.76061060795198E-2</v>
      </c>
      <c r="I81" s="361"/>
      <c r="J81" s="89"/>
    </row>
    <row r="82" spans="1:11" ht="12.75" customHeight="1" thickBot="1">
      <c r="A82">
        <f>ROW()</f>
        <v>82</v>
      </c>
      <c r="B82" s="358" t="s">
        <v>279</v>
      </c>
      <c r="C82" s="89"/>
      <c r="D82" s="218">
        <f>SUM(D80:D81)</f>
        <v>37651000</v>
      </c>
      <c r="E82" s="292">
        <f>+D82/$D$82</f>
        <v>1</v>
      </c>
      <c r="F82" s="2"/>
      <c r="G82" s="2"/>
      <c r="H82" s="293">
        <f>SUM(H80:H81)</f>
        <v>0.11573543066585218</v>
      </c>
      <c r="I82" s="361"/>
      <c r="J82" s="89"/>
    </row>
    <row r="83" spans="1:11" ht="10.5" customHeight="1" thickTop="1">
      <c r="A83">
        <f>ROW()</f>
        <v>83</v>
      </c>
      <c r="B83" s="358"/>
      <c r="C83" s="89"/>
      <c r="D83" s="89"/>
      <c r="E83" s="89"/>
      <c r="F83" s="89"/>
      <c r="G83" s="89"/>
      <c r="H83" s="89"/>
      <c r="I83" s="361"/>
      <c r="J83" s="89"/>
    </row>
    <row r="84" spans="1:11" ht="15" customHeight="1">
      <c r="A84">
        <f>ROW()</f>
        <v>84</v>
      </c>
      <c r="B84" s="358" t="s">
        <v>280</v>
      </c>
      <c r="D84" s="362">
        <v>5.5E-2</v>
      </c>
      <c r="E84" s="89"/>
      <c r="F84" s="182"/>
      <c r="H84" s="89"/>
      <c r="I84" s="361"/>
      <c r="J84" s="89"/>
    </row>
    <row r="85" spans="1:11" ht="15" customHeight="1">
      <c r="A85">
        <f>ROW()</f>
        <v>85</v>
      </c>
      <c r="B85" s="358" t="s">
        <v>338</v>
      </c>
      <c r="C85" s="89"/>
      <c r="D85" s="362">
        <v>8.3000000000000004E-2</v>
      </c>
      <c r="E85" s="363"/>
      <c r="F85" s="89" t="s">
        <v>337</v>
      </c>
      <c r="G85" s="407">
        <f>D81/D80</f>
        <v>0.74463648579769237</v>
      </c>
      <c r="H85" s="89"/>
      <c r="I85" s="361"/>
      <c r="J85" s="89"/>
    </row>
    <row r="86" spans="1:11" ht="15" customHeight="1">
      <c r="A86">
        <f>ROW()</f>
        <v>86</v>
      </c>
      <c r="B86" s="358" t="s">
        <v>281</v>
      </c>
      <c r="C86" s="89"/>
      <c r="D86" s="364">
        <f>1.4</f>
        <v>1.4</v>
      </c>
      <c r="E86" s="89"/>
      <c r="H86" s="89"/>
      <c r="I86" s="361"/>
      <c r="J86" s="89"/>
    </row>
    <row r="87" spans="1:11" ht="15" customHeight="1">
      <c r="A87">
        <f>ROW()</f>
        <v>87</v>
      </c>
      <c r="B87" s="358" t="s">
        <v>282</v>
      </c>
      <c r="C87" s="89"/>
      <c r="D87" s="362">
        <f>+'Projected Analysis'!L22</f>
        <v>0.25</v>
      </c>
      <c r="E87" s="89"/>
      <c r="H87" s="89"/>
      <c r="I87" s="361"/>
      <c r="J87" s="89"/>
    </row>
    <row r="88" spans="1:11" ht="10.5" customHeight="1" thickBot="1">
      <c r="A88">
        <f>ROW()</f>
        <v>88</v>
      </c>
      <c r="B88" s="291"/>
      <c r="C88" s="365"/>
      <c r="D88" s="365"/>
      <c r="E88" s="365"/>
      <c r="F88" s="365"/>
      <c r="G88" s="365"/>
      <c r="H88" s="365"/>
      <c r="I88" s="366"/>
      <c r="J88" s="89"/>
    </row>
    <row r="89" spans="1:11" ht="6" customHeight="1">
      <c r="A89">
        <f>ROW()</f>
        <v>89</v>
      </c>
      <c r="B89" s="2"/>
      <c r="C89" s="89"/>
      <c r="D89" s="89"/>
      <c r="E89" s="89"/>
      <c r="F89" s="89"/>
      <c r="G89" s="89"/>
      <c r="H89" s="89"/>
      <c r="I89" s="89"/>
      <c r="J89" s="89"/>
    </row>
    <row r="90" spans="1:11" ht="20">
      <c r="A90">
        <f>ROW()</f>
        <v>90</v>
      </c>
      <c r="B90" s="79" t="str">
        <f>+B5</f>
        <v>QUALCOMM Incorporated (QCOM)</v>
      </c>
    </row>
    <row r="91" spans="1:11" ht="12.75" customHeight="1" thickBot="1">
      <c r="A91">
        <f>ROW()</f>
        <v>91</v>
      </c>
      <c r="B91" s="79"/>
      <c r="D91" s="225" t="s">
        <v>283</v>
      </c>
      <c r="E91" s="224">
        <v>1</v>
      </c>
      <c r="F91" s="224">
        <v>2</v>
      </c>
      <c r="G91" s="224">
        <v>3</v>
      </c>
      <c r="H91" s="224">
        <v>4</v>
      </c>
      <c r="I91" s="224">
        <v>5</v>
      </c>
      <c r="J91" s="224">
        <v>6</v>
      </c>
    </row>
    <row r="92" spans="1:11" ht="13">
      <c r="A92">
        <f>ROW()</f>
        <v>92</v>
      </c>
      <c r="B92" t="s">
        <v>284</v>
      </c>
      <c r="C92" s="226" t="s">
        <v>285</v>
      </c>
      <c r="D92" s="179" t="s">
        <v>286</v>
      </c>
      <c r="I92" s="179" t="s">
        <v>287</v>
      </c>
      <c r="J92" s="153"/>
    </row>
    <row r="93" spans="1:11" ht="13.5" thickBot="1">
      <c r="A93">
        <f>ROW()</f>
        <v>93</v>
      </c>
      <c r="C93" s="243" t="s">
        <v>288</v>
      </c>
      <c r="D93" s="242">
        <f>+'Projected Analysis'!I5</f>
        <v>45199</v>
      </c>
      <c r="E93" s="180">
        <f>+'Projected Analysis'!N5</f>
        <v>45291</v>
      </c>
      <c r="F93" s="180">
        <f>+'Projected Analysis'!O5</f>
        <v>45656</v>
      </c>
      <c r="G93" s="180">
        <f>+'Projected Analysis'!P5</f>
        <v>46021</v>
      </c>
      <c r="H93" s="180">
        <f>+'Projected Analysis'!Q5</f>
        <v>46386</v>
      </c>
      <c r="I93" s="181">
        <f>+'Projected Analysis'!R5</f>
        <v>46752</v>
      </c>
      <c r="J93" s="250">
        <f>+'Projected Analysis'!S5</f>
        <v>47117</v>
      </c>
    </row>
    <row r="94" spans="1:11">
      <c r="A94">
        <f>ROW()</f>
        <v>94</v>
      </c>
      <c r="B94" t="s">
        <v>289</v>
      </c>
      <c r="C94" s="182"/>
      <c r="D94" s="367">
        <f>+'Projected Analysis'!I7</f>
        <v>35820000</v>
      </c>
      <c r="E94" s="183">
        <f>+D94*(1+E95)</f>
        <v>36894600</v>
      </c>
      <c r="F94" s="183">
        <f>+E94*(1+F95)</f>
        <v>38185911</v>
      </c>
      <c r="G94" s="183">
        <f t="shared" ref="G94:I94" si="5">+F94*(1+G95)</f>
        <v>39713347.440000005</v>
      </c>
      <c r="H94" s="183">
        <f t="shared" si="5"/>
        <v>41699014.812000006</v>
      </c>
      <c r="I94" s="184">
        <f t="shared" si="5"/>
        <v>43992460.626660004</v>
      </c>
      <c r="J94" s="183">
        <f>+I94*(1+J95)</f>
        <v>47511857.476792805</v>
      </c>
    </row>
    <row r="95" spans="1:11">
      <c r="A95">
        <f>ROW()</f>
        <v>95</v>
      </c>
      <c r="B95" t="s">
        <v>290</v>
      </c>
      <c r="C95" s="185"/>
      <c r="D95" s="367"/>
      <c r="E95" s="186">
        <f>+'Projected Analysis'!N19</f>
        <v>0.03</v>
      </c>
      <c r="F95" s="186">
        <f>+'Projected Analysis'!O19</f>
        <v>3.5000000000000003E-2</v>
      </c>
      <c r="G95" s="186">
        <f>'Projected Analysis'!P19</f>
        <v>0.04</v>
      </c>
      <c r="H95" s="186">
        <f>+'Projected Analysis'!Q19</f>
        <v>0.05</v>
      </c>
      <c r="I95" s="186">
        <f>+'Projected Analysis'!R19</f>
        <v>5.5E-2</v>
      </c>
      <c r="J95" s="296">
        <v>0.08</v>
      </c>
      <c r="K95" s="400">
        <v>0.8</v>
      </c>
    </row>
    <row r="96" spans="1:11" ht="6.75" customHeight="1">
      <c r="A96">
        <f>ROW()</f>
        <v>96</v>
      </c>
      <c r="C96" s="185"/>
      <c r="D96" s="367"/>
      <c r="E96" s="186"/>
      <c r="F96" s="186"/>
      <c r="G96" s="186"/>
      <c r="H96" s="186"/>
      <c r="I96" s="187"/>
      <c r="J96" s="186"/>
    </row>
    <row r="97" spans="1:20">
      <c r="A97">
        <f>ROW()</f>
        <v>97</v>
      </c>
      <c r="B97" t="s">
        <v>291</v>
      </c>
      <c r="C97" s="263">
        <f>+(1-'Projected Analysis'!L20)</f>
        <v>0.48750000000000004</v>
      </c>
      <c r="D97" s="367">
        <f>-'Projected Analysis'!I8</f>
        <v>-15869000</v>
      </c>
      <c r="E97" s="183">
        <f t="shared" ref="E97:J97" si="6">-$C$97*E94</f>
        <v>-17986117.5</v>
      </c>
      <c r="F97" s="183">
        <f t="shared" si="6"/>
        <v>-18615631.612500001</v>
      </c>
      <c r="G97" s="183">
        <f t="shared" si="6"/>
        <v>-19360256.877000004</v>
      </c>
      <c r="H97" s="183">
        <f t="shared" si="6"/>
        <v>-20328269.720850006</v>
      </c>
      <c r="I97" s="184">
        <f t="shared" si="6"/>
        <v>-21446324.555496752</v>
      </c>
      <c r="J97" s="183">
        <f t="shared" si="6"/>
        <v>-23162030.519936495</v>
      </c>
    </row>
    <row r="98" spans="1:20" ht="9" customHeight="1">
      <c r="A98">
        <f>ROW()</f>
        <v>98</v>
      </c>
      <c r="C98" s="263"/>
      <c r="D98" s="187"/>
      <c r="E98" s="186"/>
      <c r="F98" s="186"/>
      <c r="G98" s="186"/>
      <c r="H98" s="186"/>
      <c r="I98" s="187"/>
      <c r="J98" s="186"/>
    </row>
    <row r="99" spans="1:20">
      <c r="A99">
        <f>ROW()</f>
        <v>99</v>
      </c>
      <c r="B99" t="s">
        <v>11</v>
      </c>
      <c r="C99" s="263">
        <f>+'Projected Analysis'!L21</f>
        <v>0.28000000000000003</v>
      </c>
      <c r="D99" s="368">
        <f>-'Projected Analysis'!I10</f>
        <v>-12166000</v>
      </c>
      <c r="E99" s="188">
        <f t="shared" ref="E99:J99" si="7">-$C$99*E94</f>
        <v>-10330488.000000002</v>
      </c>
      <c r="F99" s="188">
        <f t="shared" si="7"/>
        <v>-10692055.080000002</v>
      </c>
      <c r="G99" s="188">
        <f t="shared" si="7"/>
        <v>-11119737.283200003</v>
      </c>
      <c r="H99" s="188">
        <f t="shared" si="7"/>
        <v>-11675724.147360003</v>
      </c>
      <c r="I99" s="189">
        <f t="shared" si="7"/>
        <v>-12317888.975464802</v>
      </c>
      <c r="J99" s="248">
        <f t="shared" si="7"/>
        <v>-13303320.093501987</v>
      </c>
    </row>
    <row r="100" spans="1:20">
      <c r="A100">
        <f>ROW()</f>
        <v>100</v>
      </c>
      <c r="B100" t="s">
        <v>292</v>
      </c>
      <c r="D100" s="367">
        <f>+D94+D97+D99</f>
        <v>7785000</v>
      </c>
      <c r="E100" s="183">
        <f t="shared" ref="E100:J100" si="8">+E94+E97+E99</f>
        <v>8577994.4999999981</v>
      </c>
      <c r="F100" s="183">
        <f t="shared" si="8"/>
        <v>8878224.3074999973</v>
      </c>
      <c r="G100" s="183">
        <f t="shared" si="8"/>
        <v>9233353.2797999978</v>
      </c>
      <c r="H100" s="183">
        <f t="shared" si="8"/>
        <v>9695020.9437899981</v>
      </c>
      <c r="I100" s="184">
        <f t="shared" si="8"/>
        <v>10228247.09569845</v>
      </c>
      <c r="J100" s="183">
        <f t="shared" si="8"/>
        <v>11046506.863354323</v>
      </c>
    </row>
    <row r="101" spans="1:20">
      <c r="A101">
        <f>ROW()</f>
        <v>101</v>
      </c>
      <c r="B101" t="s">
        <v>293</v>
      </c>
      <c r="C101" s="185">
        <f>+'Projected Analysis'!L22</f>
        <v>0.25</v>
      </c>
      <c r="D101" s="367">
        <f t="shared" ref="D101:J101" si="9">-$C$101*D100</f>
        <v>-1946250</v>
      </c>
      <c r="E101" s="183">
        <f t="shared" si="9"/>
        <v>-2144498.6249999995</v>
      </c>
      <c r="F101" s="183">
        <f t="shared" si="9"/>
        <v>-2219556.0768749993</v>
      </c>
      <c r="G101" s="183">
        <f t="shared" si="9"/>
        <v>-2308338.3199499995</v>
      </c>
      <c r="H101" s="183">
        <f t="shared" si="9"/>
        <v>-2423755.2359474995</v>
      </c>
      <c r="I101" s="184">
        <f t="shared" si="9"/>
        <v>-2557061.7739246124</v>
      </c>
      <c r="J101" s="183">
        <f t="shared" si="9"/>
        <v>-2761626.7158385809</v>
      </c>
    </row>
    <row r="102" spans="1:20">
      <c r="A102">
        <f>ROW()</f>
        <v>102</v>
      </c>
      <c r="B102" t="s">
        <v>294</v>
      </c>
      <c r="C102" s="185">
        <f>+'Projected Analysis'!L28</f>
        <v>0.04</v>
      </c>
      <c r="D102" s="367">
        <f>+'Projected Analysis'!I25</f>
        <v>1809000</v>
      </c>
      <c r="E102" s="183">
        <f t="shared" ref="E102:J102" si="10">+$C$102*E94</f>
        <v>1475784</v>
      </c>
      <c r="F102" s="183">
        <f t="shared" si="10"/>
        <v>1527436.44</v>
      </c>
      <c r="G102" s="183">
        <f t="shared" si="10"/>
        <v>1588533.8976000003</v>
      </c>
      <c r="H102" s="183">
        <f t="shared" si="10"/>
        <v>1667960.5924800003</v>
      </c>
      <c r="I102" s="184">
        <f t="shared" si="10"/>
        <v>1759698.4250664003</v>
      </c>
      <c r="J102" s="183">
        <f t="shared" si="10"/>
        <v>1900474.2990717122</v>
      </c>
    </row>
    <row r="103" spans="1:20">
      <c r="A103">
        <f>ROW()</f>
        <v>103</v>
      </c>
      <c r="B103" t="s">
        <v>295</v>
      </c>
      <c r="C103" s="185">
        <f>+'Projected Analysis'!L29</f>
        <v>0.06</v>
      </c>
      <c r="D103" s="367">
        <f>-'Projected Analysis'!I26</f>
        <v>-1450000</v>
      </c>
      <c r="E103" s="183">
        <f t="shared" ref="E103:J103" si="11">-$C$103*E94</f>
        <v>-2213676</v>
      </c>
      <c r="F103" s="183">
        <f t="shared" si="11"/>
        <v>-2291154.6599999997</v>
      </c>
      <c r="G103" s="183">
        <f t="shared" si="11"/>
        <v>-2382800.8464000002</v>
      </c>
      <c r="H103" s="183">
        <f t="shared" si="11"/>
        <v>-2501940.8887200002</v>
      </c>
      <c r="I103" s="184">
        <f t="shared" si="11"/>
        <v>-2639547.6375996</v>
      </c>
      <c r="J103" s="183">
        <f t="shared" si="11"/>
        <v>-2850711.4486075682</v>
      </c>
    </row>
    <row r="104" spans="1:20" ht="13.5" thickBot="1">
      <c r="A104">
        <f>ROW()</f>
        <v>104</v>
      </c>
      <c r="B104" t="s">
        <v>296</v>
      </c>
      <c r="D104" s="190">
        <f>SUM(D100:D103)</f>
        <v>6197750</v>
      </c>
      <c r="E104" s="191">
        <f t="shared" ref="E104:J104" si="12">SUM(E100:E103)</f>
        <v>5695603.8749999981</v>
      </c>
      <c r="F104" s="191">
        <f t="shared" si="12"/>
        <v>5894950.0106249973</v>
      </c>
      <c r="G104" s="191">
        <f t="shared" si="12"/>
        <v>6130748.0110499989</v>
      </c>
      <c r="H104" s="191">
        <f t="shared" si="12"/>
        <v>6437285.411602499</v>
      </c>
      <c r="I104" s="190">
        <f t="shared" si="12"/>
        <v>6791336.1092406381</v>
      </c>
      <c r="J104" s="249">
        <f t="shared" si="12"/>
        <v>7334642.9979798868</v>
      </c>
    </row>
    <row r="105" spans="1:20" ht="7.5" customHeight="1" thickTop="1">
      <c r="A105">
        <f>ROW()</f>
        <v>105</v>
      </c>
      <c r="D105" s="183"/>
      <c r="E105" s="183"/>
      <c r="F105" s="183"/>
      <c r="G105" s="183"/>
      <c r="H105" s="183"/>
      <c r="I105" s="184"/>
      <c r="J105" s="183"/>
    </row>
    <row r="106" spans="1:20" ht="13">
      <c r="A106">
        <f>ROW()</f>
        <v>106</v>
      </c>
      <c r="B106" t="s">
        <v>195</v>
      </c>
      <c r="D106" s="192">
        <f>+J39</f>
        <v>10460000</v>
      </c>
      <c r="E106" s="192">
        <f>+E100+E102</f>
        <v>10053778.499999998</v>
      </c>
      <c r="F106" s="192">
        <f t="shared" ref="F106:H106" si="13">+F100+F102</f>
        <v>10405660.747499997</v>
      </c>
      <c r="G106" s="192">
        <f t="shared" si="13"/>
        <v>10821887.177399999</v>
      </c>
      <c r="H106" s="192">
        <f t="shared" si="13"/>
        <v>11362981.536269998</v>
      </c>
      <c r="I106" s="193">
        <f>+I100+I102</f>
        <v>11987945.52076485</v>
      </c>
      <c r="J106" s="192">
        <f>+J100+J102</f>
        <v>12946981.162426036</v>
      </c>
      <c r="P106" t="s">
        <v>339</v>
      </c>
    </row>
    <row r="107" spans="1:20" ht="6.75" customHeight="1">
      <c r="A107">
        <f>ROW()</f>
        <v>107</v>
      </c>
      <c r="I107" s="50"/>
    </row>
    <row r="108" spans="1:20" ht="13.5" thickBot="1">
      <c r="A108">
        <f>ROW()</f>
        <v>108</v>
      </c>
      <c r="B108" s="194" t="s">
        <v>297</v>
      </c>
      <c r="C108" s="195" t="s">
        <v>288</v>
      </c>
      <c r="I108" s="50"/>
      <c r="Q108" t="s">
        <v>298</v>
      </c>
    </row>
    <row r="109" spans="1:20">
      <c r="A109">
        <f>ROW()</f>
        <v>109</v>
      </c>
      <c r="B109" t="s">
        <v>299</v>
      </c>
      <c r="C109" s="176">
        <f>+D42</f>
        <v>23.85659652059865</v>
      </c>
      <c r="D109" s="196"/>
      <c r="E109" s="363" t="s">
        <v>300</v>
      </c>
      <c r="I109" s="198">
        <f>+C109*I106</f>
        <v>285991579.39980489</v>
      </c>
      <c r="O109">
        <f>E132</f>
        <v>114.06159526886763</v>
      </c>
      <c r="P109" s="185">
        <f>Q109-0.5%</f>
        <v>1.9999999999999997E-2</v>
      </c>
      <c r="Q109" s="185">
        <f>R109-0.5%</f>
        <v>2.4999999999999998E-2</v>
      </c>
      <c r="R109" s="403">
        <v>0.03</v>
      </c>
      <c r="S109" s="185">
        <f>R109+0.5%</f>
        <v>3.4999999999999996E-2</v>
      </c>
      <c r="T109" s="185">
        <f>S109+0.5%</f>
        <v>3.9999999999999994E-2</v>
      </c>
    </row>
    <row r="110" spans="1:20">
      <c r="A110">
        <f>ROW()</f>
        <v>110</v>
      </c>
      <c r="B110" t="s">
        <v>301</v>
      </c>
      <c r="C110" s="221">
        <f>+H82</f>
        <v>0.11573543066585218</v>
      </c>
      <c r="D110" s="199"/>
      <c r="E110" s="363" t="s">
        <v>302</v>
      </c>
      <c r="I110" s="184">
        <f>+J104/(C110-J95)</f>
        <v>205248484.80386934</v>
      </c>
      <c r="N110" t="s">
        <v>303</v>
      </c>
      <c r="O110" s="401">
        <f>O111-0.5%</f>
        <v>0.10573543066585217</v>
      </c>
      <c r="P110">
        <f t="dataTable" ref="P110:T114" dt2D="1" dtr="1" r1="I95" r2="C110" ca="1"/>
        <v>126.51159902144666</v>
      </c>
      <c r="Q110">
        <v>127.08305204400696</v>
      </c>
      <c r="R110">
        <v>127.65450506656725</v>
      </c>
      <c r="S110">
        <v>128.22595808912757</v>
      </c>
      <c r="T110">
        <v>128.79741111168789</v>
      </c>
    </row>
    <row r="111" spans="1:20">
      <c r="A111">
        <f>ROW()</f>
        <v>111</v>
      </c>
      <c r="B111" t="s">
        <v>265</v>
      </c>
      <c r="I111" s="227">
        <f>+(I109+I110)/2</f>
        <v>245620032.1018371</v>
      </c>
      <c r="N111" t="s">
        <v>304</v>
      </c>
      <c r="O111" s="401">
        <f>O112-0.5%</f>
        <v>0.11073543066585217</v>
      </c>
      <c r="P111">
        <v>140.21644619566212</v>
      </c>
      <c r="Q111">
        <v>140.85507984162541</v>
      </c>
      <c r="R111">
        <v>141.49371348758871</v>
      </c>
      <c r="S111">
        <v>142.13234713355206</v>
      </c>
      <c r="T111">
        <v>142.77098077951538</v>
      </c>
    </row>
    <row r="112" spans="1:20">
      <c r="A112">
        <f>ROW()</f>
        <v>112</v>
      </c>
      <c r="B112" t="s">
        <v>305</v>
      </c>
      <c r="D112" s="175"/>
      <c r="I112" s="198">
        <f>-D130*0.75</f>
        <v>-12052500</v>
      </c>
      <c r="J112" s="197" t="s">
        <v>306</v>
      </c>
      <c r="O112" s="402">
        <f>C110</f>
        <v>0.11573543066585218</v>
      </c>
      <c r="P112">
        <v>140.21644619566212</v>
      </c>
      <c r="Q112">
        <v>140.85507984162541</v>
      </c>
      <c r="R112">
        <v>141.49371348758871</v>
      </c>
      <c r="S112">
        <v>142.13234713355206</v>
      </c>
      <c r="T112">
        <v>142.77098077951538</v>
      </c>
    </row>
    <row r="113" spans="1:20">
      <c r="A113">
        <f>ROW()</f>
        <v>113</v>
      </c>
      <c r="B113" t="s">
        <v>307</v>
      </c>
      <c r="D113" s="175"/>
      <c r="I113" s="228">
        <v>0</v>
      </c>
      <c r="O113" s="401">
        <f>O112+0.5%</f>
        <v>0.12073543066585218</v>
      </c>
      <c r="P113">
        <v>126.51159902144666</v>
      </c>
      <c r="Q113">
        <v>127.08305204400696</v>
      </c>
      <c r="R113">
        <v>127.65450506656725</v>
      </c>
      <c r="S113">
        <v>128.22595808912757</v>
      </c>
      <c r="T113">
        <v>128.79741111168789</v>
      </c>
    </row>
    <row r="114" spans="1:20">
      <c r="A114">
        <f>ROW()</f>
        <v>114</v>
      </c>
      <c r="B114" t="s">
        <v>308</v>
      </c>
      <c r="I114" s="198">
        <f>+I112+I111</f>
        <v>233567532.1018371</v>
      </c>
      <c r="O114" s="401">
        <f>O113+0.5%</f>
        <v>0.12573543066585219</v>
      </c>
      <c r="P114">
        <v>110.60716451081991</v>
      </c>
      <c r="Q114">
        <v>111.10065461911242</v>
      </c>
      <c r="R114">
        <v>111.59414472740495</v>
      </c>
      <c r="S114">
        <v>112.08763483569749</v>
      </c>
      <c r="T114">
        <v>112.58112494399003</v>
      </c>
    </row>
    <row r="115" spans="1:20">
      <c r="A115">
        <f>ROW()</f>
        <v>115</v>
      </c>
      <c r="I115" s="50"/>
    </row>
    <row r="116" spans="1:20" ht="13">
      <c r="A116">
        <f>ROW()</f>
        <v>116</v>
      </c>
      <c r="B116" t="s">
        <v>309</v>
      </c>
      <c r="D116" s="192"/>
      <c r="E116" s="192">
        <f>+E104</f>
        <v>5695603.8749999981</v>
      </c>
      <c r="F116" s="192">
        <f>+F104</f>
        <v>5894950.0106249973</v>
      </c>
      <c r="G116" s="192">
        <f>+G104</f>
        <v>6130748.0110499989</v>
      </c>
      <c r="H116" s="192">
        <f>+H104</f>
        <v>6437285.411602499</v>
      </c>
      <c r="I116" s="193">
        <f>+I114+I104</f>
        <v>240358868.21107775</v>
      </c>
    </row>
    <row r="117" spans="1:20" ht="13">
      <c r="A117">
        <f>ROW()</f>
        <v>117</v>
      </c>
      <c r="D117" s="175"/>
      <c r="E117" s="201" t="s">
        <v>310</v>
      </c>
      <c r="F117" s="201" t="s">
        <v>310</v>
      </c>
      <c r="G117" s="201" t="s">
        <v>310</v>
      </c>
      <c r="H117" s="201" t="s">
        <v>310</v>
      </c>
      <c r="I117" s="229" t="s">
        <v>310</v>
      </c>
    </row>
    <row r="118" spans="1:20" ht="16.5" thickBot="1">
      <c r="A118">
        <f>ROW()</f>
        <v>118</v>
      </c>
      <c r="B118" s="200" t="s">
        <v>311</v>
      </c>
      <c r="C118" s="251" t="s">
        <v>312</v>
      </c>
      <c r="D118" s="175"/>
      <c r="E118" s="222">
        <f>1/((1+$F$80)^E91)</f>
        <v>0.85382513661202186</v>
      </c>
      <c r="F118" s="222">
        <f>1/((1+$F$80)^F91)</f>
        <v>0.72901736391053773</v>
      </c>
      <c r="G118" s="222">
        <f>1/((1+$F$80)^G91)</f>
        <v>0.62245335033345095</v>
      </c>
      <c r="H118" s="222">
        <f>1/((1+$F$80)^H91)</f>
        <v>0.53146631688306945</v>
      </c>
      <c r="I118" s="223">
        <f>1/((1+$F$80)^I91)</f>
        <v>0.45377930061737481</v>
      </c>
    </row>
    <row r="119" spans="1:20" ht="13">
      <c r="A119">
        <f>ROW()</f>
        <v>119</v>
      </c>
      <c r="C119" s="200"/>
      <c r="D119" s="175"/>
      <c r="E119" s="201" t="s">
        <v>313</v>
      </c>
      <c r="F119" s="201" t="s">
        <v>313</v>
      </c>
      <c r="G119" s="201" t="s">
        <v>313</v>
      </c>
      <c r="H119" s="201" t="s">
        <v>313</v>
      </c>
      <c r="I119" s="201" t="s">
        <v>313</v>
      </c>
    </row>
    <row r="120" spans="1:20" ht="13">
      <c r="A120">
        <f>ROW()</f>
        <v>120</v>
      </c>
      <c r="C120" s="200"/>
    </row>
    <row r="121" spans="1:20" ht="13">
      <c r="A121">
        <f>ROW()</f>
        <v>121</v>
      </c>
      <c r="C121" s="200" t="s">
        <v>314</v>
      </c>
      <c r="D121" s="202">
        <f>+E118*E116</f>
        <v>4863049.7566598346</v>
      </c>
      <c r="E121" s="203"/>
    </row>
    <row r="122" spans="1:20" ht="13">
      <c r="A122">
        <f>ROW()</f>
        <v>122</v>
      </c>
      <c r="C122" s="200" t="s">
        <v>315</v>
      </c>
      <c r="D122" s="202">
        <f>+F118*F116</f>
        <v>4297520.9171302319</v>
      </c>
    </row>
    <row r="123" spans="1:20" ht="13">
      <c r="A123">
        <f>ROW()</f>
        <v>123</v>
      </c>
      <c r="C123" s="200" t="s">
        <v>316</v>
      </c>
      <c r="D123" s="202">
        <f>+G118*G116</f>
        <v>3816104.6395282126</v>
      </c>
    </row>
    <row r="124" spans="1:20" ht="13">
      <c r="A124">
        <f>ROW()</f>
        <v>124</v>
      </c>
      <c r="C124" s="200" t="s">
        <v>317</v>
      </c>
      <c r="D124" s="202">
        <f>+H118*H116</f>
        <v>3421200.3684294936</v>
      </c>
    </row>
    <row r="125" spans="1:20" ht="13">
      <c r="A125">
        <f>ROW()</f>
        <v>125</v>
      </c>
      <c r="C125" s="200" t="s">
        <v>318</v>
      </c>
      <c r="D125" s="202">
        <f>+I118*I116</f>
        <v>109069879.11400662</v>
      </c>
    </row>
    <row r="126" spans="1:20" ht="13.5" thickBot="1">
      <c r="A126">
        <f>ROW()</f>
        <v>126</v>
      </c>
      <c r="C126" s="200" t="s">
        <v>319</v>
      </c>
      <c r="D126" s="204">
        <f>SUM(D120:D125)</f>
        <v>125467754.7957544</v>
      </c>
      <c r="E126" s="197" t="s">
        <v>320</v>
      </c>
    </row>
    <row r="127" spans="1:20" ht="13.5" thickTop="1">
      <c r="A127">
        <f>ROW()</f>
        <v>127</v>
      </c>
      <c r="C127" s="200"/>
      <c r="D127" s="202"/>
      <c r="E127" s="197"/>
    </row>
    <row r="128" spans="1:20" ht="13">
      <c r="A128">
        <f>ROW()</f>
        <v>128</v>
      </c>
      <c r="C128" s="205" t="s">
        <v>321</v>
      </c>
      <c r="D128" s="206" t="s">
        <v>322</v>
      </c>
      <c r="E128" s="207"/>
    </row>
    <row r="129" spans="1:8" ht="13">
      <c r="A129">
        <f>ROW()</f>
        <v>129</v>
      </c>
      <c r="C129" s="151" t="s">
        <v>323</v>
      </c>
      <c r="D129" s="202">
        <f>+D126</f>
        <v>125467754.7957544</v>
      </c>
    </row>
    <row r="130" spans="1:8" ht="13">
      <c r="A130">
        <f>ROW()</f>
        <v>130</v>
      </c>
      <c r="C130" s="208" t="s">
        <v>324</v>
      </c>
      <c r="D130" s="192">
        <f>+G18</f>
        <v>16070000</v>
      </c>
    </row>
    <row r="131" spans="1:8" ht="13.5" thickBot="1">
      <c r="A131">
        <f>ROW()</f>
        <v>131</v>
      </c>
      <c r="C131" s="208" t="s">
        <v>325</v>
      </c>
      <c r="D131" s="192">
        <f>-H18</f>
        <v>-11320000</v>
      </c>
    </row>
    <row r="132" spans="1:8" ht="14.25" customHeight="1" thickBot="1">
      <c r="A132">
        <f>ROW()</f>
        <v>132</v>
      </c>
      <c r="B132" s="170" t="e">
        <f>#REF!</f>
        <v>#REF!</v>
      </c>
      <c r="C132" s="209"/>
      <c r="D132" s="177">
        <f>+D130+D129+D131</f>
        <v>130217754.7957544</v>
      </c>
      <c r="E132" s="396">
        <f>D129/G139</f>
        <v>114.06159526886763</v>
      </c>
      <c r="F132" s="396" t="s">
        <v>326</v>
      </c>
    </row>
    <row r="133" spans="1:8">
      <c r="A133">
        <f>ROW()</f>
        <v>133</v>
      </c>
      <c r="B133" s="151"/>
      <c r="C133" s="67"/>
    </row>
    <row r="134" spans="1:8" ht="20">
      <c r="A134">
        <f>ROW()</f>
        <v>134</v>
      </c>
      <c r="B134" s="79" t="s">
        <v>327</v>
      </c>
    </row>
    <row r="135" spans="1:8">
      <c r="A135">
        <f>ROW()</f>
        <v>135</v>
      </c>
    </row>
    <row r="136" spans="1:8" ht="28">
      <c r="A136">
        <f>ROW()</f>
        <v>136</v>
      </c>
      <c r="B136" s="349" t="s">
        <v>111</v>
      </c>
    </row>
    <row r="137" spans="1:8" ht="9" customHeight="1" thickBot="1">
      <c r="A137">
        <f>ROW()</f>
        <v>137</v>
      </c>
      <c r="B137" s="210"/>
      <c r="C137" s="69"/>
      <c r="D137" s="69"/>
      <c r="E137" s="69"/>
      <c r="F137" s="69"/>
      <c r="G137" s="69"/>
      <c r="H137" s="211"/>
    </row>
    <row r="138" spans="1:8" ht="13.5" thickBot="1">
      <c r="A138">
        <f>ROW()</f>
        <v>138</v>
      </c>
      <c r="B138" s="212"/>
      <c r="C138" s="212" t="s">
        <v>328</v>
      </c>
      <c r="D138" s="212" t="s">
        <v>329</v>
      </c>
      <c r="E138" s="212" t="s">
        <v>330</v>
      </c>
      <c r="F138" s="212" t="s">
        <v>331</v>
      </c>
      <c r="G138" s="212" t="s">
        <v>332</v>
      </c>
      <c r="H138" s="213" t="s">
        <v>326</v>
      </c>
    </row>
    <row r="139" spans="1:8">
      <c r="A139">
        <f>ROW()</f>
        <v>139</v>
      </c>
      <c r="B139" s="214" t="s">
        <v>333</v>
      </c>
      <c r="C139" s="215">
        <f>+C20</f>
        <v>147167000</v>
      </c>
      <c r="D139" s="215">
        <f>+$D$130</f>
        <v>16070000</v>
      </c>
      <c r="E139" s="215">
        <f>+H18</f>
        <v>11320000</v>
      </c>
      <c r="F139" s="215">
        <f>+C139-D139+E139</f>
        <v>142417000</v>
      </c>
      <c r="G139" s="215">
        <f>+$E$18</f>
        <v>1100000</v>
      </c>
      <c r="H139" s="230">
        <f>+F139/G139</f>
        <v>129.47</v>
      </c>
    </row>
    <row r="140" spans="1:8">
      <c r="A140">
        <f>ROW()</f>
        <v>140</v>
      </c>
      <c r="B140" s="214"/>
      <c r="C140" s="215"/>
      <c r="D140" s="215"/>
      <c r="E140" s="215"/>
      <c r="F140" s="215"/>
      <c r="G140" s="215"/>
      <c r="H140" s="230"/>
    </row>
    <row r="141" spans="1:8">
      <c r="A141">
        <f>ROW()</f>
        <v>141</v>
      </c>
      <c r="B141" s="216" t="s">
        <v>334</v>
      </c>
      <c r="C141" s="217">
        <f>+C44</f>
        <v>249539999.60546187</v>
      </c>
      <c r="D141" s="215">
        <f>+$D$130</f>
        <v>16070000</v>
      </c>
      <c r="E141" s="215">
        <f>+$H$39</f>
        <v>11320000</v>
      </c>
      <c r="F141" s="215">
        <f>+C141-D141+E141</f>
        <v>244789999.60546187</v>
      </c>
      <c r="G141" s="215">
        <f>+$E$18</f>
        <v>1100000</v>
      </c>
      <c r="H141" s="405">
        <f>+F141/G141</f>
        <v>222.5363632776926</v>
      </c>
    </row>
    <row r="142" spans="1:8">
      <c r="A142">
        <f>ROW()</f>
        <v>142</v>
      </c>
      <c r="B142" s="216"/>
      <c r="C142" s="217"/>
      <c r="D142" s="215"/>
      <c r="E142" s="215"/>
      <c r="F142" s="215"/>
      <c r="G142" s="215"/>
      <c r="H142" s="230"/>
    </row>
    <row r="143" spans="1:8">
      <c r="A143">
        <f>ROW()</f>
        <v>143</v>
      </c>
      <c r="B143" s="214" t="s">
        <v>335</v>
      </c>
      <c r="C143" s="215">
        <f>+D132</f>
        <v>130217754.7957544</v>
      </c>
      <c r="D143" s="215">
        <f>+$D$130</f>
        <v>16070000</v>
      </c>
      <c r="E143" s="215">
        <f>+$H$39</f>
        <v>11320000</v>
      </c>
      <c r="F143" s="215">
        <f>+C143-D143+E143</f>
        <v>125467754.7957544</v>
      </c>
      <c r="G143" s="215">
        <f>+$E$18</f>
        <v>1100000</v>
      </c>
      <c r="H143" s="230">
        <f>+F143/G143</f>
        <v>114.06159526886763</v>
      </c>
    </row>
    <row r="144" spans="1:8">
      <c r="A144">
        <f>ROW()</f>
        <v>144</v>
      </c>
      <c r="B144" s="70"/>
      <c r="C144" s="175"/>
      <c r="D144" s="175"/>
      <c r="E144" s="175"/>
      <c r="F144" s="175"/>
      <c r="G144" s="175"/>
      <c r="H144" s="198"/>
    </row>
    <row r="145" spans="1:11" ht="13.5" thickBot="1">
      <c r="A145">
        <f>ROW()</f>
        <v>145</v>
      </c>
      <c r="B145" s="294" t="s">
        <v>336</v>
      </c>
      <c r="C145" s="218">
        <f>AVERAGE(C139:C143)</f>
        <v>175641584.80040541</v>
      </c>
      <c r="D145" s="218">
        <f>AVERAGE(D139:D143)</f>
        <v>16070000</v>
      </c>
      <c r="E145" s="218">
        <f>AVERAGE(E139:E143)</f>
        <v>11320000</v>
      </c>
      <c r="F145" s="218">
        <f>AVERAGE(F139:F143)</f>
        <v>170891584.80040541</v>
      </c>
      <c r="G145" s="218"/>
      <c r="H145" s="231"/>
    </row>
    <row r="146" spans="1:11" ht="13.5" thickTop="1" thickBot="1">
      <c r="A146">
        <f>ROW()</f>
        <v>146</v>
      </c>
      <c r="B146" s="74"/>
      <c r="C146" s="75"/>
      <c r="D146" s="75"/>
      <c r="E146" s="75"/>
      <c r="F146" s="75"/>
      <c r="G146" s="75"/>
      <c r="H146" s="398">
        <f>AVERAGE(H139,H141,H143)</f>
        <v>155.35598618218674</v>
      </c>
    </row>
    <row r="151" spans="1:11">
      <c r="E151" s="169"/>
      <c r="G151" s="169"/>
      <c r="H151" s="169"/>
      <c r="I151" s="169"/>
      <c r="J151" s="169"/>
      <c r="K151" s="169"/>
    </row>
    <row r="152" spans="1:11">
      <c r="E152" s="169"/>
      <c r="G152" s="169"/>
      <c r="H152" s="169"/>
      <c r="I152" s="169"/>
      <c r="J152" s="169"/>
      <c r="K152" s="169"/>
    </row>
    <row r="153" spans="1:11">
      <c r="E153" s="169"/>
      <c r="G153" s="169"/>
      <c r="H153" s="169"/>
      <c r="I153" s="169"/>
      <c r="J153" s="169"/>
      <c r="K153" s="169"/>
    </row>
    <row r="154" spans="1:11">
      <c r="E154" s="169"/>
      <c r="G154" s="169"/>
      <c r="H154" s="169"/>
      <c r="I154" s="169"/>
      <c r="J154" s="169"/>
      <c r="K154" s="169"/>
    </row>
    <row r="155" spans="1:11">
      <c r="E155" s="169"/>
      <c r="G155" s="169"/>
      <c r="H155" s="169"/>
      <c r="I155" s="169"/>
      <c r="J155" s="169"/>
      <c r="K155" s="169"/>
    </row>
    <row r="156" spans="1:11">
      <c r="E156" s="169"/>
      <c r="G156" s="169"/>
    </row>
    <row r="157" spans="1:11">
      <c r="E157" s="169"/>
    </row>
    <row r="158" spans="1:11">
      <c r="E158" s="169"/>
    </row>
    <row r="159" spans="1:11">
      <c r="E159" s="169"/>
    </row>
    <row r="160" spans="1:11">
      <c r="E160" s="169"/>
    </row>
    <row r="161" spans="5:5">
      <c r="E161" s="169"/>
    </row>
    <row r="162" spans="5:5">
      <c r="E162" s="169"/>
    </row>
    <row r="163" spans="5:5">
      <c r="E163" s="169"/>
    </row>
    <row r="164" spans="5:5">
      <c r="E164" s="169"/>
    </row>
    <row r="165" spans="5:5">
      <c r="E165" s="169"/>
    </row>
    <row r="166" spans="5:5">
      <c r="E166" s="169"/>
    </row>
    <row r="167" spans="5:5">
      <c r="E167" s="169"/>
    </row>
    <row r="168" spans="5:5">
      <c r="E168" s="169"/>
    </row>
    <row r="169" spans="5:5">
      <c r="E169" s="169"/>
    </row>
    <row r="170" spans="5:5">
      <c r="E170" s="169"/>
    </row>
    <row r="171" spans="5:5">
      <c r="E171" s="169"/>
    </row>
    <row r="172" spans="5:5">
      <c r="E172" s="169"/>
    </row>
    <row r="173" spans="5:5">
      <c r="E173" s="169"/>
    </row>
    <row r="174" spans="5:5">
      <c r="E174" s="169"/>
    </row>
    <row r="175" spans="5:5">
      <c r="E175" s="169"/>
    </row>
    <row r="176" spans="5:5">
      <c r="E176" s="169"/>
    </row>
    <row r="177" spans="5:5">
      <c r="E177" s="169"/>
    </row>
    <row r="178" spans="5:5">
      <c r="E178" s="169"/>
    </row>
    <row r="179" spans="5:5">
      <c r="E179" s="169"/>
    </row>
    <row r="180" spans="5:5">
      <c r="E180" s="169"/>
    </row>
    <row r="181" spans="5:5">
      <c r="E181" s="169"/>
    </row>
    <row r="182" spans="5:5">
      <c r="E182" s="169"/>
    </row>
    <row r="183" spans="5:5">
      <c r="E183" s="169"/>
    </row>
    <row r="184" spans="5:5">
      <c r="E184" s="169"/>
    </row>
    <row r="185" spans="5:5">
      <c r="E185" s="169"/>
    </row>
    <row r="186" spans="5:5">
      <c r="E186" s="169"/>
    </row>
  </sheetData>
  <phoneticPr fontId="0" type="noConversion"/>
  <pageMargins left="0.31" right="0.2" top="0.63" bottom="1" header="0.39" footer="0.5"/>
  <pageSetup scale="75" orientation="landscape" r:id="rId1"/>
  <headerFooter alignWithMargins="0">
    <oddFooter>&amp;L&amp;P</oddFooter>
  </headerFooter>
  <rowBreaks count="3" manualBreakCount="3">
    <brk id="46" max="16383" man="1"/>
    <brk id="76" max="16383" man="1"/>
    <brk id="132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cbf0f5-e064-4873-b1a9-47e79535b68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5CD487DC4ED41B8412010B6AFA7BC" ma:contentTypeVersion="8" ma:contentTypeDescription="Create a new document." ma:contentTypeScope="" ma:versionID="8d48103fedcd73129c35ed67408f032b">
  <xsd:schema xmlns:xsd="http://www.w3.org/2001/XMLSchema" xmlns:xs="http://www.w3.org/2001/XMLSchema" xmlns:p="http://schemas.microsoft.com/office/2006/metadata/properties" xmlns:ns3="2fcbf0f5-e064-4873-b1a9-47e79535b686" xmlns:ns4="9b0aadc7-840c-44bc-b4b4-09bc26818170" targetNamespace="http://schemas.microsoft.com/office/2006/metadata/properties" ma:root="true" ma:fieldsID="47470be70eefb87136c1437430f6f897" ns3:_="" ns4:_="">
    <xsd:import namespace="2fcbf0f5-e064-4873-b1a9-47e79535b686"/>
    <xsd:import namespace="9b0aadc7-840c-44bc-b4b4-09bc26818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bf0f5-e064-4873-b1a9-47e79535b6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0aadc7-840c-44bc-b4b4-09bc2681817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911590-FBB8-4C0C-8ED8-775AC29B1491}">
  <ds:schemaRefs>
    <ds:schemaRef ds:uri="http://schemas.microsoft.com/office/2006/metadata/properties"/>
    <ds:schemaRef ds:uri="http://schemas.microsoft.com/office/infopath/2007/PartnerControls"/>
    <ds:schemaRef ds:uri="2fcbf0f5-e064-4873-b1a9-47e79535b686"/>
  </ds:schemaRefs>
</ds:datastoreItem>
</file>

<file path=customXml/itemProps2.xml><?xml version="1.0" encoding="utf-8"?>
<ds:datastoreItem xmlns:ds="http://schemas.openxmlformats.org/officeDocument/2006/customXml" ds:itemID="{EADD1A82-309A-4C6A-981C-96FBEFFF8D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780ABA-0DD9-42F6-8A1C-FB42AA06F2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bf0f5-e064-4873-b1a9-47e79535b686"/>
    <ds:schemaRef ds:uri="9b0aadc7-840c-44bc-b4b4-09bc26818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Yahoo Fin Input</vt:lpstr>
      <vt:lpstr>Title</vt:lpstr>
      <vt:lpstr>Historical Analysis</vt:lpstr>
      <vt:lpstr>Title 2</vt:lpstr>
      <vt:lpstr>Projected Analysis</vt:lpstr>
      <vt:lpstr>Title3</vt:lpstr>
      <vt:lpstr>Valuation Analysis</vt:lpstr>
      <vt:lpstr>'Yahoo Fin Input'!bs?s_HOT</vt:lpstr>
      <vt:lpstr>'Yahoo Fin Input'!bs?s_HOT_annual_1</vt:lpstr>
      <vt:lpstr>'Yahoo Fin Input'!cf?s_HOT</vt:lpstr>
      <vt:lpstr>'Yahoo Fin Input'!cf?s_HOT_annual</vt:lpstr>
      <vt:lpstr>'Yahoo Fin Input'!ExternalData_1</vt:lpstr>
      <vt:lpstr>'Yahoo Fin Input'!is?s_HOT</vt:lpstr>
      <vt:lpstr>'Yahoo Fin Input'!is?s_HOT_annual</vt:lpstr>
      <vt:lpstr>'Historical Analysis'!Print_Area</vt:lpstr>
      <vt:lpstr>'Projected Analysis'!Print_Area</vt:lpstr>
      <vt:lpstr>Title!Print_Area</vt:lpstr>
      <vt:lpstr>'Title 2'!Print_Area</vt:lpstr>
      <vt:lpstr>Title3!Print_Area</vt:lpstr>
      <vt:lpstr>'Valuation Analysis'!Print_Area</vt:lpstr>
      <vt:lpstr>'Yahoo Fin Input'!Print_Area</vt:lpstr>
      <vt:lpstr>'Valuation Analysis'!Print_Titles</vt:lpstr>
      <vt:lpstr>'Yahoo Fin Input'!Print_Titles</vt:lpstr>
    </vt:vector>
  </TitlesOfParts>
  <Manager/>
  <Company>BTMNA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u000293</dc:creator>
  <cp:keywords/>
  <dc:description/>
  <cp:lastModifiedBy>Tashveen Kaur</cp:lastModifiedBy>
  <cp:revision/>
  <dcterms:created xsi:type="dcterms:W3CDTF">2007-04-16T14:04:59Z</dcterms:created>
  <dcterms:modified xsi:type="dcterms:W3CDTF">2023-11-21T17:36:55Z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2023-11-07T01:31:02Z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102ce24b-3832-40fc-8a0e-d0a113ed80bf</vt:lpwstr>
  </property>
  <property fmtid="{D5CDD505-2E9C-101B-9397-08002B2CF9AE}" pid="8" name="MSIP_Label_a73fd474-4f3c-44ed-88fb-5cc4bd2471bf_ContentBits">
    <vt:lpwstr>0</vt:lpwstr>
  </property>
  <property fmtid="{D5CDD505-2E9C-101B-9397-08002B2CF9AE}" pid="9" name="ContentTypeId">
    <vt:lpwstr>0x010100C2F5CD487DC4ED41B8412010B6AFA7BC</vt:lpwstr>
  </property>
</Properties>
</file>