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3_ncr:1_{BCEE6F2F-5520-4C09-8124-3C0960EBCD64}" xr6:coauthVersionLast="32" xr6:coauthVersionMax="32" xr10:uidLastSave="{00000000-0000-0000-0000-000000000000}"/>
  <bookViews>
    <workbookView xWindow="0" yWindow="0" windowWidth="20490" windowHeight="7545" activeTab="5" xr2:uid="{00000000-000D-0000-FFFF-FFFF00000000}"/>
  </bookViews>
  <sheets>
    <sheet name="Accueil" sheetId="2" r:id="rId1"/>
    <sheet name="Select" sheetId="4" r:id="rId2"/>
    <sheet name="Tables" sheetId="3" r:id="rId3"/>
    <sheet name="BaseFisc" sheetId="5" r:id="rId4"/>
    <sheet name="BaseEco" sheetId="6" r:id="rId5"/>
    <sheet name="Modèle" sheetId="7" r:id="rId6"/>
    <sheet name="Résultats" sheetId="8" r:id="rId7"/>
  </sheets>
  <definedNames>
    <definedName name="_Achats">Tables!$B$87</definedName>
    <definedName name="_Achats_Select">Select!$E$20</definedName>
    <definedName name="_AchatsBetS">Tables!$B$86</definedName>
    <definedName name="_Actif">Tables!$B$64</definedName>
    <definedName name="_ActifCirculant">Tables!$B$72</definedName>
    <definedName name="_ActifImmo">Tables!$B$65</definedName>
    <definedName name="_Actualisation">Tables!$B$113</definedName>
    <definedName name="_Amortissement">Tables!$B$14</definedName>
    <definedName name="_Amortissement_Bureau">Tables!$B$53</definedName>
    <definedName name="_Amortissement_Camion">Tables!$B$51</definedName>
    <definedName name="_Amortissement_Constructions">Tables!$B$49</definedName>
    <definedName name="_Amortissement_Duree_Select">Select!$M$85</definedName>
    <definedName name="_Amortissement_Equipement">Tables!$B$50</definedName>
    <definedName name="_Amortissement_Informatique">Tables!$B$52</definedName>
    <definedName name="_Amortissement_Limitation_Select">Select!$L$85</definedName>
    <definedName name="_Amortissement_TauxExceptionnel_Select">Select!$K$85</definedName>
    <definedName name="_Auto">Tables!$B$3</definedName>
    <definedName name="_BaseEco">BaseEco!$A:$C</definedName>
    <definedName name="_BaseFisc">BaseFisc!$A:$R</definedName>
    <definedName name="_Bilan">Tables!$B$63</definedName>
    <definedName name="_Bureau">Tables!$B$71</definedName>
    <definedName name="_Bureau_CoefDegressif_Select">Select!$J$81</definedName>
    <definedName name="_Bureau_DureeLineaire_Select">Select!$I$81</definedName>
    <definedName name="_Bureau_Select">Select!$E$12</definedName>
    <definedName name="_Cadres">Tables!$B$99</definedName>
    <definedName name="_Camion">Tables!$B$69</definedName>
    <definedName name="_Camion_CoefDegressif_Select">Select!$J$79</definedName>
    <definedName name="_Camion_DureeLineaire_Select">Select!$I$79</definedName>
    <definedName name="_Camion_Select">Select!$E$10</definedName>
    <definedName name="_CapitalSocial">Tables!$B$78</definedName>
    <definedName name="_CapitalSocial_Select">Select!$E$16</definedName>
    <definedName name="_CapitauxPropres">Tables!$B$77</definedName>
    <definedName name="_CFE_Taux_Select1">Select!$P$68</definedName>
    <definedName name="_CFE_Taux_Select2">Select!$Q$68</definedName>
    <definedName name="_CFE_Taux_Select3">Select!$R$68</definedName>
    <definedName name="_CFE_Taux_Select4">Select!$S$68</definedName>
    <definedName name="_CFE_Taux_Select5">Select!$T$68</definedName>
    <definedName name="_Charges">Tables!$B$85</definedName>
    <definedName name="_ChargesFinancieres">Tables!$B$94</definedName>
    <definedName name="_ChargesFinancieres_Select">Select!$E$25</definedName>
    <definedName name="_Colonne">Tables!$B$6</definedName>
    <definedName name="_ColonneEco_Select">Select!$B$36</definedName>
    <definedName name="_ColonneFisc_Select">Select!$B$56</definedName>
    <definedName name="_CompteDeResultat">Tables!$B$84</definedName>
    <definedName name="_Constructions">Tables!$B$67</definedName>
    <definedName name="_Constructions_CoefDegressif_Select">Select!$J$77</definedName>
    <definedName name="_Constructions_DureeLineaire_Select">Select!$I$77</definedName>
    <definedName name="_Constructions_Select">Select!$E$8</definedName>
    <definedName name="_CreancesClients">Tables!$B$74</definedName>
    <definedName name="_CreancesClients_Select">Select!$E$14</definedName>
    <definedName name="_DepensesAdministratives">Tables!$B$89</definedName>
    <definedName name="_DepensesAdministratives_Select">Select!$E$22</definedName>
    <definedName name="_DepensesDEntretien">Tables!$B$91</definedName>
    <definedName name="_DepensesDEntretien_Select">Select!$E$24</definedName>
    <definedName name="_DepensesPublicitaires">Tables!$B$90</definedName>
    <definedName name="_DepensesPublicitaires_Select">Select!$E$23</definedName>
    <definedName name="_Dettes">Tables!$B$79</definedName>
    <definedName name="_DettesCT">Tables!$B$81</definedName>
    <definedName name="_DettesCT_Select">Select!$E$18</definedName>
    <definedName name="_DettesFournisseurs">Tables!$B$82</definedName>
    <definedName name="_DettesFournisseurs_Select">Select!$E$19</definedName>
    <definedName name="_DettesLT">Tables!$B$80</definedName>
    <definedName name="_DettesLT_Select">Select!$E$17</definedName>
    <definedName name="_DisponibilitesBancaires">Tables!$B$75</definedName>
    <definedName name="_DisponibilitesBancaires_Select">Select!$E$15</definedName>
    <definedName name="_Dividendes">Tables!$B$111</definedName>
    <definedName name="_DividendesDistribues">Tables!$B$112</definedName>
    <definedName name="_DividendesDistribues_Select">Select!$E$33</definedName>
    <definedName name="_Djankov">Tables!$B$17</definedName>
    <definedName name="_Donnee">Tables!$B$7</definedName>
    <definedName name="_Donnee_Liste">Accueil!$B$3</definedName>
    <definedName name="_Donnee_Select">Select!$B$2</definedName>
    <definedName name="_Equipement">Tables!$B$68</definedName>
    <definedName name="_Equipement_CoefDegressif_Select">Select!$J$78</definedName>
    <definedName name="_Equipement_DureeLineaire_Select">Select!$I$78</definedName>
    <definedName name="_Equipement_Select">Select!$E$9</definedName>
    <definedName name="_Error">Tables!$B$2</definedName>
    <definedName name="_xlnm._FilterDatabase" localSheetId="6" hidden="1">Résultats!$A$1:$D$1</definedName>
    <definedName name="_IMF_Taux_Select1">Select!$P$70</definedName>
    <definedName name="_IMF_Taux_Select2">Select!$Q$70</definedName>
    <definedName name="_IMF_Taux_Select3">Select!$R$70</definedName>
    <definedName name="_IMF_Taux_Select4">Select!$S$70</definedName>
    <definedName name="_IMF_Taux_Select5">Select!$T$70</definedName>
    <definedName name="_Impot">Tables!$B$13</definedName>
    <definedName name="_Impot_CFE">Tables!$B$41</definedName>
    <definedName name="_Impot_IMF">Tables!$B$44</definedName>
    <definedName name="_Impot_IRC">Tables!$B$46</definedName>
    <definedName name="_Impot_IRVM">Tables!$B$45</definedName>
    <definedName name="_Impot_IS">Tables!$B$43</definedName>
    <definedName name="_Impot_ISIMF">Tables!$B$42</definedName>
    <definedName name="_Impot_TVApetrole">Tables!$B$47</definedName>
    <definedName name="_ImpotsEtTaxes">Tables!$B$92</definedName>
    <definedName name="_Indice">Tables!$B$106</definedName>
    <definedName name="_Indice_Cadres">Tables!$B$107</definedName>
    <definedName name="_Indice_Cadres_Select">Select!$E$30</definedName>
    <definedName name="_Indice_Ouvriers">Tables!$B$109</definedName>
    <definedName name="_Indice_Ouvriers_Select">Select!$E$32</definedName>
    <definedName name="_Indice_Secretaires">Tables!$B$108</definedName>
    <definedName name="_Indice_Secretaires_Select">Select!$E$31</definedName>
    <definedName name="_Information">Tables!$B$15</definedName>
    <definedName name="_Information_CoefDegressif">Tables!$B$60</definedName>
    <definedName name="_Information_Duree">Tables!$B$58</definedName>
    <definedName name="_Information_DureeLineaire">Tables!$B$59</definedName>
    <definedName name="_Information_Limitation">Tables!$B$57</definedName>
    <definedName name="_Information_ReducExo">Tables!$B$56</definedName>
    <definedName name="_Information_Taux">Tables!$B$55</definedName>
    <definedName name="_Information_TauxExceptionnel">Tables!$B$61</definedName>
    <definedName name="_Informatique">Tables!$B$70</definedName>
    <definedName name="_Informatique_CoefDegressif_Select">Select!$J$80</definedName>
    <definedName name="_Informatique_DureeLineaire_Select">Select!$I$80</definedName>
    <definedName name="_Informatique_Select">Select!$E$11</definedName>
    <definedName name="_IRC_Taux_Select1">Select!$P$72</definedName>
    <definedName name="_IRC_Taux_Select2">Select!$Q$72</definedName>
    <definedName name="_IRC_Taux_Select3">Select!$R$72</definedName>
    <definedName name="_IRC_Taux_Select4">Select!$S$72</definedName>
    <definedName name="_IRC_Taux_Select5">Select!$T$72</definedName>
    <definedName name="_IRVM_Taux_Select1">Select!$P$71</definedName>
    <definedName name="_IRVM_Taux_Select2">Select!$Q$71</definedName>
    <definedName name="_IRVM_Taux_Select3">Select!$R$71</definedName>
    <definedName name="_IRVM_Taux_Select4">Select!$S$71</definedName>
    <definedName name="_IRVM_Taux_Select5">Select!$T$71</definedName>
    <definedName name="_IS_Taux_Select1">Select!$P$69</definedName>
    <definedName name="_IS_Taux_Select2">Select!$Q$69</definedName>
    <definedName name="_IS_Taux_Select3">Select!$R$69</definedName>
    <definedName name="_IS_Taux_Select4">Select!$S$69</definedName>
    <definedName name="_IS_Taux_Select5">Select!$T$69</definedName>
    <definedName name="_MasseSalariale">Tables!$B$93</definedName>
    <definedName name="_Nombre">Tables!$B$102</definedName>
    <definedName name="_Nombre_Cadres">Tables!$B$103</definedName>
    <definedName name="_Nombre_Cadres_Select">Select!$E$27</definedName>
    <definedName name="_Nombre_Ouvriers">Tables!$B$105</definedName>
    <definedName name="_Nombre_Ouvriers_Select">Select!$E$29</definedName>
    <definedName name="_Nombre_Secretaires">Tables!$B$104</definedName>
    <definedName name="_Nombre_Secretaires_Select">Select!$E$28</definedName>
    <definedName name="_Ouvriers">Tables!$B$101</definedName>
    <definedName name="_Passif">Tables!$B$76</definedName>
    <definedName name="_Pays">Tables!$B$9</definedName>
    <definedName name="_Pays_BEN">Tables!$B$23</definedName>
    <definedName name="_Pays_BFA">Tables!$B$24</definedName>
    <definedName name="_Pays_CAF">Tables!$B$26</definedName>
    <definedName name="_Pays_CIV">Tables!$B$28</definedName>
    <definedName name="_Pays_CMR">Tables!$B$25</definedName>
    <definedName name="_Pays_COG">Tables!$B$27</definedName>
    <definedName name="_Pays_GAB">Tables!$B$29</definedName>
    <definedName name="_Pays_GNB">Tables!$B$30</definedName>
    <definedName name="_Pays_GNQ">Tables!$B$31</definedName>
    <definedName name="_Pays_Liste">Accueil!$B$7</definedName>
    <definedName name="_Pays_MLI">Tables!$B$32</definedName>
    <definedName name="_Pays_NER">Tables!$B$33</definedName>
    <definedName name="_Pays_Select">Select!$B$42</definedName>
    <definedName name="_Pays_SEN">Tables!$B$34</definedName>
    <definedName name="_Pays_TCD">Tables!$B$35</definedName>
    <definedName name="_Pays_TGO">Tables!$B$36</definedName>
    <definedName name="_Petrole">Tables!$B$88</definedName>
    <definedName name="_Petrole_Select">Select!$E$21</definedName>
    <definedName name="_PIBPNB">Tables!$B$8</definedName>
    <definedName name="_PIBPNB_Liste">Accueil!$B$5</definedName>
    <definedName name="_PIBPNB_Select">Select!$G$40</definedName>
    <definedName name="_PIBtete">Tables!$B$20</definedName>
    <definedName name="_PNBtete">Tables!$B$21</definedName>
    <definedName name="_Produits">Tables!$B$95</definedName>
    <definedName name="_Regime">Tables!$B$11</definedName>
    <definedName name="_Regime_Gen">Tables!$B$38</definedName>
    <definedName name="_Regime_Inv">Tables!$B$39</definedName>
    <definedName name="_Regime_Liste">Accueil!$B$9</definedName>
    <definedName name="_Regime_Select">Select!$B$58</definedName>
    <definedName name="_Salaries">Tables!$B$98</definedName>
    <definedName name="_Secretaires">Tables!$B$100</definedName>
    <definedName name="_Select">Tables!$B$5</definedName>
    <definedName name="_Simul">Tables!$B$4</definedName>
    <definedName name="_Stocks">Tables!$B$73</definedName>
    <definedName name="_Stocks_Select">Select!$E$13</definedName>
    <definedName name="_Tables">Tables!$A:$D</definedName>
    <definedName name="_TauxDActualisation">Tables!$B$114</definedName>
    <definedName name="_TauxDActualisation_Select">Select!$E$34</definedName>
    <definedName name="_Terrain">Tables!$B$66</definedName>
    <definedName name="_Terrain_Select">Select!$E$7</definedName>
    <definedName name="_Texte">Tables!$B$10</definedName>
    <definedName name="_TVApetrole_Taux_Select1">Select!$P$73</definedName>
    <definedName name="_TVApetrole_Taux_Select2">Select!$Q$73</definedName>
    <definedName name="_TVApetrole_Taux_Select3">Select!$R$73</definedName>
    <definedName name="_TVApetrole_Taux_Select4">Select!$S$73</definedName>
    <definedName name="_TVApetrole_Taux_Select5">Select!$T$73</definedName>
    <definedName name="_Ventes">Tables!$B$96</definedName>
    <definedName name="_Ventes_Select">Select!$E$26</definedName>
    <definedName name="_Zone">Tables!$B$12</definedName>
    <definedName name="_ZoneFranc">Tables!$B$18</definedName>
  </definedNames>
  <calcPr calcId="179017" concurrentCalc="0"/>
</workbook>
</file>

<file path=xl/calcChain.xml><?xml version="1.0" encoding="utf-8"?>
<calcChain xmlns="http://schemas.openxmlformats.org/spreadsheetml/2006/main">
  <c r="K23" i="7" l="1"/>
  <c r="K22" i="7"/>
  <c r="J18" i="7"/>
  <c r="J19" i="7"/>
  <c r="E21" i="7"/>
  <c r="K38" i="7"/>
  <c r="K37" i="7"/>
  <c r="K13" i="7"/>
  <c r="C43" i="4"/>
  <c r="B42" i="4"/>
  <c r="B56" i="4"/>
  <c r="E69" i="4"/>
  <c r="F69" i="4"/>
  <c r="G69" i="4"/>
  <c r="H69" i="4"/>
  <c r="C69" i="4"/>
  <c r="C59" i="4"/>
  <c r="C60" i="4"/>
  <c r="B58" i="4"/>
  <c r="P69" i="4"/>
  <c r="C44" i="4"/>
  <c r="C45" i="4"/>
  <c r="C46" i="4"/>
  <c r="C47" i="4"/>
  <c r="C48" i="4"/>
  <c r="C49" i="4"/>
  <c r="C50" i="4"/>
  <c r="C51" i="4"/>
  <c r="C52" i="4"/>
  <c r="C53" i="4"/>
  <c r="C54" i="4"/>
  <c r="E68" i="4"/>
  <c r="F68" i="4"/>
  <c r="G68" i="4"/>
  <c r="H68" i="4"/>
  <c r="C68" i="4"/>
  <c r="P68" i="4"/>
  <c r="O61" i="4"/>
  <c r="G38" i="4"/>
  <c r="G40" i="4"/>
  <c r="D93" i="7"/>
  <c r="D94" i="7"/>
  <c r="D95" i="7"/>
  <c r="D75" i="7"/>
  <c r="E73" i="4"/>
  <c r="F73" i="4"/>
  <c r="G73" i="4"/>
  <c r="H73" i="4"/>
  <c r="C73" i="4"/>
  <c r="P73" i="4"/>
  <c r="D76" i="7"/>
  <c r="D77" i="7"/>
  <c r="D96" i="7"/>
  <c r="D97" i="7"/>
  <c r="D98" i="7"/>
  <c r="D99" i="7"/>
  <c r="D100" i="7"/>
  <c r="D101" i="7"/>
  <c r="D102" i="7"/>
  <c r="D80" i="7"/>
  <c r="D81" i="7"/>
  <c r="D82" i="7"/>
  <c r="D83" i="7"/>
  <c r="D84" i="7"/>
  <c r="D85" i="7"/>
  <c r="D103" i="7"/>
  <c r="D104" i="7"/>
  <c r="D14" i="7"/>
  <c r="D19" i="7"/>
  <c r="C77" i="4"/>
  <c r="I77" i="4"/>
  <c r="D15" i="7"/>
  <c r="D18" i="7"/>
  <c r="D77" i="4"/>
  <c r="J77" i="4"/>
  <c r="D16" i="7"/>
  <c r="D20" i="7"/>
  <c r="D21" i="7"/>
  <c r="D22" i="7"/>
  <c r="D7" i="7"/>
  <c r="D24" i="7"/>
  <c r="D29" i="7"/>
  <c r="C78" i="4"/>
  <c r="I78" i="4"/>
  <c r="D25" i="7"/>
  <c r="D28" i="7"/>
  <c r="R19" i="5"/>
  <c r="D78" i="4"/>
  <c r="J78" i="4"/>
  <c r="D26" i="7"/>
  <c r="D30" i="7"/>
  <c r="D31" i="7"/>
  <c r="D32" i="7"/>
  <c r="D8" i="7"/>
  <c r="D34" i="7"/>
  <c r="D39" i="7"/>
  <c r="C79" i="4"/>
  <c r="I79" i="4"/>
  <c r="D35" i="7"/>
  <c r="D38" i="7"/>
  <c r="D79" i="4"/>
  <c r="J79" i="4"/>
  <c r="D36" i="7"/>
  <c r="D40" i="7"/>
  <c r="D41" i="7"/>
  <c r="D42" i="7"/>
  <c r="D9" i="7"/>
  <c r="D44" i="7"/>
  <c r="D49" i="7"/>
  <c r="C80" i="4"/>
  <c r="I80" i="4"/>
  <c r="D45" i="7"/>
  <c r="D48" i="7"/>
  <c r="D80" i="4"/>
  <c r="J80" i="4"/>
  <c r="D46" i="7"/>
  <c r="D50" i="7"/>
  <c r="D51" i="7"/>
  <c r="D52" i="7"/>
  <c r="D10" i="7"/>
  <c r="D54" i="7"/>
  <c r="D59" i="7"/>
  <c r="C81" i="4"/>
  <c r="I81" i="4"/>
  <c r="D55" i="7"/>
  <c r="D58" i="7"/>
  <c r="D81" i="4"/>
  <c r="J81" i="4"/>
  <c r="D56" i="7"/>
  <c r="D60" i="7"/>
  <c r="D61" i="7"/>
  <c r="D62" i="7"/>
  <c r="D11" i="7"/>
  <c r="D12" i="7"/>
  <c r="D105" i="7"/>
  <c r="D106" i="7"/>
  <c r="D110" i="7"/>
  <c r="E85" i="4"/>
  <c r="C85" i="4"/>
  <c r="M85" i="4"/>
  <c r="D68" i="7"/>
  <c r="D70" i="7"/>
  <c r="D85" i="4"/>
  <c r="L85" i="4"/>
  <c r="D67" i="7"/>
  <c r="D65" i="7"/>
  <c r="K85" i="4"/>
  <c r="D66" i="7"/>
  <c r="D71" i="7"/>
  <c r="D72" i="7"/>
  <c r="D111" i="7"/>
  <c r="D112" i="7"/>
  <c r="D115" i="7"/>
  <c r="D116" i="7"/>
  <c r="D117" i="7"/>
  <c r="D120" i="7"/>
  <c r="E70" i="4"/>
  <c r="F70" i="4"/>
  <c r="G70" i="4"/>
  <c r="H70" i="4"/>
  <c r="C70" i="4"/>
  <c r="P70" i="4"/>
  <c r="D121" i="7"/>
  <c r="D122" i="7"/>
  <c r="D125" i="7"/>
  <c r="D141" i="7"/>
  <c r="E93" i="7"/>
  <c r="E94" i="7"/>
  <c r="E95" i="7"/>
  <c r="E75" i="7"/>
  <c r="Q73" i="4"/>
  <c r="E76" i="7"/>
  <c r="E77" i="7"/>
  <c r="E96" i="7"/>
  <c r="E97" i="7"/>
  <c r="E98" i="7"/>
  <c r="E99" i="7"/>
  <c r="E100" i="7"/>
  <c r="E101" i="7"/>
  <c r="E102" i="7"/>
  <c r="E80" i="7"/>
  <c r="E81" i="7"/>
  <c r="E82" i="7"/>
  <c r="E83" i="7"/>
  <c r="Q68" i="4"/>
  <c r="E84" i="7"/>
  <c r="E85" i="7"/>
  <c r="E103" i="7"/>
  <c r="E104" i="7"/>
  <c r="E19" i="7"/>
  <c r="E18" i="7"/>
  <c r="E20" i="7"/>
  <c r="E22" i="7"/>
  <c r="E7" i="7"/>
  <c r="E29" i="7"/>
  <c r="E28" i="7"/>
  <c r="E30" i="7"/>
  <c r="E31" i="7"/>
  <c r="E32" i="7"/>
  <c r="E8" i="7"/>
  <c r="E39" i="7"/>
  <c r="E38" i="7"/>
  <c r="E40" i="7"/>
  <c r="E41" i="7"/>
  <c r="E42" i="7"/>
  <c r="E9" i="7"/>
  <c r="E49" i="7"/>
  <c r="E48" i="7"/>
  <c r="E50" i="7"/>
  <c r="E51" i="7"/>
  <c r="E52" i="7"/>
  <c r="E10" i="7"/>
  <c r="E59" i="7"/>
  <c r="E58" i="7"/>
  <c r="E60" i="7"/>
  <c r="E61" i="7"/>
  <c r="E62" i="7"/>
  <c r="E11" i="7"/>
  <c r="E12" i="7"/>
  <c r="E105" i="7"/>
  <c r="E106" i="7"/>
  <c r="E110" i="7"/>
  <c r="E70" i="7"/>
  <c r="E71" i="7"/>
  <c r="E72" i="7"/>
  <c r="E111" i="7"/>
  <c r="E112" i="7"/>
  <c r="E115" i="7"/>
  <c r="Q69" i="4"/>
  <c r="E116" i="7"/>
  <c r="E117" i="7"/>
  <c r="E120" i="7"/>
  <c r="Q70" i="4"/>
  <c r="E121" i="7"/>
  <c r="E122" i="7"/>
  <c r="E125" i="7"/>
  <c r="E141" i="7"/>
  <c r="F93" i="7"/>
  <c r="F94" i="7"/>
  <c r="F95" i="7"/>
  <c r="F75" i="7"/>
  <c r="R73" i="4"/>
  <c r="F76" i="7"/>
  <c r="F77" i="7"/>
  <c r="F96" i="7"/>
  <c r="F97" i="7"/>
  <c r="F98" i="7"/>
  <c r="F99" i="7"/>
  <c r="F100" i="7"/>
  <c r="F101" i="7"/>
  <c r="F102" i="7"/>
  <c r="F80" i="7"/>
  <c r="F81" i="7"/>
  <c r="F82" i="7"/>
  <c r="F83" i="7"/>
  <c r="R68" i="4"/>
  <c r="F84" i="7"/>
  <c r="F85" i="7"/>
  <c r="F103" i="7"/>
  <c r="F104" i="7"/>
  <c r="F19" i="7"/>
  <c r="F18" i="7"/>
  <c r="F20" i="7"/>
  <c r="F21" i="7"/>
  <c r="F22" i="7"/>
  <c r="F7" i="7"/>
  <c r="F29" i="7"/>
  <c r="F28" i="7"/>
  <c r="F30" i="7"/>
  <c r="F31" i="7"/>
  <c r="F32" i="7"/>
  <c r="F8" i="7"/>
  <c r="F39" i="7"/>
  <c r="F38" i="7"/>
  <c r="F40" i="7"/>
  <c r="F41" i="7"/>
  <c r="F42" i="7"/>
  <c r="F9" i="7"/>
  <c r="F49" i="7"/>
  <c r="F48" i="7"/>
  <c r="F50" i="7"/>
  <c r="F51" i="7"/>
  <c r="F52" i="7"/>
  <c r="F10" i="7"/>
  <c r="F59" i="7"/>
  <c r="F58" i="7"/>
  <c r="F60" i="7"/>
  <c r="F61" i="7"/>
  <c r="F62" i="7"/>
  <c r="F11" i="7"/>
  <c r="F12" i="7"/>
  <c r="F105" i="7"/>
  <c r="F106" i="7"/>
  <c r="F110" i="7"/>
  <c r="F70" i="7"/>
  <c r="F71" i="7"/>
  <c r="F72" i="7"/>
  <c r="F111" i="7"/>
  <c r="F112" i="7"/>
  <c r="F115" i="7"/>
  <c r="R69" i="4"/>
  <c r="F116" i="7"/>
  <c r="F117" i="7"/>
  <c r="F120" i="7"/>
  <c r="R70" i="4"/>
  <c r="F121" i="7"/>
  <c r="F122" i="7"/>
  <c r="F125" i="7"/>
  <c r="F141" i="7"/>
  <c r="G93" i="7"/>
  <c r="G94" i="7"/>
  <c r="G95" i="7"/>
  <c r="G75" i="7"/>
  <c r="S73" i="4"/>
  <c r="G76" i="7"/>
  <c r="G77" i="7"/>
  <c r="G96" i="7"/>
  <c r="G97" i="7"/>
  <c r="G98" i="7"/>
  <c r="G99" i="7"/>
  <c r="G100" i="7"/>
  <c r="G101" i="7"/>
  <c r="G102" i="7"/>
  <c r="G80" i="7"/>
  <c r="G81" i="7"/>
  <c r="G82" i="7"/>
  <c r="G83" i="7"/>
  <c r="S68" i="4"/>
  <c r="G84" i="7"/>
  <c r="G85" i="7"/>
  <c r="G103" i="7"/>
  <c r="G104" i="7"/>
  <c r="G19" i="7"/>
  <c r="G18" i="7"/>
  <c r="G20" i="7"/>
  <c r="G21" i="7"/>
  <c r="G22" i="7"/>
  <c r="G7" i="7"/>
  <c r="G29" i="7"/>
  <c r="G28" i="7"/>
  <c r="G30" i="7"/>
  <c r="G31" i="7"/>
  <c r="G32" i="7"/>
  <c r="G8" i="7"/>
  <c r="G39" i="7"/>
  <c r="G38" i="7"/>
  <c r="G40" i="7"/>
  <c r="G41" i="7"/>
  <c r="G42" i="7"/>
  <c r="G9" i="7"/>
  <c r="G49" i="7"/>
  <c r="G48" i="7"/>
  <c r="G50" i="7"/>
  <c r="G51" i="7"/>
  <c r="G52" i="7"/>
  <c r="G10" i="7"/>
  <c r="G59" i="7"/>
  <c r="G58" i="7"/>
  <c r="G60" i="7"/>
  <c r="G61" i="7"/>
  <c r="G62" i="7"/>
  <c r="G11" i="7"/>
  <c r="G12" i="7"/>
  <c r="G105" i="7"/>
  <c r="G106" i="7"/>
  <c r="G110" i="7"/>
  <c r="G70" i="7"/>
  <c r="G71" i="7"/>
  <c r="G72" i="7"/>
  <c r="G111" i="7"/>
  <c r="G112" i="7"/>
  <c r="G115" i="7"/>
  <c r="S69" i="4"/>
  <c r="G116" i="7"/>
  <c r="G117" i="7"/>
  <c r="G120" i="7"/>
  <c r="S70" i="4"/>
  <c r="G121" i="7"/>
  <c r="G122" i="7"/>
  <c r="G125" i="7"/>
  <c r="G141" i="7"/>
  <c r="H93" i="7"/>
  <c r="H94" i="7"/>
  <c r="H95" i="7"/>
  <c r="H75" i="7"/>
  <c r="T73" i="4"/>
  <c r="H76" i="7"/>
  <c r="H77" i="7"/>
  <c r="H96" i="7"/>
  <c r="H97" i="7"/>
  <c r="H98" i="7"/>
  <c r="H99" i="7"/>
  <c r="H100" i="7"/>
  <c r="H101" i="7"/>
  <c r="H102" i="7"/>
  <c r="H80" i="7"/>
  <c r="H81" i="7"/>
  <c r="H82" i="7"/>
  <c r="H83" i="7"/>
  <c r="T68" i="4"/>
  <c r="H84" i="7"/>
  <c r="H85" i="7"/>
  <c r="H103" i="7"/>
  <c r="H104" i="7"/>
  <c r="H19" i="7"/>
  <c r="H18" i="7"/>
  <c r="H20" i="7"/>
  <c r="H21" i="7"/>
  <c r="H22" i="7"/>
  <c r="H7" i="7"/>
  <c r="H29" i="7"/>
  <c r="H28" i="7"/>
  <c r="H30" i="7"/>
  <c r="H31" i="7"/>
  <c r="H32" i="7"/>
  <c r="H8" i="7"/>
  <c r="H39" i="7"/>
  <c r="H38" i="7"/>
  <c r="H41" i="7"/>
  <c r="H42" i="7"/>
  <c r="H9" i="7"/>
  <c r="H49" i="7"/>
  <c r="H48" i="7"/>
  <c r="H51" i="7"/>
  <c r="H52" i="7"/>
  <c r="H10" i="7"/>
  <c r="H59" i="7"/>
  <c r="H58" i="7"/>
  <c r="H60" i="7"/>
  <c r="H61" i="7"/>
  <c r="H62" i="7"/>
  <c r="H11" i="7"/>
  <c r="H12" i="7"/>
  <c r="H105" i="7"/>
  <c r="H106" i="7"/>
  <c r="H110" i="7"/>
  <c r="H70" i="7"/>
  <c r="H71" i="7"/>
  <c r="H72" i="7"/>
  <c r="H111" i="7"/>
  <c r="H112" i="7"/>
  <c r="H115" i="7"/>
  <c r="T69" i="4"/>
  <c r="H116" i="7"/>
  <c r="H117" i="7"/>
  <c r="H120" i="7"/>
  <c r="T70" i="4"/>
  <c r="H121" i="7"/>
  <c r="H122" i="7"/>
  <c r="H125" i="7"/>
  <c r="H141" i="7"/>
  <c r="L134" i="7"/>
  <c r="M134" i="7"/>
  <c r="K132" i="7"/>
  <c r="D140" i="7"/>
  <c r="K140" i="7"/>
  <c r="J28" i="4"/>
  <c r="E140" i="7"/>
  <c r="F140" i="7"/>
  <c r="G140" i="7"/>
  <c r="H140" i="7"/>
  <c r="I140" i="7"/>
  <c r="D136" i="7"/>
  <c r="F65" i="7"/>
  <c r="A5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7" i="3"/>
  <c r="A18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8" i="3"/>
  <c r="A39" i="3"/>
  <c r="A41" i="3"/>
  <c r="A42" i="3"/>
  <c r="A43" i="3"/>
  <c r="A44" i="3"/>
  <c r="A45" i="3"/>
  <c r="A46" i="3"/>
  <c r="A47" i="3"/>
  <c r="A49" i="3"/>
  <c r="A50" i="3"/>
  <c r="A51" i="3"/>
  <c r="A52" i="3"/>
  <c r="A53" i="3"/>
  <c r="A55" i="3"/>
  <c r="A56" i="3"/>
  <c r="A57" i="3"/>
  <c r="A58" i="3"/>
  <c r="A59" i="3"/>
  <c r="A60" i="3"/>
  <c r="A61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1" i="3"/>
  <c r="A112" i="3"/>
  <c r="A113" i="3"/>
  <c r="A114" i="3"/>
  <c r="D7" i="2"/>
  <c r="D6" i="2"/>
  <c r="M84" i="4"/>
  <c r="I84" i="4"/>
  <c r="E84" i="4"/>
  <c r="H17" i="2"/>
  <c r="A30" i="6"/>
  <c r="E6" i="4"/>
  <c r="D6" i="4"/>
  <c r="C6" i="4"/>
  <c r="B34" i="4"/>
  <c r="B33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A36" i="4"/>
  <c r="D4" i="4"/>
  <c r="D3" i="4"/>
  <c r="A2" i="4"/>
  <c r="C1" i="6"/>
  <c r="A56" i="6"/>
  <c r="A53" i="6"/>
  <c r="A40" i="6"/>
  <c r="A36" i="6"/>
  <c r="A32" i="6"/>
  <c r="A31" i="6"/>
  <c r="A29" i="6"/>
  <c r="A28" i="6"/>
  <c r="A23" i="6"/>
  <c r="A22" i="6"/>
  <c r="A21" i="6"/>
  <c r="A19" i="6"/>
  <c r="A16" i="6"/>
  <c r="A15" i="6"/>
  <c r="A14" i="6"/>
  <c r="A12" i="6"/>
  <c r="A11" i="6"/>
  <c r="A10" i="6"/>
  <c r="A9" i="6"/>
  <c r="A8" i="6"/>
  <c r="A7" i="6"/>
  <c r="B1" i="6"/>
  <c r="B4" i="4"/>
  <c r="C4" i="4"/>
  <c r="H50" i="2"/>
  <c r="A50" i="2"/>
  <c r="H16" i="2"/>
  <c r="A46" i="2"/>
  <c r="A3" i="2"/>
  <c r="B3" i="4"/>
  <c r="C3" i="4"/>
  <c r="B2" i="4"/>
  <c r="B36" i="4"/>
  <c r="A2" i="6"/>
  <c r="A37" i="6"/>
  <c r="F40" i="4"/>
  <c r="F39" i="4"/>
  <c r="F38" i="4"/>
  <c r="K83" i="4"/>
  <c r="I75" i="4"/>
  <c r="P66" i="4"/>
  <c r="G83" i="4"/>
  <c r="F75" i="4"/>
  <c r="J66" i="4"/>
  <c r="D40" i="4"/>
  <c r="B40" i="4"/>
  <c r="C40" i="4"/>
  <c r="D39" i="4"/>
  <c r="B39" i="4"/>
  <c r="C39" i="4"/>
  <c r="A38" i="4"/>
  <c r="A9" i="2"/>
  <c r="A7" i="2"/>
  <c r="A4" i="5"/>
  <c r="A6" i="5"/>
  <c r="A5" i="5"/>
  <c r="B38" i="4"/>
  <c r="C75" i="4"/>
  <c r="C76" i="4"/>
  <c r="D76" i="4"/>
  <c r="F76" i="4"/>
  <c r="G76" i="4"/>
  <c r="I76" i="4"/>
  <c r="J76" i="4"/>
  <c r="B77" i="4"/>
  <c r="B78" i="4"/>
  <c r="B79" i="4"/>
  <c r="B80" i="4"/>
  <c r="B81" i="4"/>
  <c r="C83" i="4"/>
  <c r="C84" i="4"/>
  <c r="D84" i="4"/>
  <c r="G84" i="4"/>
  <c r="H84" i="4"/>
  <c r="K84" i="4"/>
  <c r="L84" i="4"/>
  <c r="B85" i="4"/>
  <c r="A75" i="4"/>
  <c r="C66" i="4"/>
  <c r="E66" i="4"/>
  <c r="C67" i="4"/>
  <c r="E67" i="4"/>
  <c r="F67" i="4"/>
  <c r="G67" i="4"/>
  <c r="B68" i="4"/>
  <c r="B69" i="4"/>
  <c r="B70" i="4"/>
  <c r="B71" i="4"/>
  <c r="B72" i="4"/>
  <c r="B73" i="4"/>
  <c r="A66" i="4"/>
  <c r="B1" i="5"/>
  <c r="A56" i="4"/>
  <c r="A2" i="5"/>
  <c r="A64" i="4"/>
  <c r="A63" i="4"/>
  <c r="A62" i="4"/>
  <c r="A58" i="4"/>
  <c r="A42" i="4"/>
  <c r="D27" i="5"/>
  <c r="D26" i="5"/>
  <c r="D25" i="5"/>
  <c r="B27" i="5"/>
  <c r="B26" i="5"/>
  <c r="B25" i="5"/>
  <c r="D38" i="5"/>
  <c r="C38" i="5"/>
  <c r="B38" i="5"/>
  <c r="C53" i="5"/>
  <c r="C54" i="5"/>
  <c r="C52" i="5"/>
  <c r="D54" i="5"/>
  <c r="B54" i="5"/>
  <c r="D53" i="5"/>
  <c r="B53" i="5"/>
  <c r="D52" i="5"/>
  <c r="B52" i="5"/>
  <c r="C49" i="5"/>
  <c r="C50" i="5"/>
  <c r="C48" i="5"/>
  <c r="D50" i="5"/>
  <c r="B50" i="5"/>
  <c r="D49" i="5"/>
  <c r="B49" i="5"/>
  <c r="D48" i="5"/>
  <c r="B48" i="5"/>
  <c r="D44" i="5"/>
  <c r="C45" i="5"/>
  <c r="C46" i="5"/>
  <c r="C44" i="5"/>
  <c r="D46" i="5"/>
  <c r="B46" i="5"/>
  <c r="D45" i="5"/>
  <c r="B45" i="5"/>
  <c r="B44" i="5"/>
  <c r="C41" i="5"/>
  <c r="C42" i="5"/>
  <c r="C40" i="5"/>
  <c r="D42" i="5"/>
  <c r="B42" i="5"/>
  <c r="D41" i="5"/>
  <c r="B41" i="5"/>
  <c r="D40" i="5"/>
  <c r="B40" i="5"/>
  <c r="C37" i="5"/>
  <c r="D37" i="5"/>
  <c r="C1" i="5"/>
  <c r="D1" i="5"/>
  <c r="B37" i="5"/>
  <c r="C36" i="5"/>
  <c r="C35" i="5"/>
  <c r="C34" i="5"/>
  <c r="D36" i="5"/>
  <c r="B36" i="5"/>
  <c r="D35" i="5"/>
  <c r="B35" i="5"/>
  <c r="D34" i="5"/>
  <c r="B34" i="5"/>
  <c r="D32" i="5"/>
  <c r="B32" i="5"/>
  <c r="C32" i="5"/>
  <c r="B31" i="5"/>
  <c r="B30" i="5"/>
  <c r="D30" i="5"/>
  <c r="D31" i="5"/>
  <c r="C31" i="5"/>
  <c r="C30" i="5"/>
  <c r="A28" i="5"/>
  <c r="B18" i="5"/>
  <c r="B19" i="5"/>
  <c r="B20" i="5"/>
  <c r="B21" i="5"/>
  <c r="B22" i="5"/>
  <c r="B17" i="5"/>
  <c r="C22" i="5"/>
  <c r="C21" i="5"/>
  <c r="C19" i="5"/>
  <c r="C20" i="5"/>
  <c r="C18" i="5"/>
  <c r="C17" i="5"/>
  <c r="D19" i="5"/>
  <c r="D18" i="5"/>
  <c r="D20" i="5"/>
  <c r="D21" i="5"/>
  <c r="D22" i="5"/>
  <c r="D17" i="5"/>
  <c r="A16" i="5"/>
  <c r="A9" i="5"/>
  <c r="D11" i="5"/>
  <c r="D12" i="5"/>
  <c r="D13" i="5"/>
  <c r="D14" i="5"/>
  <c r="D15" i="5"/>
  <c r="D10" i="5"/>
  <c r="B11" i="5"/>
  <c r="B12" i="5"/>
  <c r="B13" i="5"/>
  <c r="B14" i="5"/>
  <c r="B15" i="5"/>
  <c r="B10" i="5"/>
  <c r="C14" i="5"/>
  <c r="C13" i="5"/>
  <c r="C15" i="5"/>
  <c r="C12" i="5"/>
  <c r="C11" i="5"/>
  <c r="C10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60" i="4"/>
  <c r="D59" i="4"/>
  <c r="D54" i="4"/>
  <c r="D53" i="4"/>
  <c r="D52" i="4"/>
  <c r="D51" i="4"/>
  <c r="D50" i="4"/>
  <c r="D49" i="4"/>
  <c r="D48" i="4"/>
  <c r="D47" i="4"/>
  <c r="D46" i="4"/>
  <c r="D45" i="4"/>
  <c r="D44" i="4"/>
  <c r="D43" i="4"/>
  <c r="D8" i="2"/>
  <c r="D10" i="2"/>
  <c r="D5" i="2"/>
  <c r="D9" i="2"/>
  <c r="H61" i="2"/>
  <c r="A56" i="2"/>
  <c r="A52" i="2"/>
  <c r="H25" i="2"/>
  <c r="H55" i="2"/>
  <c r="A43" i="6"/>
  <c r="H60" i="2"/>
  <c r="A55" i="2"/>
  <c r="H29" i="2"/>
  <c r="K51" i="2"/>
  <c r="K20" i="2"/>
  <c r="H59" i="2"/>
  <c r="A54" i="2"/>
  <c r="H28" i="2"/>
  <c r="J51" i="2"/>
  <c r="H53" i="2"/>
  <c r="J20" i="2"/>
  <c r="A57" i="2"/>
  <c r="A53" i="2"/>
  <c r="H26" i="2"/>
  <c r="H56" i="2"/>
  <c r="H52" i="2"/>
  <c r="A47" i="6"/>
  <c r="H54" i="2"/>
  <c r="H23" i="2"/>
  <c r="A20" i="2"/>
  <c r="A24" i="2"/>
  <c r="A42" i="2"/>
  <c r="A37" i="2"/>
  <c r="A34" i="2"/>
  <c r="A31" i="2"/>
  <c r="D19" i="2"/>
  <c r="A27" i="2"/>
  <c r="A18" i="2"/>
  <c r="D29" i="2"/>
  <c r="D34" i="2"/>
  <c r="D27" i="2"/>
  <c r="A17" i="2"/>
  <c r="A23" i="2"/>
  <c r="D33" i="2"/>
  <c r="A38" i="2"/>
  <c r="A35" i="2"/>
  <c r="D26" i="2"/>
  <c r="A16" i="2"/>
  <c r="H22" i="2"/>
  <c r="A21" i="2"/>
  <c r="A41" i="2"/>
  <c r="A45" i="2"/>
  <c r="A40" i="2"/>
  <c r="A36" i="2"/>
  <c r="A33" i="2"/>
  <c r="D28" i="2"/>
  <c r="D25" i="2"/>
  <c r="A26" i="2"/>
  <c r="D17" i="2"/>
  <c r="H21" i="2"/>
  <c r="A22" i="2"/>
  <c r="A44" i="2"/>
  <c r="A39" i="2"/>
  <c r="D32" i="2"/>
  <c r="D18" i="2"/>
  <c r="A25" i="2"/>
  <c r="H19" i="2"/>
  <c r="A29" i="2"/>
  <c r="A43" i="2"/>
  <c r="A32" i="2"/>
  <c r="A28" i="2"/>
  <c r="A19" i="2"/>
  <c r="A42" i="6"/>
  <c r="A52" i="6"/>
  <c r="A55" i="6"/>
  <c r="A20" i="6"/>
  <c r="A17" i="6"/>
  <c r="A39" i="6"/>
  <c r="A35" i="6"/>
  <c r="A27" i="6"/>
  <c r="A38" i="6"/>
  <c r="A34" i="6"/>
  <c r="A26" i="6"/>
  <c r="A18" i="6"/>
  <c r="A33" i="6"/>
  <c r="A25" i="6"/>
  <c r="A13" i="6"/>
  <c r="A5" i="6"/>
  <c r="A4" i="6"/>
  <c r="A6" i="6"/>
  <c r="A25" i="5"/>
  <c r="A27" i="5"/>
  <c r="A26" i="5"/>
  <c r="A19" i="5"/>
  <c r="A39" i="5"/>
  <c r="A38" i="5"/>
  <c r="A54" i="5"/>
  <c r="A46" i="5"/>
  <c r="A31" i="5"/>
  <c r="A41" i="5"/>
  <c r="A47" i="5"/>
  <c r="A24" i="5"/>
  <c r="A42" i="5"/>
  <c r="A50" i="5"/>
  <c r="A51" i="5"/>
  <c r="A52" i="5"/>
  <c r="A14" i="5"/>
  <c r="A33" i="5"/>
  <c r="A43" i="5"/>
  <c r="A53" i="5"/>
  <c r="A49" i="5"/>
  <c r="A48" i="5"/>
  <c r="A45" i="5"/>
  <c r="A44" i="5"/>
  <c r="A40" i="5"/>
  <c r="A37" i="5"/>
  <c r="A36" i="5"/>
  <c r="A35" i="5"/>
  <c r="A34" i="5"/>
  <c r="A13" i="5"/>
  <c r="A32" i="5"/>
  <c r="A30" i="5"/>
  <c r="A22" i="5"/>
  <c r="A8" i="5"/>
  <c r="A10" i="5"/>
  <c r="A12" i="5"/>
  <c r="A21" i="5"/>
  <c r="A17" i="5"/>
  <c r="A18" i="5"/>
  <c r="A15" i="5"/>
  <c r="A11" i="5"/>
  <c r="A20" i="5"/>
  <c r="A29" i="5"/>
  <c r="B43" i="4"/>
  <c r="B46" i="4"/>
  <c r="B47" i="4"/>
  <c r="B53" i="4"/>
  <c r="B48" i="4"/>
  <c r="B54" i="4"/>
  <c r="B49" i="4"/>
  <c r="B44" i="4"/>
  <c r="B50" i="4"/>
  <c r="B59" i="4"/>
  <c r="B51" i="4"/>
  <c r="B45" i="4"/>
  <c r="B60" i="4"/>
  <c r="B52" i="4"/>
  <c r="C22" i="4"/>
  <c r="E22" i="4"/>
  <c r="C33" i="4"/>
  <c r="E33" i="4"/>
  <c r="C17" i="4"/>
  <c r="E17" i="4"/>
  <c r="F26" i="2"/>
  <c r="C24" i="4"/>
  <c r="E24" i="4"/>
  <c r="C8" i="4"/>
  <c r="E8" i="4"/>
  <c r="C20" i="2"/>
  <c r="C19" i="4"/>
  <c r="E19" i="4"/>
  <c r="F28" i="2"/>
  <c r="C13" i="4"/>
  <c r="E13" i="4"/>
  <c r="C26" i="2"/>
  <c r="C34" i="4"/>
  <c r="E34" i="4"/>
  <c r="C28" i="4"/>
  <c r="E28" i="4"/>
  <c r="C11" i="4"/>
  <c r="E11" i="4"/>
  <c r="C23" i="2"/>
  <c r="C25" i="4"/>
  <c r="E25" i="4"/>
  <c r="C31" i="4"/>
  <c r="E31" i="4"/>
  <c r="K22" i="2"/>
  <c r="C14" i="4"/>
  <c r="E14" i="4"/>
  <c r="C27" i="2"/>
  <c r="C23" i="4"/>
  <c r="E23" i="4"/>
  <c r="C10" i="4"/>
  <c r="E10" i="4"/>
  <c r="C22" i="2"/>
  <c r="C16" i="4"/>
  <c r="E16" i="4"/>
  <c r="F19" i="2"/>
  <c r="C30" i="4"/>
  <c r="E30" i="4"/>
  <c r="K21" i="2"/>
  <c r="C9" i="4"/>
  <c r="E9" i="4"/>
  <c r="C21" i="2"/>
  <c r="C12" i="4"/>
  <c r="E12" i="4"/>
  <c r="C24" i="2"/>
  <c r="C26" i="4"/>
  <c r="E26" i="4"/>
  <c r="C32" i="4"/>
  <c r="E32" i="4"/>
  <c r="K23" i="2"/>
  <c r="C15" i="4"/>
  <c r="E15" i="4"/>
  <c r="C28" i="2"/>
  <c r="C29" i="4"/>
  <c r="E29" i="4"/>
  <c r="C18" i="4"/>
  <c r="E18" i="4"/>
  <c r="F27" i="2"/>
  <c r="C7" i="4"/>
  <c r="E7" i="4"/>
  <c r="C19" i="2"/>
  <c r="C21" i="4"/>
  <c r="E21" i="4"/>
  <c r="C27" i="4"/>
  <c r="E27" i="4"/>
  <c r="C20" i="4"/>
  <c r="E20" i="4"/>
  <c r="J29" i="2"/>
  <c r="H136" i="7"/>
  <c r="F136" i="7"/>
  <c r="E136" i="7"/>
  <c r="G136" i="7"/>
  <c r="J26" i="2"/>
  <c r="G131" i="7"/>
  <c r="H131" i="7"/>
  <c r="E131" i="7"/>
  <c r="D131" i="7"/>
  <c r="F131" i="7"/>
  <c r="F34" i="2"/>
  <c r="C38" i="2"/>
  <c r="J21" i="2"/>
  <c r="C45" i="2"/>
  <c r="C35" i="2"/>
  <c r="C37" i="2"/>
  <c r="C34" i="2"/>
  <c r="J23" i="2"/>
  <c r="J22" i="2"/>
  <c r="C36" i="2"/>
  <c r="K54" i="2"/>
  <c r="K56" i="2"/>
  <c r="K55" i="2"/>
  <c r="K52" i="2"/>
  <c r="C41" i="2"/>
  <c r="C43" i="2"/>
  <c r="F29" i="2"/>
  <c r="C29" i="2"/>
  <c r="C42" i="2"/>
  <c r="E6" i="2"/>
  <c r="E10" i="2"/>
  <c r="E5" i="2"/>
  <c r="G71" i="4"/>
  <c r="G72" i="4"/>
  <c r="C72" i="4"/>
  <c r="E9" i="2"/>
  <c r="F72" i="4"/>
  <c r="F71" i="4"/>
  <c r="E7" i="2"/>
  <c r="C71" i="4"/>
  <c r="E8" i="2"/>
  <c r="E72" i="4"/>
  <c r="E71" i="4"/>
  <c r="B64" i="4"/>
  <c r="B12" i="2"/>
  <c r="B63" i="4"/>
  <c r="B11" i="2"/>
  <c r="B62" i="4"/>
  <c r="B10" i="2"/>
  <c r="G9" i="2"/>
  <c r="G10" i="2"/>
  <c r="F8" i="2"/>
  <c r="G7" i="2"/>
  <c r="G6" i="2"/>
  <c r="G8" i="2"/>
  <c r="F7" i="2"/>
  <c r="F9" i="2"/>
  <c r="F6" i="2"/>
  <c r="F10" i="2"/>
  <c r="F5" i="2"/>
  <c r="G5" i="2"/>
  <c r="C4" i="7"/>
  <c r="C171" i="7"/>
  <c r="C175" i="7"/>
  <c r="C172" i="7"/>
  <c r="C180" i="7"/>
  <c r="C179" i="7"/>
  <c r="C176" i="7"/>
  <c r="F88" i="7"/>
  <c r="J17" i="2"/>
  <c r="H88" i="7"/>
  <c r="E88" i="7"/>
  <c r="D88" i="7"/>
  <c r="G88" i="7"/>
  <c r="J54" i="2"/>
  <c r="J56" i="2"/>
  <c r="J55" i="2"/>
  <c r="J53" i="2"/>
  <c r="J52" i="2"/>
  <c r="K53" i="2"/>
  <c r="H71" i="4"/>
  <c r="S71" i="4"/>
  <c r="H72" i="4"/>
  <c r="D171" i="7"/>
  <c r="D183" i="7"/>
  <c r="H171" i="7"/>
  <c r="I59" i="2"/>
  <c r="F171" i="7"/>
  <c r="G171" i="7"/>
  <c r="E171" i="7"/>
  <c r="E55" i="2"/>
  <c r="G132" i="7"/>
  <c r="B54" i="2"/>
  <c r="I60" i="2"/>
  <c r="I61" i="2"/>
  <c r="B52" i="2"/>
  <c r="Q71" i="4"/>
  <c r="R71" i="4"/>
  <c r="P71" i="4"/>
  <c r="T71" i="4"/>
  <c r="T72" i="4"/>
  <c r="R72" i="4"/>
  <c r="Q72" i="4"/>
  <c r="S72" i="4"/>
  <c r="P72" i="4"/>
  <c r="G183" i="7"/>
  <c r="D195" i="7"/>
  <c r="J11" i="2"/>
  <c r="D192" i="7"/>
  <c r="J6" i="2"/>
  <c r="F183" i="7"/>
  <c r="H183" i="7"/>
  <c r="E183" i="7"/>
  <c r="I171" i="7"/>
  <c r="H172" i="7"/>
  <c r="E172" i="7"/>
  <c r="F172" i="7"/>
  <c r="G172" i="7"/>
  <c r="D172" i="7"/>
  <c r="D55" i="2"/>
  <c r="F132" i="7"/>
  <c r="F55" i="2"/>
  <c r="H132" i="7"/>
  <c r="B55" i="2"/>
  <c r="D132" i="7"/>
  <c r="C55" i="2"/>
  <c r="E132" i="7"/>
  <c r="D54" i="2"/>
  <c r="F54" i="2"/>
  <c r="C54" i="2"/>
  <c r="E54" i="2"/>
  <c r="B53" i="2"/>
  <c r="C53" i="2"/>
  <c r="F53" i="2"/>
  <c r="D53" i="2"/>
  <c r="E53" i="2"/>
  <c r="B57" i="2"/>
  <c r="D56" i="2"/>
  <c r="F89" i="7"/>
  <c r="F90" i="7"/>
  <c r="C57" i="2"/>
  <c r="C52" i="2"/>
  <c r="B56" i="2"/>
  <c r="D89" i="7"/>
  <c r="D90" i="7"/>
  <c r="F56" i="2"/>
  <c r="H89" i="7"/>
  <c r="H90" i="7"/>
  <c r="D57" i="2"/>
  <c r="F52" i="2"/>
  <c r="E56" i="2"/>
  <c r="G89" i="7"/>
  <c r="G90" i="7"/>
  <c r="D52" i="2"/>
  <c r="C56" i="2"/>
  <c r="E89" i="7"/>
  <c r="E90" i="7"/>
  <c r="F57" i="2"/>
  <c r="E57" i="2"/>
  <c r="E52" i="2"/>
  <c r="E192" i="7"/>
  <c r="E195" i="7"/>
  <c r="F192" i="7"/>
  <c r="F195" i="7"/>
  <c r="I172" i="7"/>
  <c r="G144" i="7"/>
  <c r="E143" i="7"/>
  <c r="G143" i="7"/>
  <c r="F144" i="7"/>
  <c r="D143" i="7"/>
  <c r="D159" i="7"/>
  <c r="E144" i="7"/>
  <c r="D144" i="7"/>
  <c r="D160" i="7"/>
  <c r="H144" i="7"/>
  <c r="H143" i="7"/>
  <c r="F143" i="7"/>
  <c r="I156" i="7"/>
  <c r="D156" i="7"/>
  <c r="D147" i="7"/>
  <c r="D163" i="7"/>
  <c r="H5" i="2"/>
  <c r="F147" i="7"/>
  <c r="F163" i="7"/>
  <c r="F156" i="7"/>
  <c r="H151" i="7"/>
  <c r="H167" i="7"/>
  <c r="H160" i="7"/>
  <c r="F151" i="7"/>
  <c r="F167" i="7"/>
  <c r="F160" i="7"/>
  <c r="H147" i="7"/>
  <c r="H163" i="7"/>
  <c r="H156" i="7"/>
  <c r="G147" i="7"/>
  <c r="G163" i="7"/>
  <c r="G156" i="7"/>
  <c r="H150" i="7"/>
  <c r="H166" i="7"/>
  <c r="H159" i="7"/>
  <c r="G150" i="7"/>
  <c r="G166" i="7"/>
  <c r="G159" i="7"/>
  <c r="G151" i="7"/>
  <c r="G167" i="7"/>
  <c r="G160" i="7"/>
  <c r="E147" i="7"/>
  <c r="E163" i="7"/>
  <c r="E156" i="7"/>
  <c r="F150" i="7"/>
  <c r="F166" i="7"/>
  <c r="F159" i="7"/>
  <c r="E151" i="7"/>
  <c r="E167" i="7"/>
  <c r="E160" i="7"/>
  <c r="E150" i="7"/>
  <c r="E166" i="7"/>
  <c r="E159" i="7"/>
  <c r="I144" i="7"/>
  <c r="I160" i="7"/>
  <c r="I143" i="7"/>
  <c r="I159" i="7"/>
  <c r="D151" i="7"/>
  <c r="D167" i="7"/>
  <c r="H10" i="2"/>
  <c r="D150" i="7"/>
  <c r="D166" i="7"/>
  <c r="H9" i="2"/>
  <c r="D126" i="7"/>
  <c r="I147" i="7"/>
  <c r="I163" i="7"/>
  <c r="I5" i="2"/>
  <c r="I151" i="7"/>
  <c r="I167" i="7"/>
  <c r="I10" i="2"/>
  <c r="I150" i="7"/>
  <c r="I166" i="7"/>
  <c r="I9" i="2"/>
  <c r="D107" i="7"/>
  <c r="E126" i="7"/>
  <c r="H50" i="7"/>
  <c r="H40" i="7"/>
  <c r="F126" i="7"/>
  <c r="E107" i="7"/>
  <c r="F107" i="7"/>
  <c r="G126" i="7"/>
  <c r="D175" i="7"/>
  <c r="G107" i="7"/>
  <c r="H126" i="7"/>
  <c r="D186" i="7"/>
  <c r="E175" i="7"/>
  <c r="H107" i="7"/>
  <c r="E186" i="7"/>
  <c r="D127" i="7"/>
  <c r="F175" i="7"/>
  <c r="F186" i="7"/>
  <c r="D130" i="7"/>
  <c r="D133" i="7"/>
  <c r="D142" i="7"/>
  <c r="D158" i="7"/>
  <c r="D157" i="7"/>
  <c r="E148" i="7"/>
  <c r="E127" i="7"/>
  <c r="G175" i="7"/>
  <c r="G186" i="7"/>
  <c r="G192" i="7"/>
  <c r="E164" i="7"/>
  <c r="E176" i="7"/>
  <c r="D149" i="7"/>
  <c r="D145" i="7"/>
  <c r="D179" i="7"/>
  <c r="E157" i="7"/>
  <c r="D148" i="7"/>
  <c r="F157" i="7"/>
  <c r="E130" i="7"/>
  <c r="E133" i="7"/>
  <c r="E142" i="7"/>
  <c r="E149" i="7"/>
  <c r="E165" i="7"/>
  <c r="H175" i="7"/>
  <c r="H186" i="7"/>
  <c r="H192" i="7"/>
  <c r="K6" i="2"/>
  <c r="D189" i="7"/>
  <c r="D164" i="7"/>
  <c r="H6" i="2"/>
  <c r="D176" i="7"/>
  <c r="D165" i="7"/>
  <c r="H8" i="2"/>
  <c r="D161" i="7"/>
  <c r="D152" i="7"/>
  <c r="G148" i="7"/>
  <c r="G157" i="7"/>
  <c r="F130" i="7"/>
  <c r="F133" i="7"/>
  <c r="F142" i="7"/>
  <c r="F145" i="7"/>
  <c r="E158" i="7"/>
  <c r="E152" i="7"/>
  <c r="E145" i="7"/>
  <c r="G127" i="7"/>
  <c r="F148" i="7"/>
  <c r="F164" i="7"/>
  <c r="F176" i="7"/>
  <c r="G164" i="7"/>
  <c r="G176" i="7"/>
  <c r="E161" i="7"/>
  <c r="E179" i="7"/>
  <c r="E168" i="7"/>
  <c r="E180" i="7"/>
  <c r="F161" i="7"/>
  <c r="F179" i="7"/>
  <c r="D168" i="7"/>
  <c r="H11" i="2"/>
  <c r="D180" i="7"/>
  <c r="F127" i="7"/>
  <c r="I141" i="7"/>
  <c r="I157" i="7"/>
  <c r="H127" i="7"/>
  <c r="F149" i="7"/>
  <c r="F158" i="7"/>
  <c r="G130" i="7"/>
  <c r="G133" i="7"/>
  <c r="G142" i="7"/>
  <c r="G158" i="7"/>
  <c r="E189" i="7"/>
  <c r="F189" i="7"/>
  <c r="H157" i="7"/>
  <c r="H130" i="7"/>
  <c r="H133" i="7"/>
  <c r="H142" i="7"/>
  <c r="H158" i="7"/>
  <c r="H148" i="7"/>
  <c r="G149" i="7"/>
  <c r="G165" i="7"/>
  <c r="G145" i="7"/>
  <c r="F165" i="7"/>
  <c r="F152" i="7"/>
  <c r="H164" i="7"/>
  <c r="H176" i="7"/>
  <c r="F168" i="7"/>
  <c r="F180" i="7"/>
  <c r="G161" i="7"/>
  <c r="G179" i="7"/>
  <c r="G152" i="7"/>
  <c r="H149" i="7"/>
  <c r="H165" i="7"/>
  <c r="H145" i="7"/>
  <c r="I175" i="7"/>
  <c r="I148" i="7"/>
  <c r="I164" i="7"/>
  <c r="I142" i="7"/>
  <c r="I158" i="7"/>
  <c r="G189" i="7"/>
  <c r="G195" i="7"/>
  <c r="I6" i="2"/>
  <c r="H161" i="7"/>
  <c r="H179" i="7"/>
  <c r="H189" i="7"/>
  <c r="G168" i="7"/>
  <c r="G180" i="7"/>
  <c r="I149" i="7"/>
  <c r="I165" i="7"/>
  <c r="H152" i="7"/>
  <c r="I145" i="7"/>
  <c r="I161" i="7"/>
  <c r="H195" i="7"/>
  <c r="K11" i="2"/>
  <c r="I8" i="2"/>
  <c r="I179" i="7"/>
  <c r="H168" i="7"/>
  <c r="H180" i="7"/>
  <c r="I180" i="7"/>
  <c r="I152" i="7"/>
  <c r="I168" i="7"/>
  <c r="I11" i="2"/>
  <c r="I176" i="7"/>
</calcChain>
</file>

<file path=xl/sharedStrings.xml><?xml version="1.0" encoding="utf-8"?>
<sst xmlns="http://schemas.openxmlformats.org/spreadsheetml/2006/main" count="828" uniqueCount="327">
  <si>
    <t>BEN</t>
  </si>
  <si>
    <t>Bénin</t>
  </si>
  <si>
    <t>BFA</t>
  </si>
  <si>
    <t>Burkina Faso</t>
  </si>
  <si>
    <t>CMR</t>
  </si>
  <si>
    <t>Cameroun</t>
  </si>
  <si>
    <t>COG</t>
  </si>
  <si>
    <t>CIV</t>
  </si>
  <si>
    <t>Côte d'Ivoire</t>
  </si>
  <si>
    <t>GAB</t>
  </si>
  <si>
    <t>Gabon</t>
  </si>
  <si>
    <t>GNB</t>
  </si>
  <si>
    <t>Guinée Bissao</t>
  </si>
  <si>
    <t>GNQ</t>
  </si>
  <si>
    <t>Guinée équatoriale</t>
  </si>
  <si>
    <t>MLI</t>
  </si>
  <si>
    <t>Mali</t>
  </si>
  <si>
    <t>NER</t>
  </si>
  <si>
    <t>Niger</t>
  </si>
  <si>
    <t>CAF</t>
  </si>
  <si>
    <t>République centrafricaine</t>
  </si>
  <si>
    <t>SEN</t>
  </si>
  <si>
    <t>Sénégal</t>
  </si>
  <si>
    <t>TCD</t>
  </si>
  <si>
    <t>Tchad</t>
  </si>
  <si>
    <t>TGO</t>
  </si>
  <si>
    <t>Togo</t>
  </si>
  <si>
    <t>République du Congo</t>
  </si>
  <si>
    <t>_BEN</t>
  </si>
  <si>
    <t>_BFA</t>
  </si>
  <si>
    <t>_CMR</t>
  </si>
  <si>
    <t>_CAF</t>
  </si>
  <si>
    <t>_COG</t>
  </si>
  <si>
    <t>_CIV</t>
  </si>
  <si>
    <t>_GAB</t>
  </si>
  <si>
    <t>_GNB</t>
  </si>
  <si>
    <t>_GNQ</t>
  </si>
  <si>
    <t>_MLI</t>
  </si>
  <si>
    <t>_NER</t>
  </si>
  <si>
    <t>_SEN</t>
  </si>
  <si>
    <t>_TCD</t>
  </si>
  <si>
    <t>_TGO</t>
  </si>
  <si>
    <t>Général</t>
  </si>
  <si>
    <t>Investissements</t>
  </si>
  <si>
    <t>Régime général</t>
  </si>
  <si>
    <t>Régime des investissements</t>
  </si>
  <si>
    <t>_Gen</t>
  </si>
  <si>
    <t>_Inv</t>
  </si>
  <si>
    <t>Pays</t>
  </si>
  <si>
    <t>_Pays</t>
  </si>
  <si>
    <t>Régime</t>
  </si>
  <si>
    <t>_Regime</t>
  </si>
  <si>
    <t>_Impot</t>
  </si>
  <si>
    <t>Impôt</t>
  </si>
  <si>
    <t>CFE</t>
  </si>
  <si>
    <t>Contributions forfaitaires employeurs</t>
  </si>
  <si>
    <t>_CFE</t>
  </si>
  <si>
    <t>IS</t>
  </si>
  <si>
    <t>IMF</t>
  </si>
  <si>
    <t>IRVM</t>
  </si>
  <si>
    <t>IRC</t>
  </si>
  <si>
    <t>TVA pétrole</t>
  </si>
  <si>
    <t>Impôt sur les sociétés</t>
  </si>
  <si>
    <t>Impôt sur le revenu des valeurs mobilières</t>
  </si>
  <si>
    <t>Impôt sur le revenu des créances</t>
  </si>
  <si>
    <t>Taxe sur la valeur ajoutée des produits pétroliers</t>
  </si>
  <si>
    <t>_IS</t>
  </si>
  <si>
    <t>_IMF</t>
  </si>
  <si>
    <t>_IRVM</t>
  </si>
  <si>
    <t>_IRC</t>
  </si>
  <si>
    <t>_Amortissement</t>
  </si>
  <si>
    <t>Amortissement</t>
  </si>
  <si>
    <t>Constructions</t>
  </si>
  <si>
    <t>Equipement</t>
  </si>
  <si>
    <t>Camion</t>
  </si>
  <si>
    <t>Bureau</t>
  </si>
  <si>
    <t>Informatique</t>
  </si>
  <si>
    <t>Amortissement des constructions</t>
  </si>
  <si>
    <t>Amortissement des biens d'équipement</t>
  </si>
  <si>
    <t>Amortissement des camions</t>
  </si>
  <si>
    <t>Amortissement du matériel informatique</t>
  </si>
  <si>
    <t>Amortissement du matériel de bureau</t>
  </si>
  <si>
    <t>_Constructions</t>
  </si>
  <si>
    <t>_Equipement</t>
  </si>
  <si>
    <t>_Camion</t>
  </si>
  <si>
    <t>_Informatique</t>
  </si>
  <si>
    <t>_Bureau</t>
  </si>
  <si>
    <t>_Information</t>
  </si>
  <si>
    <t>Information</t>
  </si>
  <si>
    <t>Taux</t>
  </si>
  <si>
    <t>Durée linéaire</t>
  </si>
  <si>
    <t>Durée d'amortissement linéaire</t>
  </si>
  <si>
    <t>Coefficient d'amortissement dégressif</t>
  </si>
  <si>
    <t>_DureeLineaire</t>
  </si>
  <si>
    <t>_CoefDegressif</t>
  </si>
  <si>
    <t>_Taux</t>
  </si>
  <si>
    <t>_TVApetrole</t>
  </si>
  <si>
    <t>Réduction/Exo</t>
  </si>
  <si>
    <t>Réduction/Exonération</t>
  </si>
  <si>
    <t>_ReducExo</t>
  </si>
  <si>
    <t>Durée</t>
  </si>
  <si>
    <t>_Duree</t>
  </si>
  <si>
    <t>_Zone</t>
  </si>
  <si>
    <t>Zone</t>
  </si>
  <si>
    <t>Régime A</t>
  </si>
  <si>
    <t>Zone 1</t>
  </si>
  <si>
    <t>Taux d'amortissement exceptionnel</t>
  </si>
  <si>
    <t>Coef dégressif</t>
  </si>
  <si>
    <t>Taux exceptionnel</t>
  </si>
  <si>
    <t>_TauxExceptionnel</t>
  </si>
  <si>
    <t>Zone normale</t>
  </si>
  <si>
    <t>Limitation</t>
  </si>
  <si>
    <t>_Limitation</t>
  </si>
  <si>
    <t>Catégorie A</t>
  </si>
  <si>
    <t>Zone unique</t>
  </si>
  <si>
    <t>Charte des investissements</t>
  </si>
  <si>
    <t>Régime général G</t>
  </si>
  <si>
    <t>Régime d'agrément (PME)</t>
  </si>
  <si>
    <t>Zone A</t>
  </si>
  <si>
    <t>Promotion des PME et PMI</t>
  </si>
  <si>
    <t>Régime promotionnel</t>
  </si>
  <si>
    <t>_Texte</t>
  </si>
  <si>
    <t>Texte</t>
  </si>
  <si>
    <t>Code des investissements</t>
  </si>
  <si>
    <t>Incitations à l'investissement privé</t>
  </si>
  <si>
    <t>Régime unique</t>
  </si>
  <si>
    <t>Régime normal</t>
  </si>
  <si>
    <t>Code Général des Impôts</t>
  </si>
  <si>
    <t>Régime de déclaration</t>
  </si>
  <si>
    <t>Impôt minimum forfaitaire</t>
  </si>
  <si>
    <t>Colonne</t>
  </si>
  <si>
    <t>_Colonne</t>
  </si>
  <si>
    <t>_Error</t>
  </si>
  <si>
    <t>Erreur</t>
  </si>
  <si>
    <t>_PIBtete</t>
  </si>
  <si>
    <t>_PNBtete</t>
  </si>
  <si>
    <t>PIB/tête</t>
  </si>
  <si>
    <t>PNB/tête</t>
  </si>
  <si>
    <t>_PIBPNB</t>
  </si>
  <si>
    <t>PIB/PNB</t>
  </si>
  <si>
    <t>_Auto</t>
  </si>
  <si>
    <t>Automatique</t>
  </si>
  <si>
    <t>_Simul</t>
  </si>
  <si>
    <t>Simulation</t>
  </si>
  <si>
    <t>_Select</t>
  </si>
  <si>
    <t>Sélection</t>
  </si>
  <si>
    <t>_Donnee</t>
  </si>
  <si>
    <t>Données</t>
  </si>
  <si>
    <t>_Terrain</t>
  </si>
  <si>
    <t>Terrain</t>
  </si>
  <si>
    <t>Matériel informatique</t>
  </si>
  <si>
    <t>Matériel de bureau</t>
  </si>
  <si>
    <t>Créances clients</t>
  </si>
  <si>
    <t>Disponibilités bancaires</t>
  </si>
  <si>
    <t>_CreancesClients</t>
  </si>
  <si>
    <t>_DisponibilitesBancaires</t>
  </si>
  <si>
    <t>_Stocks</t>
  </si>
  <si>
    <t>Stocks</t>
  </si>
  <si>
    <t>_CapitalSocial</t>
  </si>
  <si>
    <t>_DettesLT</t>
  </si>
  <si>
    <t>_DettesCT</t>
  </si>
  <si>
    <t>_DettesFournisseurs</t>
  </si>
  <si>
    <t>Dettes à long terme</t>
  </si>
  <si>
    <t>Dettes à court terme</t>
  </si>
  <si>
    <t>Dettes fournisseurs</t>
  </si>
  <si>
    <t>Capital social</t>
  </si>
  <si>
    <t>_Achats</t>
  </si>
  <si>
    <t>Achats</t>
  </si>
  <si>
    <t>_Petrole</t>
  </si>
  <si>
    <t>_DepensesAdministratives</t>
  </si>
  <si>
    <t>_DepensesPublicitaires</t>
  </si>
  <si>
    <t>_DepensesDEntretien</t>
  </si>
  <si>
    <t>_Ventes</t>
  </si>
  <si>
    <t>Ventes</t>
  </si>
  <si>
    <t>Pétrole</t>
  </si>
  <si>
    <t>Dépenses administratives</t>
  </si>
  <si>
    <t>Dépenses publicitaires</t>
  </si>
  <si>
    <t>Dépenses d'entretien</t>
  </si>
  <si>
    <t>_ChargesFinancieres</t>
  </si>
  <si>
    <t>Charges financières</t>
  </si>
  <si>
    <t>_Bilan</t>
  </si>
  <si>
    <t>Bilan</t>
  </si>
  <si>
    <t>Bilan à l'ouverture</t>
  </si>
  <si>
    <t>_Actif</t>
  </si>
  <si>
    <t>Actif</t>
  </si>
  <si>
    <t>_ActifImmo</t>
  </si>
  <si>
    <t>Actif immobilisé</t>
  </si>
  <si>
    <t>_ActifCirculant</t>
  </si>
  <si>
    <t>Actif circulant</t>
  </si>
  <si>
    <t>_CapitauxPropres</t>
  </si>
  <si>
    <t>Capitaux propres</t>
  </si>
  <si>
    <t>_Dettes</t>
  </si>
  <si>
    <t>Dettes</t>
  </si>
  <si>
    <t>Compte de résultat</t>
  </si>
  <si>
    <t>_Charges</t>
  </si>
  <si>
    <t>Charges</t>
  </si>
  <si>
    <t>_Produits</t>
  </si>
  <si>
    <t>Produits</t>
  </si>
  <si>
    <t>_AchatsBetS</t>
  </si>
  <si>
    <t>Achats de B et S</t>
  </si>
  <si>
    <t>Achats de biens et services</t>
  </si>
  <si>
    <t>_ImpotsEtTaxes</t>
  </si>
  <si>
    <t>_CompteDeResultat</t>
  </si>
  <si>
    <t>Impôts et taxes</t>
  </si>
  <si>
    <t>_MasseSalariale</t>
  </si>
  <si>
    <t>Masse salariale</t>
  </si>
  <si>
    <t>_Cadres</t>
  </si>
  <si>
    <t>_Secretaires</t>
  </si>
  <si>
    <t>_Ouvriers</t>
  </si>
  <si>
    <t>Secrétaires</t>
  </si>
  <si>
    <t>Cadres</t>
  </si>
  <si>
    <t>Ouvriers</t>
  </si>
  <si>
    <t>_Nombre_Cadres</t>
  </si>
  <si>
    <t>_Nombre_Secretaires</t>
  </si>
  <si>
    <t>_Nombre_Ouvriers</t>
  </si>
  <si>
    <t>_Indice_Cadres</t>
  </si>
  <si>
    <t>_Indice_Secretaires</t>
  </si>
  <si>
    <t>_Indice_Ouvriers</t>
  </si>
  <si>
    <t>Nombre de cadres</t>
  </si>
  <si>
    <t>Nombre de secrétaires</t>
  </si>
  <si>
    <t>Nombre d'ouvriers</t>
  </si>
  <si>
    <t>Indice salarial des secrétaires</t>
  </si>
  <si>
    <t>Indice salarial des cadres</t>
  </si>
  <si>
    <t>Indice salarial des ouvriers</t>
  </si>
  <si>
    <t>_DividendesDistribues</t>
  </si>
  <si>
    <t>Distribution annuelle</t>
  </si>
  <si>
    <t>_TauxDActualisation</t>
  </si>
  <si>
    <t>Taux d'actualisation</t>
  </si>
  <si>
    <t>_Djankov</t>
  </si>
  <si>
    <t>Djankov</t>
  </si>
  <si>
    <t>_Passif</t>
  </si>
  <si>
    <t>Passif</t>
  </si>
  <si>
    <t>_Salaries</t>
  </si>
  <si>
    <t>Salariés</t>
  </si>
  <si>
    <t>_Dividendes</t>
  </si>
  <si>
    <t>_Actualisation</t>
  </si>
  <si>
    <t>Dividendes</t>
  </si>
  <si>
    <t>Actualisation</t>
  </si>
  <si>
    <t>_ZoneFranc</t>
  </si>
  <si>
    <t>Zone Franc</t>
  </si>
  <si>
    <t>Paramètres</t>
  </si>
  <si>
    <t>Données économiques</t>
  </si>
  <si>
    <t>_Nombre</t>
  </si>
  <si>
    <t>_Indice</t>
  </si>
  <si>
    <t>Nombre</t>
  </si>
  <si>
    <t>Indice salarial</t>
  </si>
  <si>
    <t>Amortissement exceptionnel</t>
  </si>
  <si>
    <t>Données fiscales</t>
  </si>
  <si>
    <t>de l'investissement</t>
  </si>
  <si>
    <t>PIB ou PNB</t>
  </si>
  <si>
    <t>des bénéfices annuels</t>
  </si>
  <si>
    <t>FCFA</t>
  </si>
  <si>
    <t>des bénéfices</t>
  </si>
  <si>
    <t>Dénomination</t>
  </si>
  <si>
    <t>Unité</t>
  </si>
  <si>
    <t>INVESTISSEMENT</t>
  </si>
  <si>
    <t>Investissement</t>
  </si>
  <si>
    <t>AMORTISSEMENT</t>
  </si>
  <si>
    <t>Equipements</t>
  </si>
  <si>
    <t>Années</t>
  </si>
  <si>
    <t>Coef</t>
  </si>
  <si>
    <t>Durée restante</t>
  </si>
  <si>
    <t>Base amortissable</t>
  </si>
  <si>
    <t>Taux linéaire</t>
  </si>
  <si>
    <t>%</t>
  </si>
  <si>
    <t>Taux dégressif</t>
  </si>
  <si>
    <t>Charge d'amortissement</t>
  </si>
  <si>
    <t>Total</t>
  </si>
  <si>
    <t>TAXE SUR LA VALEUR AJOUTEE pétrole</t>
  </si>
  <si>
    <t>%pétrole</t>
  </si>
  <si>
    <t>%investissement</t>
  </si>
  <si>
    <t>CONTRIBUTIONS FORFAITAIRES EMPLOYEURS</t>
  </si>
  <si>
    <t>Salaires des cadres</t>
  </si>
  <si>
    <t>Salaires des secrétaires</t>
  </si>
  <si>
    <t>Salaires des ouvriers</t>
  </si>
  <si>
    <t>%masse salariale</t>
  </si>
  <si>
    <t>IMPÔT SUR LE REVENU DES CREANCES</t>
  </si>
  <si>
    <t>%charges finnacières</t>
  </si>
  <si>
    <t>RESULTAT COMPTABLE</t>
  </si>
  <si>
    <t>Amortissements</t>
  </si>
  <si>
    <t>Bénéfice comptable</t>
  </si>
  <si>
    <t>%CA</t>
  </si>
  <si>
    <t>ans</t>
  </si>
  <si>
    <t>RESULTAT IMPOSABLE</t>
  </si>
  <si>
    <t>Bénéfice imposable</t>
  </si>
  <si>
    <t>IMPÔT SUR LES SOCIETES</t>
  </si>
  <si>
    <t>%bénéfice imposable</t>
  </si>
  <si>
    <t>IMPÔT MINIMUM FORFAITAIRE</t>
  </si>
  <si>
    <t>IS/IMF</t>
  </si>
  <si>
    <t>IMPÔT SUR LE REVENU DES VALEURS MOBILIERES</t>
  </si>
  <si>
    <t>IMPÔTS ET TAXES</t>
  </si>
  <si>
    <t>Courants</t>
  </si>
  <si>
    <t>AMORTISSEMENT EXCEPTIONNEL</t>
  </si>
  <si>
    <t>Taux de marge après IS/IMF</t>
  </si>
  <si>
    <t>Taux de marge avant IS/IMF</t>
  </si>
  <si>
    <t>Bénéfice après IS/IMF</t>
  </si>
  <si>
    <t>%bénéfice après IS/IMF</t>
  </si>
  <si>
    <t>%bénéfices comptable</t>
  </si>
  <si>
    <t>ACTUALISATION</t>
  </si>
  <si>
    <t>Facteur d'actualisation</t>
  </si>
  <si>
    <t>Actualisés</t>
  </si>
  <si>
    <t>FLUX DE TRESORERIE sans impôts</t>
  </si>
  <si>
    <t>VAN</t>
  </si>
  <si>
    <t>SOMME</t>
  </si>
  <si>
    <t>TAUX EFFECTIFS MOYENS D'IMPOSITION</t>
  </si>
  <si>
    <t>%flux de trésorerie</t>
  </si>
  <si>
    <t>First year</t>
  </si>
  <si>
    <t>Five years</t>
  </si>
  <si>
    <t>_ISIMF</t>
  </si>
  <si>
    <t>FLUX DE TRESORERIE après impôts</t>
  </si>
  <si>
    <t>TAUX DE RENDEMENT INTERNE sans impôts</t>
  </si>
  <si>
    <t>TAUX DE RENDEMENT INTERNE après impôts</t>
  </si>
  <si>
    <t>TAUX EFFECTIFS MARGINAUX D'IMPOSITION après impôts</t>
  </si>
  <si>
    <t>TAUX EFFECTIFS MARGINAUX D'IMPOSITION après IS/IMF</t>
  </si>
  <si>
    <t>FLUX DE TRESORERIE sans IS/IMF</t>
  </si>
  <si>
    <t>TAUX DE RENDEMENT INTERNE sans IS/IMF</t>
  </si>
  <si>
    <t>Investissement éligible</t>
  </si>
  <si>
    <t>Taux statutaires</t>
  </si>
  <si>
    <t>Résultats</t>
  </si>
  <si>
    <t>Taux plein</t>
  </si>
  <si>
    <t>Taux réduit</t>
  </si>
  <si>
    <t>Statutaire</t>
  </si>
  <si>
    <t>Année</t>
  </si>
  <si>
    <t>Moyen</t>
  </si>
  <si>
    <t>Marginal</t>
  </si>
  <si>
    <t>Taux effectifs moyens</t>
  </si>
  <si>
    <t>Taux effectifs marginaux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</si>
</sst>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#,##0.00\ &quot;€&quot;;[Red]\-#,##0.00\ &quot;€&quot;"/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%"/>
    <numFmt numFmtId="165" formatCode="#,##0_ ;[Red]\-#,##0\ "/>
  </numFmts>
  <fonts count="17" x14ac:knownFonts="1"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imes New Roman"/>
      <family val="1"/>
    </font>
    <font>
      <sz val="15"/>
      <color theme="1"/>
      <name val="Arial Black"/>
      <family val="2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lightUp">
        <bgColor theme="0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horizontal="left" vertical="top"/>
    </xf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7" fillId="6" borderId="1" applyNumberFormat="0" applyAlignment="0" applyProtection="0"/>
    <xf numFmtId="0" fontId="8" fillId="0" borderId="3" applyNumberFormat="0" applyFill="0" applyAlignment="0" applyProtection="0"/>
    <xf numFmtId="0" fontId="9" fillId="7" borderId="4" applyNumberFormat="0" applyAlignment="0" applyProtection="0"/>
    <xf numFmtId="0" fontId="10" fillId="0" borderId="0" applyNumberFormat="0" applyFill="0" applyBorder="0" applyAlignment="0" applyProtection="0"/>
    <xf numFmtId="0" fontId="1" fillId="8" borderId="5" applyNumberFormat="0" applyFont="0" applyAlignment="0" applyProtection="0"/>
    <xf numFmtId="0" fontId="11" fillId="0" borderId="0" applyNumberFormat="0" applyFill="0" applyBorder="0" applyAlignment="0" applyProtection="0"/>
    <xf numFmtId="0" fontId="12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2" fillId="32" borderId="0" applyNumberFormat="0" applyBorder="0" applyAlignment="0" applyProtection="0"/>
    <xf numFmtId="0" fontId="13" fillId="0" borderId="0" applyNumberFormat="0" applyFont="0" applyFill="0" applyBorder="0" applyAlignment="0" applyProtection="0">
      <alignment horizontal="left" vertical="top"/>
    </xf>
    <xf numFmtId="0" fontId="13" fillId="0" borderId="0" applyNumberFormat="0" applyFont="0" applyFill="0" applyBorder="0" applyAlignment="0" applyProtection="0">
      <alignment horizontal="left" vertical="top"/>
    </xf>
  </cellStyleXfs>
  <cellXfs count="225"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33" borderId="0" xfId="0" applyFill="1">
      <alignment horizontal="left" vertical="top"/>
    </xf>
    <xf numFmtId="0" fontId="0" fillId="34" borderId="0" xfId="0" applyFill="1">
      <alignment horizontal="left" vertical="top"/>
    </xf>
    <xf numFmtId="0" fontId="0" fillId="35" borderId="0" xfId="0" applyFill="1">
      <alignment horizontal="left" vertical="top"/>
    </xf>
    <xf numFmtId="0" fontId="0" fillId="36" borderId="0" xfId="0" applyFill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Fill="1" applyAlignment="1">
      <alignment horizontal="right" vertical="top"/>
    </xf>
    <xf numFmtId="164" fontId="0" fillId="37" borderId="0" xfId="0" applyNumberFormat="1" applyFill="1" applyAlignment="1">
      <alignment horizontal="right" vertical="top"/>
    </xf>
    <xf numFmtId="9" fontId="0" fillId="37" borderId="0" xfId="0" applyNumberFormat="1" applyFill="1" applyAlignment="1">
      <alignment horizontal="right" vertical="top"/>
    </xf>
    <xf numFmtId="9" fontId="0" fillId="33" borderId="0" xfId="0" applyNumberFormat="1" applyFill="1" applyAlignment="1">
      <alignment horizontal="right" vertical="top"/>
    </xf>
    <xf numFmtId="164" fontId="0" fillId="33" borderId="0" xfId="0" applyNumberFormat="1" applyFill="1" applyAlignment="1">
      <alignment horizontal="right" vertical="top"/>
    </xf>
    <xf numFmtId="10" fontId="0" fillId="33" borderId="0" xfId="0" applyNumberFormat="1" applyFill="1" applyAlignment="1">
      <alignment horizontal="right" vertical="top"/>
    </xf>
    <xf numFmtId="0" fontId="0" fillId="33" borderId="0" xfId="0" applyFill="1" applyAlignment="1">
      <alignment horizontal="right" vertical="top"/>
    </xf>
    <xf numFmtId="0" fontId="0" fillId="34" borderId="0" xfId="0" applyFill="1" applyAlignment="1">
      <alignment horizontal="right" vertical="top"/>
    </xf>
    <xf numFmtId="0" fontId="0" fillId="37" borderId="0" xfId="0" applyFill="1" applyAlignment="1">
      <alignment horizontal="right" vertical="top"/>
    </xf>
    <xf numFmtId="0" fontId="0" fillId="0" borderId="0" xfId="0" applyNumberFormat="1" applyFill="1" applyAlignment="1">
      <alignment horizontal="right" vertical="top"/>
    </xf>
    <xf numFmtId="0" fontId="0" fillId="0" borderId="0" xfId="0" applyFont="1">
      <alignment horizontal="left" vertical="top"/>
    </xf>
    <xf numFmtId="0" fontId="0" fillId="35" borderId="0" xfId="0" applyFont="1" applyFill="1">
      <alignment horizontal="left" vertical="top"/>
    </xf>
    <xf numFmtId="0" fontId="0" fillId="38" borderId="0" xfId="0" applyFill="1">
      <alignment horizontal="left" vertical="top"/>
    </xf>
    <xf numFmtId="0" fontId="0" fillId="33" borderId="0" xfId="0" applyFill="1" applyAlignment="1">
      <alignment horizontal="left" vertical="top"/>
    </xf>
    <xf numFmtId="0" fontId="0" fillId="37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33" borderId="0" xfId="0" applyNumberFormat="1" applyFill="1" applyAlignment="1">
      <alignment horizontal="right" vertical="top"/>
    </xf>
    <xf numFmtId="10" fontId="0" fillId="38" borderId="0" xfId="0" applyNumberFormat="1" applyFill="1" applyAlignment="1">
      <alignment horizontal="right" vertical="top"/>
    </xf>
    <xf numFmtId="10" fontId="0" fillId="36" borderId="0" xfId="0" applyNumberFormat="1" applyFill="1" applyAlignment="1">
      <alignment horizontal="right" vertical="top"/>
    </xf>
    <xf numFmtId="0" fontId="0" fillId="38" borderId="0" xfId="0" applyFill="1" applyAlignment="1">
      <alignment horizontal="right" vertical="top"/>
    </xf>
    <xf numFmtId="0" fontId="0" fillId="36" borderId="0" xfId="0" applyFill="1" applyAlignment="1">
      <alignment horizontal="right" vertical="top"/>
    </xf>
    <xf numFmtId="9" fontId="0" fillId="36" borderId="0" xfId="0" applyNumberFormat="1" applyFill="1" applyAlignment="1">
      <alignment horizontal="right" vertical="top"/>
    </xf>
    <xf numFmtId="9" fontId="0" fillId="38" borderId="0" xfId="0" applyNumberFormat="1" applyFill="1" applyAlignment="1">
      <alignment horizontal="right" vertical="top"/>
    </xf>
    <xf numFmtId="3" fontId="0" fillId="33" borderId="0" xfId="0" applyNumberFormat="1" applyFill="1" applyAlignment="1">
      <alignment horizontal="right" vertical="top"/>
    </xf>
    <xf numFmtId="3" fontId="0" fillId="36" borderId="0" xfId="0" applyNumberFormat="1" applyFill="1" applyAlignment="1">
      <alignment horizontal="right" vertical="top"/>
    </xf>
    <xf numFmtId="3" fontId="0" fillId="38" borderId="0" xfId="0" applyNumberFormat="1" applyFill="1" applyAlignment="1">
      <alignment horizontal="right" vertical="top"/>
    </xf>
    <xf numFmtId="0" fontId="0" fillId="0" borderId="0" xfId="0" applyFill="1">
      <alignment horizontal="left" vertical="top"/>
    </xf>
    <xf numFmtId="0" fontId="14" fillId="0" borderId="0" xfId="0" applyFont="1">
      <alignment horizontal="left" vertical="top"/>
    </xf>
    <xf numFmtId="0" fontId="0" fillId="34" borderId="7" xfId="0" applyFill="1" applyBorder="1">
      <alignment horizontal="left" vertical="top"/>
    </xf>
    <xf numFmtId="0" fontId="0" fillId="34" borderId="8" xfId="0" applyFill="1" applyBorder="1">
      <alignment horizontal="left" vertical="top"/>
    </xf>
    <xf numFmtId="0" fontId="0" fillId="34" borderId="9" xfId="0" applyFill="1" applyBorder="1">
      <alignment horizontal="left" vertical="top"/>
    </xf>
    <xf numFmtId="0" fontId="0" fillId="33" borderId="10" xfId="0" applyFill="1" applyBorder="1">
      <alignment horizontal="left" vertical="top"/>
    </xf>
    <xf numFmtId="0" fontId="0" fillId="33" borderId="0" xfId="0" applyFill="1" applyBorder="1">
      <alignment horizontal="left" vertical="top"/>
    </xf>
    <xf numFmtId="0" fontId="0" fillId="40" borderId="0" xfId="0" applyFill="1" applyBorder="1" applyAlignment="1">
      <alignment horizontal="right" vertical="top"/>
    </xf>
    <xf numFmtId="0" fontId="0" fillId="40" borderId="11" xfId="0" applyFill="1" applyBorder="1" applyAlignment="1">
      <alignment horizontal="right" vertical="top"/>
    </xf>
    <xf numFmtId="0" fontId="0" fillId="40" borderId="11" xfId="0" applyFill="1" applyBorder="1">
      <alignment horizontal="left" vertical="top"/>
    </xf>
    <xf numFmtId="0" fontId="0" fillId="34" borderId="0" xfId="0" applyFill="1" applyBorder="1">
      <alignment horizontal="left" vertical="top"/>
    </xf>
    <xf numFmtId="0" fontId="0" fillId="34" borderId="11" xfId="0" applyFill="1" applyBorder="1">
      <alignment horizontal="left" vertical="top"/>
    </xf>
    <xf numFmtId="0" fontId="0" fillId="33" borderId="12" xfId="0" applyFill="1" applyBorder="1">
      <alignment horizontal="left" vertical="top"/>
    </xf>
    <xf numFmtId="0" fontId="0" fillId="33" borderId="13" xfId="0" applyFill="1" applyBorder="1">
      <alignment horizontal="left" vertical="top"/>
    </xf>
    <xf numFmtId="0" fontId="0" fillId="40" borderId="13" xfId="0" applyFill="1" applyBorder="1" applyAlignment="1">
      <alignment horizontal="right" vertical="top"/>
    </xf>
    <xf numFmtId="0" fontId="0" fillId="40" borderId="14" xfId="0" applyFill="1" applyBorder="1" applyAlignment="1">
      <alignment horizontal="right" vertical="top"/>
    </xf>
    <xf numFmtId="0" fontId="0" fillId="40" borderId="14" xfId="0" applyFill="1" applyBorder="1">
      <alignment horizontal="left" vertical="top"/>
    </xf>
    <xf numFmtId="0" fontId="0" fillId="33" borderId="10" xfId="0" applyFont="1" applyFill="1" applyBorder="1">
      <alignment horizontal="left" vertical="top"/>
    </xf>
    <xf numFmtId="0" fontId="0" fillId="34" borderId="13" xfId="0" applyFill="1" applyBorder="1">
      <alignment horizontal="left" vertical="top"/>
    </xf>
    <xf numFmtId="0" fontId="0" fillId="34" borderId="14" xfId="0" applyFill="1" applyBorder="1">
      <alignment horizontal="left" vertical="top"/>
    </xf>
    <xf numFmtId="0" fontId="0" fillId="34" borderId="16" xfId="0" applyFill="1" applyBorder="1">
      <alignment horizontal="left" vertical="top"/>
    </xf>
    <xf numFmtId="0" fontId="0" fillId="34" borderId="17" xfId="0" applyFill="1" applyBorder="1">
      <alignment horizontal="left" vertical="top"/>
    </xf>
    <xf numFmtId="0" fontId="0" fillId="33" borderId="12" xfId="0" applyFont="1" applyFill="1" applyBorder="1">
      <alignment horizontal="left" vertical="top"/>
    </xf>
    <xf numFmtId="0" fontId="0" fillId="33" borderId="15" xfId="0" applyFill="1" applyBorder="1">
      <alignment horizontal="left" vertical="top"/>
    </xf>
    <xf numFmtId="0" fontId="0" fillId="33" borderId="16" xfId="0" applyFill="1" applyBorder="1">
      <alignment horizontal="left" vertical="top"/>
    </xf>
    <xf numFmtId="0" fontId="0" fillId="35" borderId="16" xfId="0" applyFill="1" applyBorder="1">
      <alignment horizontal="left" vertical="top"/>
    </xf>
    <xf numFmtId="0" fontId="15" fillId="34" borderId="7" xfId="0" applyFont="1" applyFill="1" applyBorder="1">
      <alignment horizontal="left" vertical="top"/>
    </xf>
    <xf numFmtId="0" fontId="15" fillId="34" borderId="8" xfId="0" applyFont="1" applyFill="1" applyBorder="1">
      <alignment horizontal="left" vertical="top"/>
    </xf>
    <xf numFmtId="0" fontId="15" fillId="34" borderId="10" xfId="0" applyFont="1" applyFill="1" applyBorder="1">
      <alignment horizontal="left" vertical="top"/>
    </xf>
    <xf numFmtId="0" fontId="15" fillId="34" borderId="0" xfId="0" applyFont="1" applyFill="1" applyBorder="1">
      <alignment horizontal="left" vertical="top"/>
    </xf>
    <xf numFmtId="0" fontId="15" fillId="35" borderId="15" xfId="0" applyFont="1" applyFill="1" applyBorder="1">
      <alignment horizontal="left" vertical="top"/>
    </xf>
    <xf numFmtId="0" fontId="15" fillId="35" borderId="16" xfId="0" applyFont="1" applyFill="1" applyBorder="1">
      <alignment horizontal="left" vertical="top"/>
    </xf>
    <xf numFmtId="0" fontId="15" fillId="34" borderId="15" xfId="0" applyFont="1" applyFill="1" applyBorder="1">
      <alignment horizontal="left" vertical="top"/>
    </xf>
    <xf numFmtId="0" fontId="15" fillId="34" borderId="12" xfId="0" applyFont="1" applyFill="1" applyBorder="1">
      <alignment horizontal="left" vertical="top"/>
    </xf>
    <xf numFmtId="0" fontId="0" fillId="35" borderId="16" xfId="0" applyFill="1" applyBorder="1" applyAlignment="1">
      <alignment vertical="top"/>
    </xf>
    <xf numFmtId="0" fontId="0" fillId="35" borderId="17" xfId="0" applyFill="1" applyBorder="1" applyAlignment="1">
      <alignment vertical="top"/>
    </xf>
    <xf numFmtId="3" fontId="0" fillId="40" borderId="16" xfId="0" applyNumberFormat="1" applyFill="1" applyBorder="1" applyAlignment="1">
      <alignment horizontal="right" vertical="top"/>
    </xf>
    <xf numFmtId="0" fontId="0" fillId="40" borderId="17" xfId="0" applyFill="1" applyBorder="1">
      <alignment horizontal="left" vertical="top"/>
    </xf>
    <xf numFmtId="3" fontId="0" fillId="40" borderId="0" xfId="0" applyNumberFormat="1" applyFill="1" applyBorder="1" applyAlignment="1">
      <alignment horizontal="right" vertical="top"/>
    </xf>
    <xf numFmtId="3" fontId="0" fillId="40" borderId="13" xfId="0" applyNumberFormat="1" applyFill="1" applyBorder="1" applyAlignment="1">
      <alignment horizontal="right" vertical="top"/>
    </xf>
    <xf numFmtId="0" fontId="15" fillId="35" borderId="15" xfId="0" applyFont="1" applyFill="1" applyBorder="1" applyAlignment="1">
      <alignment vertical="top"/>
    </xf>
    <xf numFmtId="0" fontId="0" fillId="34" borderId="8" xfId="0" applyFill="1" applyBorder="1" applyAlignment="1">
      <alignment horizontal="right" vertical="top"/>
    </xf>
    <xf numFmtId="0" fontId="0" fillId="34" borderId="9" xfId="0" applyFill="1" applyBorder="1" applyAlignment="1">
      <alignment horizontal="right" vertical="top"/>
    </xf>
    <xf numFmtId="0" fontId="15" fillId="35" borderId="17" xfId="0" applyFont="1" applyFill="1" applyBorder="1" applyAlignment="1">
      <alignment horizontal="right" vertical="top"/>
    </xf>
    <xf numFmtId="0" fontId="0" fillId="35" borderId="17" xfId="0" applyFill="1" applyBorder="1">
      <alignment horizontal="left" vertical="top"/>
    </xf>
    <xf numFmtId="9" fontId="0" fillId="40" borderId="16" xfId="0" applyNumberFormat="1" applyFill="1" applyBorder="1" applyAlignment="1">
      <alignment horizontal="right" vertical="top"/>
    </xf>
    <xf numFmtId="0" fontId="0" fillId="0" borderId="16" xfId="0" applyBorder="1">
      <alignment horizontal="left" vertical="top"/>
    </xf>
    <xf numFmtId="10" fontId="0" fillId="40" borderId="0" xfId="0" applyNumberFormat="1" applyFill="1" applyBorder="1" applyAlignment="1">
      <alignment horizontal="right" vertical="top"/>
    </xf>
    <xf numFmtId="10" fontId="0" fillId="40" borderId="11" xfId="0" applyNumberFormat="1" applyFill="1" applyBorder="1" applyAlignment="1">
      <alignment horizontal="right" vertical="top"/>
    </xf>
    <xf numFmtId="10" fontId="0" fillId="40" borderId="13" xfId="0" applyNumberFormat="1" applyFill="1" applyBorder="1" applyAlignment="1">
      <alignment horizontal="right" vertical="top"/>
    </xf>
    <xf numFmtId="10" fontId="0" fillId="40" borderId="14" xfId="0" applyNumberFormat="1" applyFill="1" applyBorder="1" applyAlignment="1">
      <alignment horizontal="right" vertical="top"/>
    </xf>
    <xf numFmtId="0" fontId="0" fillId="35" borderId="8" xfId="0" applyFill="1" applyBorder="1">
      <alignment horizontal="left" vertical="top"/>
    </xf>
    <xf numFmtId="0" fontId="0" fillId="35" borderId="9" xfId="0" applyFill="1" applyBorder="1">
      <alignment horizontal="left" vertical="top"/>
    </xf>
    <xf numFmtId="0" fontId="0" fillId="40" borderId="0" xfId="0" applyFill="1" applyBorder="1">
      <alignment horizontal="left" vertical="top"/>
    </xf>
    <xf numFmtId="0" fontId="0" fillId="40" borderId="13" xfId="0" applyFill="1" applyBorder="1">
      <alignment horizontal="left" vertical="top"/>
    </xf>
    <xf numFmtId="9" fontId="0" fillId="40" borderId="0" xfId="0" applyNumberFormat="1" applyFill="1" applyBorder="1" applyAlignment="1">
      <alignment horizontal="right" vertical="top"/>
    </xf>
    <xf numFmtId="0" fontId="15" fillId="0" borderId="0" xfId="0" applyFont="1">
      <alignment horizontal="left" vertical="top"/>
    </xf>
    <xf numFmtId="0" fontId="0" fillId="0" borderId="15" xfId="0" applyBorder="1">
      <alignment horizontal="left" vertical="top"/>
    </xf>
    <xf numFmtId="0" fontId="0" fillId="0" borderId="16" xfId="0" applyBorder="1" applyAlignment="1">
      <alignment horizontal="right" vertical="top"/>
    </xf>
    <xf numFmtId="0" fontId="0" fillId="0" borderId="17" xfId="0" applyBorder="1" applyAlignment="1">
      <alignment horizontal="right" vertical="top"/>
    </xf>
    <xf numFmtId="3" fontId="0" fillId="43" borderId="16" xfId="0" applyNumberFormat="1" applyFill="1" applyBorder="1" applyAlignment="1">
      <alignment horizontal="right" vertical="top"/>
    </xf>
    <xf numFmtId="0" fontId="0" fillId="42" borderId="0" xfId="0" applyFill="1" applyAlignment="1">
      <alignment horizontal="right" vertical="top"/>
    </xf>
    <xf numFmtId="3" fontId="0" fillId="43" borderId="0" xfId="0" applyNumberFormat="1" applyFill="1" applyAlignment="1">
      <alignment horizontal="right" vertical="top"/>
    </xf>
    <xf numFmtId="0" fontId="0" fillId="0" borderId="7" xfId="0" applyFill="1" applyBorder="1">
      <alignment horizontal="left" vertical="top"/>
    </xf>
    <xf numFmtId="0" fontId="0" fillId="0" borderId="8" xfId="0" applyBorder="1">
      <alignment horizontal="left" vertical="top"/>
    </xf>
    <xf numFmtId="3" fontId="0" fillId="41" borderId="8" xfId="0" applyNumberFormat="1" applyFill="1" applyBorder="1" applyAlignment="1">
      <alignment vertical="top"/>
    </xf>
    <xf numFmtId="3" fontId="0" fillId="39" borderId="8" xfId="0" applyNumberFormat="1" applyFill="1" applyBorder="1" applyAlignment="1">
      <alignment vertical="top"/>
    </xf>
    <xf numFmtId="3" fontId="0" fillId="39" borderId="9" xfId="0" applyNumberFormat="1" applyFill="1" applyBorder="1" applyAlignment="1">
      <alignment vertical="top"/>
    </xf>
    <xf numFmtId="0" fontId="0" fillId="0" borderId="10" xfId="0" applyBorder="1">
      <alignment horizontal="left" vertical="top"/>
    </xf>
    <xf numFmtId="0" fontId="0" fillId="0" borderId="0" xfId="0" applyBorder="1">
      <alignment horizontal="left" vertical="top"/>
    </xf>
    <xf numFmtId="3" fontId="0" fillId="41" borderId="0" xfId="0" applyNumberFormat="1" applyFill="1" applyBorder="1" applyAlignment="1">
      <alignment vertical="top"/>
    </xf>
    <xf numFmtId="3" fontId="0" fillId="34" borderId="0" xfId="0" applyNumberFormat="1" applyFill="1" applyBorder="1" applyAlignment="1">
      <alignment vertical="top"/>
    </xf>
    <xf numFmtId="3" fontId="0" fillId="34" borderId="11" xfId="0" applyNumberFormat="1" applyFill="1" applyBorder="1" applyAlignment="1">
      <alignment vertical="top"/>
    </xf>
    <xf numFmtId="164" fontId="0" fillId="33" borderId="0" xfId="0" applyNumberFormat="1" applyFill="1" applyBorder="1" applyAlignment="1">
      <alignment vertical="top"/>
    </xf>
    <xf numFmtId="164" fontId="0" fillId="33" borderId="11" xfId="0" applyNumberFormat="1" applyFill="1" applyBorder="1" applyAlignment="1">
      <alignment vertical="top"/>
    </xf>
    <xf numFmtId="0" fontId="0" fillId="0" borderId="12" xfId="0" applyBorder="1">
      <alignment horizontal="left" vertical="top"/>
    </xf>
    <xf numFmtId="0" fontId="0" fillId="0" borderId="13" xfId="0" applyBorder="1">
      <alignment horizontal="left" vertical="top"/>
    </xf>
    <xf numFmtId="3" fontId="0" fillId="34" borderId="13" xfId="0" applyNumberFormat="1" applyFill="1" applyBorder="1" applyAlignment="1">
      <alignment vertical="top"/>
    </xf>
    <xf numFmtId="3" fontId="0" fillId="34" borderId="14" xfId="0" applyNumberFormat="1" applyFill="1" applyBorder="1" applyAlignment="1">
      <alignment vertical="top"/>
    </xf>
    <xf numFmtId="3" fontId="0" fillId="33" borderId="16" xfId="0" applyNumberFormat="1" applyFill="1" applyBorder="1" applyAlignment="1">
      <alignment horizontal="right" vertical="top"/>
    </xf>
    <xf numFmtId="3" fontId="0" fillId="33" borderId="0" xfId="0" applyNumberFormat="1" applyFill="1" applyBorder="1" applyAlignment="1">
      <alignment horizontal="right" vertical="top"/>
    </xf>
    <xf numFmtId="3" fontId="0" fillId="34" borderId="0" xfId="0" applyNumberFormat="1" applyFill="1" applyBorder="1" applyAlignment="1">
      <alignment horizontal="right" vertical="top"/>
    </xf>
    <xf numFmtId="0" fontId="0" fillId="0" borderId="7" xfId="0" applyBorder="1">
      <alignment horizontal="left" vertical="top"/>
    </xf>
    <xf numFmtId="0" fontId="0" fillId="0" borderId="8" xfId="0" applyBorder="1" applyAlignment="1">
      <alignment horizontal="right" vertical="top"/>
    </xf>
    <xf numFmtId="3" fontId="0" fillId="33" borderId="8" xfId="0" applyNumberFormat="1" applyFill="1" applyBorder="1" applyAlignment="1">
      <alignment horizontal="right" vertical="top"/>
    </xf>
    <xf numFmtId="3" fontId="0" fillId="33" borderId="9" xfId="0" applyNumberFormat="1" applyFill="1" applyBorder="1" applyAlignment="1">
      <alignment horizontal="right" vertical="top"/>
    </xf>
    <xf numFmtId="0" fontId="0" fillId="0" borderId="0" xfId="0" applyBorder="1" applyAlignment="1">
      <alignment horizontal="right" vertical="top"/>
    </xf>
    <xf numFmtId="3" fontId="0" fillId="33" borderId="11" xfId="0" applyNumberFormat="1" applyFill="1" applyBorder="1" applyAlignment="1">
      <alignment horizontal="right" vertical="top"/>
    </xf>
    <xf numFmtId="0" fontId="0" fillId="0" borderId="13" xfId="0" applyBorder="1" applyAlignment="1">
      <alignment horizontal="right" vertical="top"/>
    </xf>
    <xf numFmtId="3" fontId="0" fillId="34" borderId="13" xfId="0" applyNumberFormat="1" applyFill="1" applyBorder="1" applyAlignment="1">
      <alignment horizontal="right" vertical="top"/>
    </xf>
    <xf numFmtId="3" fontId="0" fillId="34" borderId="14" xfId="0" applyNumberFormat="1" applyFill="1" applyBorder="1" applyAlignment="1">
      <alignment horizontal="right" vertical="top"/>
    </xf>
    <xf numFmtId="9" fontId="0" fillId="42" borderId="0" xfId="0" applyNumberFormat="1" applyFill="1" applyAlignment="1">
      <alignment horizontal="right" vertical="top"/>
    </xf>
    <xf numFmtId="10" fontId="0" fillId="42" borderId="0" xfId="0" applyNumberFormat="1" applyFill="1" applyBorder="1" applyAlignment="1">
      <alignment horizontal="right" vertical="top"/>
    </xf>
    <xf numFmtId="10" fontId="0" fillId="42" borderId="11" xfId="0" applyNumberFormat="1" applyFill="1" applyBorder="1" applyAlignment="1">
      <alignment horizontal="right" vertical="top"/>
    </xf>
    <xf numFmtId="3" fontId="0" fillId="43" borderId="8" xfId="0" applyNumberFormat="1" applyFill="1" applyBorder="1" applyAlignment="1">
      <alignment horizontal="right" vertical="top"/>
    </xf>
    <xf numFmtId="3" fontId="0" fillId="43" borderId="9" xfId="0" applyNumberFormat="1" applyFill="1" applyBorder="1" applyAlignment="1">
      <alignment horizontal="right" vertical="top"/>
    </xf>
    <xf numFmtId="3" fontId="0" fillId="43" borderId="0" xfId="0" applyNumberFormat="1" applyFill="1" applyBorder="1" applyAlignment="1">
      <alignment horizontal="right" vertical="top"/>
    </xf>
    <xf numFmtId="3" fontId="0" fillId="43" borderId="11" xfId="0" applyNumberFormat="1" applyFill="1" applyBorder="1" applyAlignment="1">
      <alignment horizontal="right" vertical="top"/>
    </xf>
    <xf numFmtId="3" fontId="0" fillId="34" borderId="11" xfId="0" applyNumberFormat="1" applyFill="1" applyBorder="1" applyAlignment="1">
      <alignment horizontal="right" vertical="top"/>
    </xf>
    <xf numFmtId="164" fontId="0" fillId="0" borderId="13" xfId="0" applyNumberFormat="1" applyBorder="1" applyAlignment="1">
      <alignment horizontal="right" vertical="top"/>
    </xf>
    <xf numFmtId="164" fontId="0" fillId="0" borderId="14" xfId="0" applyNumberFormat="1" applyBorder="1" applyAlignment="1">
      <alignment horizontal="right" vertical="top"/>
    </xf>
    <xf numFmtId="3" fontId="0" fillId="33" borderId="17" xfId="0" applyNumberFormat="1" applyFill="1" applyBorder="1" applyAlignment="1">
      <alignment horizontal="right" vertical="top"/>
    </xf>
    <xf numFmtId="3" fontId="0" fillId="33" borderId="13" xfId="0" applyNumberFormat="1" applyFill="1" applyBorder="1" applyAlignment="1">
      <alignment horizontal="right" vertical="top"/>
    </xf>
    <xf numFmtId="3" fontId="0" fillId="33" borderId="14" xfId="0" applyNumberFormat="1" applyFill="1" applyBorder="1" applyAlignment="1">
      <alignment horizontal="right" vertical="top"/>
    </xf>
    <xf numFmtId="3" fontId="0" fillId="43" borderId="17" xfId="0" applyNumberFormat="1" applyFill="1" applyBorder="1" applyAlignment="1">
      <alignment horizontal="right" vertical="top"/>
    </xf>
    <xf numFmtId="0" fontId="0" fillId="33" borderId="7" xfId="0" applyFill="1" applyBorder="1">
      <alignment horizontal="left" vertical="top"/>
    </xf>
    <xf numFmtId="9" fontId="0" fillId="40" borderId="8" xfId="0" applyNumberFormat="1" applyFill="1" applyBorder="1" applyAlignment="1">
      <alignment horizontal="right" vertical="top"/>
    </xf>
    <xf numFmtId="0" fontId="0" fillId="40" borderId="8" xfId="0" applyFill="1" applyBorder="1">
      <alignment horizontal="left" vertical="top"/>
    </xf>
    <xf numFmtId="0" fontId="0" fillId="40" borderId="9" xfId="0" applyFill="1" applyBorder="1">
      <alignment horizontal="left" vertical="top"/>
    </xf>
    <xf numFmtId="0" fontId="15" fillId="35" borderId="7" xfId="0" applyFont="1" applyFill="1" applyBorder="1">
      <alignment horizontal="left" vertical="top"/>
    </xf>
    <xf numFmtId="0" fontId="0" fillId="38" borderId="0" xfId="0" applyNumberFormat="1" applyFill="1" applyAlignment="1">
      <alignment horizontal="right" vertical="top"/>
    </xf>
    <xf numFmtId="0" fontId="0" fillId="40" borderId="13" xfId="0" applyNumberFormat="1" applyFill="1" applyBorder="1" applyAlignment="1">
      <alignment horizontal="right" vertical="top"/>
    </xf>
    <xf numFmtId="0" fontId="0" fillId="0" borderId="0" xfId="0" applyFill="1" applyBorder="1">
      <alignment horizontal="left" vertical="top"/>
    </xf>
    <xf numFmtId="0" fontId="0" fillId="42" borderId="0" xfId="0" applyNumberFormat="1" applyFill="1" applyAlignment="1">
      <alignment horizontal="right" vertical="top"/>
    </xf>
    <xf numFmtId="0" fontId="0" fillId="0" borderId="10" xfId="0" applyFill="1" applyBorder="1">
      <alignment horizontal="left" vertical="top"/>
    </xf>
    <xf numFmtId="3" fontId="0" fillId="41" borderId="0" xfId="0" applyNumberFormat="1" applyFill="1" applyBorder="1" applyAlignment="1">
      <alignment horizontal="right" vertical="top"/>
    </xf>
    <xf numFmtId="0" fontId="0" fillId="0" borderId="12" xfId="0" applyFill="1" applyBorder="1">
      <alignment horizontal="left" vertical="top"/>
    </xf>
    <xf numFmtId="3" fontId="0" fillId="33" borderId="13" xfId="0" applyNumberFormat="1" applyFill="1" applyBorder="1" applyAlignment="1">
      <alignment vertical="top"/>
    </xf>
    <xf numFmtId="3" fontId="0" fillId="33" borderId="14" xfId="0" applyNumberFormat="1" applyFill="1" applyBorder="1" applyAlignment="1">
      <alignment vertical="top"/>
    </xf>
    <xf numFmtId="0" fontId="15" fillId="0" borderId="0" xfId="0" applyFont="1" applyFill="1" applyBorder="1">
      <alignment horizontal="left" vertical="top"/>
    </xf>
    <xf numFmtId="3" fontId="0" fillId="34" borderId="8" xfId="0" applyNumberFormat="1" applyFill="1" applyBorder="1" applyAlignment="1">
      <alignment horizontal="right" vertical="top"/>
    </xf>
    <xf numFmtId="3" fontId="0" fillId="34" borderId="9" xfId="0" applyNumberFormat="1" applyFill="1" applyBorder="1" applyAlignment="1">
      <alignment horizontal="right" vertical="top"/>
    </xf>
    <xf numFmtId="3" fontId="0" fillId="34" borderId="8" xfId="0" applyNumberFormat="1" applyFill="1" applyBorder="1" applyAlignment="1">
      <alignment vertical="top"/>
    </xf>
    <xf numFmtId="3" fontId="0" fillId="34" borderId="9" xfId="0" applyNumberFormat="1" applyFill="1" applyBorder="1" applyAlignment="1">
      <alignment vertical="top"/>
    </xf>
    <xf numFmtId="9" fontId="0" fillId="43" borderId="0" xfId="0" applyNumberFormat="1" applyFill="1" applyBorder="1" applyAlignment="1">
      <alignment horizontal="right" vertical="top"/>
    </xf>
    <xf numFmtId="9" fontId="0" fillId="43" borderId="11" xfId="0" applyNumberFormat="1" applyFill="1" applyBorder="1" applyAlignment="1">
      <alignment horizontal="right" vertical="top"/>
    </xf>
    <xf numFmtId="0" fontId="0" fillId="0" borderId="15" xfId="0" applyFill="1" applyBorder="1">
      <alignment horizontal="left" vertical="top"/>
    </xf>
    <xf numFmtId="164" fontId="0" fillId="0" borderId="16" xfId="0" applyNumberFormat="1" applyBorder="1" applyAlignment="1">
      <alignment horizontal="right" vertical="top"/>
    </xf>
    <xf numFmtId="164" fontId="0" fillId="0" borderId="17" xfId="0" applyNumberFormat="1" applyBorder="1" applyAlignment="1">
      <alignment horizontal="right" vertical="top"/>
    </xf>
    <xf numFmtId="165" fontId="0" fillId="34" borderId="9" xfId="0" applyNumberFormat="1" applyFill="1" applyBorder="1" applyAlignment="1">
      <alignment horizontal="right" vertical="top"/>
    </xf>
    <xf numFmtId="165" fontId="0" fillId="34" borderId="11" xfId="0" applyNumberFormat="1" applyFill="1" applyBorder="1" applyAlignment="1">
      <alignment horizontal="right" vertical="top"/>
    </xf>
    <xf numFmtId="165" fontId="0" fillId="34" borderId="14" xfId="0" applyNumberFormat="1" applyFill="1" applyBorder="1" applyAlignment="1">
      <alignment horizontal="right" vertical="top"/>
    </xf>
    <xf numFmtId="165" fontId="0" fillId="35" borderId="14" xfId="0" applyNumberFormat="1" applyFill="1" applyBorder="1" applyAlignment="1">
      <alignment horizontal="right" vertical="top"/>
    </xf>
    <xf numFmtId="164" fontId="0" fillId="33" borderId="8" xfId="0" applyNumberFormat="1" applyFill="1" applyBorder="1" applyAlignment="1">
      <alignment horizontal="right" vertical="top"/>
    </xf>
    <xf numFmtId="164" fontId="0" fillId="33" borderId="0" xfId="0" applyNumberFormat="1" applyFill="1" applyBorder="1" applyAlignment="1">
      <alignment horizontal="right" vertical="top"/>
    </xf>
    <xf numFmtId="164" fontId="0" fillId="34" borderId="9" xfId="0" applyNumberFormat="1" applyFill="1" applyBorder="1" applyAlignment="1">
      <alignment horizontal="right" vertical="top"/>
    </xf>
    <xf numFmtId="164" fontId="0" fillId="34" borderId="11" xfId="0" applyNumberFormat="1" applyFill="1" applyBorder="1" applyAlignment="1">
      <alignment horizontal="right" vertical="top"/>
    </xf>
    <xf numFmtId="164" fontId="0" fillId="34" borderId="13" xfId="0" applyNumberFormat="1" applyFill="1" applyBorder="1" applyAlignment="1">
      <alignment horizontal="right" vertical="top"/>
    </xf>
    <xf numFmtId="164" fontId="0" fillId="35" borderId="14" xfId="0" applyNumberFormat="1" applyFill="1" applyBorder="1" applyAlignment="1">
      <alignment horizontal="right" vertical="top"/>
    </xf>
    <xf numFmtId="164" fontId="0" fillId="40" borderId="11" xfId="0" applyNumberFormat="1" applyFill="1" applyBorder="1" applyAlignment="1">
      <alignment horizontal="right" vertical="top"/>
    </xf>
    <xf numFmtId="0" fontId="0" fillId="34" borderId="12" xfId="0" applyFill="1" applyBorder="1">
      <alignment horizontal="left" vertical="top"/>
    </xf>
    <xf numFmtId="164" fontId="0" fillId="34" borderId="14" xfId="0" applyNumberFormat="1" applyFill="1" applyBorder="1" applyAlignment="1">
      <alignment horizontal="right" vertical="top"/>
    </xf>
    <xf numFmtId="0" fontId="0" fillId="0" borderId="7" xfId="0" applyFont="1" applyFill="1" applyBorder="1">
      <alignment horizontal="left" vertical="top"/>
    </xf>
    <xf numFmtId="3" fontId="0" fillId="43" borderId="13" xfId="0" applyNumberFormat="1" applyFill="1" applyBorder="1" applyAlignment="1">
      <alignment horizontal="right" vertical="top"/>
    </xf>
    <xf numFmtId="3" fontId="0" fillId="44" borderId="8" xfId="0" applyNumberFormat="1" applyFill="1" applyBorder="1" applyAlignment="1">
      <alignment horizontal="right" vertical="top"/>
    </xf>
    <xf numFmtId="3" fontId="0" fillId="44" borderId="13" xfId="0" applyNumberFormat="1" applyFill="1" applyBorder="1" applyAlignment="1">
      <alignment horizontal="right" vertical="top"/>
    </xf>
    <xf numFmtId="164" fontId="0" fillId="33" borderId="16" xfId="0" applyNumberFormat="1" applyFill="1" applyBorder="1" applyAlignment="1">
      <alignment horizontal="right" vertical="top"/>
    </xf>
    <xf numFmtId="164" fontId="0" fillId="33" borderId="17" xfId="0" applyNumberFormat="1" applyFill="1" applyBorder="1" applyAlignment="1">
      <alignment horizontal="right" vertical="top"/>
    </xf>
    <xf numFmtId="164" fontId="0" fillId="0" borderId="16" xfId="0" applyNumberFormat="1" applyFill="1" applyBorder="1" applyAlignment="1">
      <alignment horizontal="right" vertical="top"/>
    </xf>
    <xf numFmtId="3" fontId="0" fillId="0" borderId="0" xfId="0" applyNumberFormat="1">
      <alignment horizontal="left" vertical="top"/>
    </xf>
    <xf numFmtId="10" fontId="0" fillId="40" borderId="10" xfId="0" applyNumberFormat="1" applyFill="1" applyBorder="1" applyAlignment="1">
      <alignment horizontal="right" vertical="top"/>
    </xf>
    <xf numFmtId="164" fontId="0" fillId="34" borderId="0" xfId="0" applyNumberFormat="1" applyFill="1" applyAlignment="1">
      <alignment horizontal="right" vertical="top"/>
    </xf>
    <xf numFmtId="164" fontId="0" fillId="35" borderId="0" xfId="0" applyNumberFormat="1" applyFill="1" applyAlignment="1">
      <alignment horizontal="right" vertical="top"/>
    </xf>
    <xf numFmtId="0" fontId="0" fillId="39" borderId="0" xfId="0" applyFill="1">
      <alignment horizontal="left" vertical="top"/>
    </xf>
    <xf numFmtId="164" fontId="0" fillId="39" borderId="0" xfId="0" applyNumberFormat="1" applyFill="1" applyAlignment="1">
      <alignment horizontal="right" vertical="top"/>
    </xf>
    <xf numFmtId="164" fontId="0" fillId="40" borderId="10" xfId="0" applyNumberFormat="1" applyFill="1" applyBorder="1" applyAlignment="1">
      <alignment horizontal="right" vertical="top"/>
    </xf>
    <xf numFmtId="164" fontId="0" fillId="34" borderId="12" xfId="0" applyNumberFormat="1" applyFill="1" applyBorder="1" applyAlignment="1">
      <alignment horizontal="right" vertical="top"/>
    </xf>
    <xf numFmtId="0" fontId="0" fillId="34" borderId="15" xfId="0" applyFill="1" applyBorder="1">
      <alignment horizontal="left" vertical="top"/>
    </xf>
    <xf numFmtId="0" fontId="0" fillId="34" borderId="15" xfId="0" applyFill="1" applyBorder="1" applyAlignment="1">
      <alignment horizontal="right" vertical="top"/>
    </xf>
    <xf numFmtId="0" fontId="0" fillId="34" borderId="16" xfId="0" applyFill="1" applyBorder="1" applyAlignment="1">
      <alignment horizontal="right" vertical="top"/>
    </xf>
    <xf numFmtId="0" fontId="0" fillId="34" borderId="17" xfId="0" applyFill="1" applyBorder="1" applyAlignment="1">
      <alignment horizontal="right" vertical="top"/>
    </xf>
    <xf numFmtId="10" fontId="0" fillId="40" borderId="15" xfId="0" applyNumberFormat="1" applyFill="1" applyBorder="1" applyAlignment="1">
      <alignment horizontal="right" vertical="top"/>
    </xf>
    <xf numFmtId="10" fontId="0" fillId="40" borderId="16" xfId="0" applyNumberFormat="1" applyFill="1" applyBorder="1" applyAlignment="1">
      <alignment horizontal="right" vertical="top"/>
    </xf>
    <xf numFmtId="0" fontId="0" fillId="40" borderId="17" xfId="0" applyFill="1" applyBorder="1" applyAlignment="1">
      <alignment horizontal="right" vertical="top"/>
    </xf>
    <xf numFmtId="164" fontId="0" fillId="40" borderId="15" xfId="0" applyNumberFormat="1" applyFill="1" applyBorder="1" applyAlignment="1">
      <alignment horizontal="right" vertical="top"/>
    </xf>
    <xf numFmtId="164" fontId="0" fillId="40" borderId="17" xfId="0" applyNumberFormat="1" applyFill="1" applyBorder="1" applyAlignment="1">
      <alignment horizontal="right" vertical="top"/>
    </xf>
    <xf numFmtId="0" fontId="16" fillId="33" borderId="15" xfId="0" applyFont="1" applyFill="1" applyBorder="1">
      <alignment horizontal="left" vertical="top"/>
    </xf>
    <xf numFmtId="0" fontId="16" fillId="33" borderId="12" xfId="0" applyFont="1" applyFill="1" applyBorder="1">
      <alignment horizontal="left" vertical="top"/>
    </xf>
    <xf numFmtId="10" fontId="16" fillId="40" borderId="15" xfId="0" applyNumberFormat="1" applyFont="1" applyFill="1" applyBorder="1" applyAlignment="1">
      <alignment horizontal="right" vertical="top"/>
    </xf>
    <xf numFmtId="10" fontId="16" fillId="40" borderId="12" xfId="0" applyNumberFormat="1" applyFont="1" applyFill="1" applyBorder="1" applyAlignment="1">
      <alignment horizontal="right" vertical="top"/>
    </xf>
    <xf numFmtId="10" fontId="16" fillId="40" borderId="16" xfId="0" applyNumberFormat="1" applyFont="1" applyFill="1" applyBorder="1" applyAlignment="1">
      <alignment horizontal="right" vertical="top"/>
    </xf>
    <xf numFmtId="0" fontId="16" fillId="40" borderId="17" xfId="0" applyFont="1" applyFill="1" applyBorder="1" applyAlignment="1">
      <alignment horizontal="right" vertical="top"/>
    </xf>
    <xf numFmtId="164" fontId="16" fillId="33" borderId="0" xfId="0" applyNumberFormat="1" applyFont="1" applyFill="1" applyAlignment="1">
      <alignment horizontal="right" vertical="top"/>
    </xf>
    <xf numFmtId="10" fontId="16" fillId="40" borderId="13" xfId="0" applyNumberFormat="1" applyFont="1" applyFill="1" applyBorder="1" applyAlignment="1">
      <alignment horizontal="right" vertical="top"/>
    </xf>
    <xf numFmtId="0" fontId="16" fillId="40" borderId="14" xfId="0" applyFont="1" applyFill="1" applyBorder="1" applyAlignment="1">
      <alignment horizontal="right" vertical="top"/>
    </xf>
    <xf numFmtId="164" fontId="0" fillId="45" borderId="15" xfId="0" applyNumberFormat="1" applyFill="1" applyBorder="1" applyAlignment="1">
      <alignment horizontal="right" vertical="top"/>
    </xf>
    <xf numFmtId="164" fontId="0" fillId="45" borderId="17" xfId="0" applyNumberFormat="1" applyFill="1" applyBorder="1" applyAlignment="1">
      <alignment horizontal="right" vertical="top"/>
    </xf>
    <xf numFmtId="164" fontId="0" fillId="45" borderId="10" xfId="0" applyNumberFormat="1" applyFill="1" applyBorder="1" applyAlignment="1">
      <alignment horizontal="right" vertical="top"/>
    </xf>
    <xf numFmtId="164" fontId="0" fillId="45" borderId="11" xfId="0" applyNumberFormat="1" applyFill="1" applyBorder="1" applyAlignment="1">
      <alignment horizontal="right" vertical="top"/>
    </xf>
    <xf numFmtId="16" fontId="0" fillId="0" borderId="0" xfId="0" applyNumberFormat="1">
      <alignment horizontal="left" vertical="top"/>
    </xf>
    <xf numFmtId="8" fontId="0" fillId="0" borderId="0" xfId="0" applyNumberFormat="1">
      <alignment horizontal="left" vertical="top"/>
    </xf>
    <xf numFmtId="0" fontId="0" fillId="34" borderId="15" xfId="0" applyFill="1" applyBorder="1" applyAlignment="1">
      <alignment horizontal="center" vertical="top"/>
    </xf>
    <xf numFmtId="0" fontId="0" fillId="34" borderId="17" xfId="0" applyFill="1" applyBorder="1" applyAlignment="1">
      <alignment horizontal="center" vertical="top"/>
    </xf>
    <xf numFmtId="0" fontId="0" fillId="34" borderId="7" xfId="0" applyFill="1" applyBorder="1" applyAlignment="1">
      <alignment horizontal="center" vertical="top"/>
    </xf>
    <xf numFmtId="0" fontId="0" fillId="34" borderId="8" xfId="0" applyFill="1" applyBorder="1" applyAlignment="1">
      <alignment horizontal="center" vertical="top"/>
    </xf>
    <xf numFmtId="0" fontId="0" fillId="34" borderId="9" xfId="0" applyFill="1" applyBorder="1" applyAlignment="1">
      <alignment horizontal="center" vertical="top"/>
    </xf>
    <xf numFmtId="164" fontId="16" fillId="40" borderId="7" xfId="0" applyNumberFormat="1" applyFont="1" applyFill="1" applyBorder="1" applyAlignment="1">
      <alignment horizontal="right" vertical="center"/>
    </xf>
    <xf numFmtId="164" fontId="16" fillId="40" borderId="12" xfId="0" applyNumberFormat="1" applyFont="1" applyFill="1" applyBorder="1" applyAlignment="1">
      <alignment horizontal="right" vertical="center"/>
    </xf>
    <xf numFmtId="164" fontId="16" fillId="40" borderId="9" xfId="0" applyNumberFormat="1" applyFont="1" applyFill="1" applyBorder="1" applyAlignment="1">
      <alignment horizontal="right" vertical="center"/>
    </xf>
    <xf numFmtId="164" fontId="16" fillId="40" borderId="14" xfId="0" applyNumberFormat="1" applyFont="1" applyFill="1" applyBorder="1" applyAlignment="1">
      <alignment horizontal="right" vertical="center"/>
    </xf>
    <xf numFmtId="0" fontId="15" fillId="39" borderId="6" xfId="0" applyFont="1" applyFill="1" applyBorder="1" applyAlignment="1">
      <alignment horizontal="center" vertical="top"/>
    </xf>
    <xf numFmtId="0" fontId="15" fillId="35" borderId="6" xfId="0" applyFont="1" applyFill="1" applyBorder="1" applyAlignment="1">
      <alignment horizontal="center" vertical="top"/>
    </xf>
  </cellXfs>
  <cellStyles count="43">
    <cellStyle name="20 % - Accent1" xfId="18" builtinId="30" hidden="1"/>
    <cellStyle name="20 % - Accent2" xfId="22" builtinId="34" hidden="1"/>
    <cellStyle name="20 % - Accent3" xfId="26" builtinId="38" hidden="1"/>
    <cellStyle name="20 % - Accent4" xfId="30" builtinId="42" hidden="1"/>
    <cellStyle name="20 % - Accent5" xfId="34" builtinId="46" hidden="1"/>
    <cellStyle name="20 % - Accent6" xfId="38" builtinId="50" hidden="1"/>
    <cellStyle name="40 % - Accent1" xfId="19" builtinId="31" hidden="1"/>
    <cellStyle name="40 % - Accent2" xfId="23" builtinId="35" hidden="1"/>
    <cellStyle name="40 % - Accent3" xfId="27" builtinId="39" hidden="1"/>
    <cellStyle name="40 % - Accent4" xfId="31" builtinId="43" hidden="1"/>
    <cellStyle name="40 % - Accent5" xfId="35" builtinId="47" hidden="1"/>
    <cellStyle name="40 % - Accent6" xfId="39" builtinId="51" hidden="1"/>
    <cellStyle name="60 % - Accent1" xfId="20" builtinId="32" hidden="1"/>
    <cellStyle name="60 % - Accent2" xfId="24" builtinId="36" hidden="1"/>
    <cellStyle name="60 % - Accent3" xfId="28" builtinId="40" hidden="1"/>
    <cellStyle name="60 % - Accent4" xfId="32" builtinId="44" hidden="1"/>
    <cellStyle name="60 % - Accent5" xfId="36" builtinId="48" hidden="1"/>
    <cellStyle name="60 % - Accent6" xfId="40" builtinId="52" hidden="1"/>
    <cellStyle name="Accent1" xfId="17" builtinId="29" hidden="1"/>
    <cellStyle name="Accent2" xfId="21" builtinId="33" hidden="1"/>
    <cellStyle name="Accent3" xfId="25" builtinId="37" hidden="1"/>
    <cellStyle name="Accent4" xfId="29" builtinId="41" hidden="1"/>
    <cellStyle name="Accent5" xfId="33" builtinId="45" hidden="1"/>
    <cellStyle name="Accent6" xfId="37" builtinId="49" hidden="1"/>
    <cellStyle name="Avertissement" xfId="14" builtinId="11" hidden="1"/>
    <cellStyle name="Calcul" xfId="11" builtinId="22" hidden="1"/>
    <cellStyle name="Cellule liée" xfId="12" builtinId="24" hidden="1"/>
    <cellStyle name="Entrée" xfId="9" builtinId="20" hidden="1"/>
    <cellStyle name="Insatisfaisant" xfId="7" builtinId="27" hidden="1"/>
    <cellStyle name="Lien hypertexte" xfId="41" builtinId="8" customBuiltin="1"/>
    <cellStyle name="Lien hypertexte visité" xfId="42" builtinId="9" customBuiltin="1"/>
    <cellStyle name="Milliers" xfId="1" builtinId="3" hidden="1"/>
    <cellStyle name="Milliers [0]" xfId="2" builtinId="6" hidden="1"/>
    <cellStyle name="Monétaire" xfId="3" builtinId="4" hidden="1"/>
    <cellStyle name="Monétaire [0]" xfId="4" builtinId="7" hidden="1"/>
    <cellStyle name="Neutre" xfId="8" builtinId="28" hidden="1"/>
    <cellStyle name="Normal" xfId="0" builtinId="0" customBuiltin="1"/>
    <cellStyle name="Note" xfId="15" builtinId="10" hidden="1"/>
    <cellStyle name="Pourcentage" xfId="5" builtinId="5" hidden="1"/>
    <cellStyle name="Satisfaisant" xfId="6" builtinId="26" hidden="1"/>
    <cellStyle name="Sortie" xfId="10" builtinId="21" hidden="1"/>
    <cellStyle name="Texte explicatif" xfId="16" builtinId="53" hidden="1"/>
    <cellStyle name="Vérification" xfId="13" builtinId="23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zoomScaleNormal="100" workbookViewId="0">
      <selection activeCell="B9" sqref="B9"/>
    </sheetView>
  </sheetViews>
  <sheetFormatPr baseColWidth="10" defaultColWidth="12.83203125" defaultRowHeight="12.75" x14ac:dyDescent="0.2"/>
  <cols>
    <col min="1" max="16384" width="12.83203125" style="1"/>
  </cols>
  <sheetData>
    <row r="1" spans="1:11" ht="23.25" x14ac:dyDescent="0.2">
      <c r="A1" s="34" t="s">
        <v>240</v>
      </c>
      <c r="D1" s="34" t="s">
        <v>318</v>
      </c>
      <c r="I1" s="34"/>
    </row>
    <row r="3" spans="1:11" x14ac:dyDescent="0.2">
      <c r="A3" s="1" t="str">
        <f>VLOOKUP(_Donnee,_Tables,4,FALSE)</f>
        <v>Données</v>
      </c>
      <c r="B3" s="5" t="s">
        <v>229</v>
      </c>
      <c r="E3" s="216" t="s">
        <v>317</v>
      </c>
      <c r="F3" s="217"/>
      <c r="G3" s="218"/>
      <c r="H3" s="214" t="s">
        <v>325</v>
      </c>
      <c r="I3" s="215"/>
      <c r="J3" s="214" t="s">
        <v>326</v>
      </c>
      <c r="K3" s="215"/>
    </row>
    <row r="4" spans="1:11" x14ac:dyDescent="0.2">
      <c r="D4" s="190"/>
      <c r="E4" s="191" t="s">
        <v>319</v>
      </c>
      <c r="F4" s="192" t="s">
        <v>320</v>
      </c>
      <c r="G4" s="193" t="s">
        <v>100</v>
      </c>
      <c r="H4" s="74" t="s">
        <v>306</v>
      </c>
      <c r="I4" s="75" t="s">
        <v>307</v>
      </c>
      <c r="J4" s="74" t="s">
        <v>306</v>
      </c>
      <c r="K4" s="75" t="s">
        <v>307</v>
      </c>
    </row>
    <row r="5" spans="1:11" x14ac:dyDescent="0.2">
      <c r="A5" s="1" t="str">
        <f>VLOOKUP(_PIBPNB,_Tables,4,FALSE)</f>
        <v>PIB ou PNB</v>
      </c>
      <c r="B5" s="5" t="s">
        <v>136</v>
      </c>
      <c r="D5" s="56" t="str">
        <f>VLOOKUP(CONCATENATE(_Impot,_Impot_CFE),_Tables,3,FALSE)</f>
        <v>CFE</v>
      </c>
      <c r="E5" s="194">
        <f>Select!C68</f>
        <v>0.04</v>
      </c>
      <c r="F5" s="195" t="str">
        <f>IF(_Regime_Select=_Regime_Gen,"",IF(Select!F68&lt;&gt;"",Select!F68,IF(Select!G68&lt;&gt;"",(100%-Select!G68)*Select!C68,"")))</f>
        <v/>
      </c>
      <c r="G5" s="196" t="str">
        <f>IF(_Regime_Select=_Regime_Gen,"",IF(OR(Select!F68&lt;&gt;"",Select!G68&lt;&gt;""),Select!E68,""))</f>
        <v/>
      </c>
      <c r="H5" s="197">
        <f>Modèle!D163</f>
        <v>3.3924050632911443E-2</v>
      </c>
      <c r="I5" s="198">
        <f>Modèle!I163</f>
        <v>3.3924050632911436E-2</v>
      </c>
      <c r="J5" s="208"/>
      <c r="K5" s="209"/>
    </row>
    <row r="6" spans="1:11" x14ac:dyDescent="0.2">
      <c r="D6" s="199" t="str">
        <f>VLOOKUP(CONCATENATE(_Impot,_Impot_IS),_Tables,3,FALSE)</f>
        <v>IS</v>
      </c>
      <c r="E6" s="201">
        <f>Select!C69</f>
        <v>0.3</v>
      </c>
      <c r="F6" s="203" t="str">
        <f>IF(_Regime_Select=_Regime_Gen,"",IF(Select!F69&lt;&gt;"",Select!F69,IF(Select!G69&lt;&gt;"",(100%-Select!G69)*Select!C69,"")))</f>
        <v/>
      </c>
      <c r="G6" s="204" t="str">
        <f>IF(_Regime_Select=_Regime_Gen,"",IF(OR(Select!F69&lt;&gt;"",Select!G69&lt;&gt;""),Select!E69,""))</f>
        <v/>
      </c>
      <c r="H6" s="219">
        <f>Modèle!D164</f>
        <v>0.2075443037974681</v>
      </c>
      <c r="I6" s="221">
        <f>Modèle!I164</f>
        <v>0.23575416816926681</v>
      </c>
      <c r="J6" s="219">
        <f>Modèle!D192</f>
        <v>0</v>
      </c>
      <c r="K6" s="221">
        <f>Modèle!H192</f>
        <v>0.62149337538873961</v>
      </c>
    </row>
    <row r="7" spans="1:11" x14ac:dyDescent="0.2">
      <c r="A7" s="1" t="str">
        <f>VLOOKUP(_Pays,_Tables,4,FALSE)</f>
        <v>Pays</v>
      </c>
      <c r="B7" s="5" t="s">
        <v>1</v>
      </c>
      <c r="D7" s="200" t="str">
        <f>VLOOKUP(CONCATENATE(_Impot,_Impot_IMF),_Tables,3,FALSE)</f>
        <v>IMF</v>
      </c>
      <c r="E7" s="202">
        <f>Select!C70</f>
        <v>7.4999999999999997E-3</v>
      </c>
      <c r="F7" s="206" t="str">
        <f>IF(_Regime_Select=_Regime_Gen,"",IF(Select!F70&lt;&gt;"",Select!F70,IF(Select!G70&lt;&gt;"",(100%-Select!G70)*Select!C70,"")))</f>
        <v/>
      </c>
      <c r="G7" s="207" t="str">
        <f>IF(_Regime_Select=_Regime_Gen,"",IF(OR(Select!F70&lt;&gt;"",Select!G70&lt;&gt;""),Select!E70,""))</f>
        <v/>
      </c>
      <c r="H7" s="220"/>
      <c r="I7" s="222"/>
      <c r="J7" s="220"/>
      <c r="K7" s="222"/>
    </row>
    <row r="8" spans="1:11" x14ac:dyDescent="0.2">
      <c r="D8" s="56" t="str">
        <f>VLOOKUP(CONCATENATE(_Impot,_Impot_IRVM),_Tables,3,FALSE)</f>
        <v>IRVM</v>
      </c>
      <c r="E8" s="194">
        <f>Select!C71</f>
        <v>0.1</v>
      </c>
      <c r="F8" s="195" t="str">
        <f>IF(_Regime_Select=_Regime_Gen,"",IF(Select!F71&lt;&gt;"",Select!F71,IF(Select!G71&lt;&gt;"",(100%-Select!G71)*Select!C71,"")))</f>
        <v/>
      </c>
      <c r="G8" s="196" t="str">
        <f>IF(_Regime_Select=_Regime_Gen,"",IF(OR(Select!F71&lt;&gt;"",Select!G71&lt;&gt;""),Select!E71,""))</f>
        <v/>
      </c>
      <c r="H8" s="197">
        <f>Modèle!D165</f>
        <v>3.4590717299578015E-2</v>
      </c>
      <c r="I8" s="198">
        <f>Modèle!I165</f>
        <v>3.9292361361544466E-2</v>
      </c>
      <c r="J8" s="208"/>
      <c r="K8" s="209"/>
    </row>
    <row r="9" spans="1:11" x14ac:dyDescent="0.2">
      <c r="A9" s="1" t="str">
        <f>VLOOKUP(_Regime,_Tables,4,FALSE)</f>
        <v>Régime</v>
      </c>
      <c r="B9" s="5" t="s">
        <v>44</v>
      </c>
      <c r="D9" s="38" t="str">
        <f>VLOOKUP(CONCATENATE(_Impot,_Impot_IRC),_Tables,3,FALSE)</f>
        <v>IRC</v>
      </c>
      <c r="E9" s="183">
        <f>Select!C72</f>
        <v>0.15</v>
      </c>
      <c r="F9" s="80" t="str">
        <f>IF(_Regime_Select=_Regime_Gen,"",IF(Select!F72&lt;&gt;"",Select!F72,IF(Select!G72&lt;&gt;"",(100%-Select!G72)*Select!C72,"")))</f>
        <v/>
      </c>
      <c r="G9" s="41" t="str">
        <f>IF(_Regime_Select=_Regime_Gen,"",IF(OR(Select!F72&lt;&gt;"",Select!G72&lt;&gt;""),Select!E72,""))</f>
        <v/>
      </c>
      <c r="H9" s="188">
        <f>Modèle!D166</f>
        <v>1.044303797468356E-2</v>
      </c>
      <c r="I9" s="172">
        <f>Modèle!I166</f>
        <v>1.0443037974683558E-2</v>
      </c>
      <c r="J9" s="210"/>
      <c r="K9" s="211"/>
    </row>
    <row r="10" spans="1:11" x14ac:dyDescent="0.2">
      <c r="B10" s="19" t="str">
        <f>Select!B62</f>
        <v/>
      </c>
      <c r="D10" s="56" t="str">
        <f>VLOOKUP(CONCATENATE(_Impot,_Impot_TVApetrole),_Tables,3,FALSE)</f>
        <v>TVA pétrole</v>
      </c>
      <c r="E10" s="194">
        <f>Select!C73</f>
        <v>0.18</v>
      </c>
      <c r="F10" s="195" t="str">
        <f>IF(_Regime_Select=_Regime_Gen,"",IF(Select!F73&lt;&gt;"",Select!F73,IF(Select!G73&lt;&gt;"",(100%-Select!G73)*Select!C73,"")))</f>
        <v/>
      </c>
      <c r="G10" s="196" t="str">
        <f>IF(_Regime_Select=_Regime_Gen,"",IF(OR(Select!F73&lt;&gt;"",Select!G73&lt;&gt;""),Select!E73,""))</f>
        <v/>
      </c>
      <c r="H10" s="197">
        <f>Modèle!D167</f>
        <v>0</v>
      </c>
      <c r="I10" s="198">
        <f>Modèle!I167</f>
        <v>0</v>
      </c>
      <c r="J10" s="208"/>
      <c r="K10" s="209"/>
    </row>
    <row r="11" spans="1:11" x14ac:dyDescent="0.2">
      <c r="B11" s="19" t="str">
        <f>Select!B63</f>
        <v/>
      </c>
      <c r="D11" s="173" t="s">
        <v>267</v>
      </c>
      <c r="E11" s="173"/>
      <c r="F11" s="51"/>
      <c r="G11" s="52"/>
      <c r="H11" s="189">
        <f>Modèle!D168</f>
        <v>0.28650210970464107</v>
      </c>
      <c r="I11" s="174">
        <f>Modèle!I168</f>
        <v>0.31941361813840624</v>
      </c>
      <c r="J11" s="189">
        <f>Modèle!D195</f>
        <v>0</v>
      </c>
      <c r="K11" s="174">
        <f>Modèle!H195</f>
        <v>0.86390257497952883</v>
      </c>
    </row>
    <row r="12" spans="1:11" x14ac:dyDescent="0.2">
      <c r="B12" s="19" t="str">
        <f>Select!B64</f>
        <v/>
      </c>
    </row>
    <row r="14" spans="1:11" ht="23.25" x14ac:dyDescent="0.2">
      <c r="A14" s="34" t="s">
        <v>241</v>
      </c>
    </row>
    <row r="16" spans="1:11" x14ac:dyDescent="0.2">
      <c r="A16" s="223" t="str">
        <f>VLOOKUP(_Bilan,_Tables,4,FALSE)</f>
        <v>Bilan à l'ouverture</v>
      </c>
      <c r="B16" s="223"/>
      <c r="C16" s="223"/>
      <c r="D16" s="223"/>
      <c r="E16" s="223"/>
      <c r="F16" s="223"/>
      <c r="H16" s="73" t="str">
        <f>VLOOKUP(_PIBPNB,_Tables,4,FALSE)</f>
        <v>PIB ou PNB</v>
      </c>
      <c r="I16" s="67"/>
      <c r="J16" s="67"/>
      <c r="K16" s="68"/>
    </row>
    <row r="17" spans="1:11" x14ac:dyDescent="0.2">
      <c r="A17" s="224" t="str">
        <f>VLOOKUP(_Actif,_Tables,4,FALSE)</f>
        <v>Actif</v>
      </c>
      <c r="B17" s="224"/>
      <c r="C17" s="224"/>
      <c r="D17" s="224" t="str">
        <f>VLOOKUP(_Passif,_Tables,4,FALSE)</f>
        <v>Passif</v>
      </c>
      <c r="E17" s="224"/>
      <c r="F17" s="224"/>
      <c r="H17" s="56" t="str">
        <f>_PIBPNB_Liste</f>
        <v>PIB/tête</v>
      </c>
      <c r="I17" s="57"/>
      <c r="J17" s="69">
        <f>_PIBPNB_Select</f>
        <v>446686.61040326342</v>
      </c>
      <c r="K17" s="70" t="s">
        <v>251</v>
      </c>
    </row>
    <row r="18" spans="1:11" x14ac:dyDescent="0.2">
      <c r="A18" s="59" t="str">
        <f>VLOOKUP(_ActifImmo,_Tables,4,FALSE)</f>
        <v>Actif immobilisé</v>
      </c>
      <c r="B18" s="36"/>
      <c r="C18" s="37"/>
      <c r="D18" s="60" t="str">
        <f>VLOOKUP(_CapitauxPropres,_Tables,4,FALSE)</f>
        <v>Capitaux propres</v>
      </c>
      <c r="E18" s="36"/>
      <c r="F18" s="37"/>
    </row>
    <row r="19" spans="1:11" x14ac:dyDescent="0.2">
      <c r="A19" s="38" t="str">
        <f>VLOOKUP(_Terrain,_Tables,4,FALSE)</f>
        <v>Terrain</v>
      </c>
      <c r="B19" s="39"/>
      <c r="C19" s="41">
        <f>_Terrain_Select</f>
        <v>30</v>
      </c>
      <c r="D19" s="39" t="str">
        <f>VLOOKUP(_CapitalSocial,_Tables,4,FALSE)</f>
        <v>Capital social</v>
      </c>
      <c r="E19" s="39"/>
      <c r="F19" s="41">
        <f>_CapitalSocial_Select</f>
        <v>102</v>
      </c>
      <c r="H19" s="73" t="str">
        <f>VLOOKUP(_Salaries,_Tables,4,FALSE)</f>
        <v>Salariés</v>
      </c>
      <c r="I19" s="67"/>
      <c r="J19" s="67"/>
      <c r="K19" s="68"/>
    </row>
    <row r="20" spans="1:11" x14ac:dyDescent="0.2">
      <c r="A20" s="38" t="str">
        <f>VLOOKUP(_Constructions,_Tables,4,FALSE)</f>
        <v>Constructions</v>
      </c>
      <c r="B20" s="39"/>
      <c r="C20" s="41">
        <f>_Constructions_Select</f>
        <v>40</v>
      </c>
      <c r="D20" s="39"/>
      <c r="E20" s="39"/>
      <c r="F20" s="42"/>
      <c r="H20" s="35"/>
      <c r="I20" s="36"/>
      <c r="J20" s="74" t="str">
        <f>VLOOKUP(_Nombre,_Tables,4,FALSE)</f>
        <v>Nombre</v>
      </c>
      <c r="K20" s="75" t="str">
        <f>VLOOKUP(_Indice,_Tables,4,FALSE)</f>
        <v>Indice salarial</v>
      </c>
    </row>
    <row r="21" spans="1:11" x14ac:dyDescent="0.2">
      <c r="A21" s="38" t="str">
        <f>VLOOKUP(_Equipement,_Tables,4,FALSE)</f>
        <v>Equipement</v>
      </c>
      <c r="B21" s="39"/>
      <c r="C21" s="41">
        <f>_Equipement_Select</f>
        <v>60</v>
      </c>
      <c r="D21" s="39"/>
      <c r="E21" s="39"/>
      <c r="F21" s="42"/>
      <c r="H21" s="38" t="str">
        <f>VLOOKUP(_Cadres,_Tables,4,FALSE)</f>
        <v>Cadres</v>
      </c>
      <c r="I21" s="39"/>
      <c r="J21" s="71">
        <f>_Nombre_Cadres_Select</f>
        <v>4</v>
      </c>
      <c r="K21" s="41">
        <f>_Indice_Cadres_Select</f>
        <v>2.25</v>
      </c>
    </row>
    <row r="22" spans="1:11" x14ac:dyDescent="0.2">
      <c r="A22" s="38" t="str">
        <f>VLOOKUP(_Camion,_Tables,4,FALSE)</f>
        <v>Camion</v>
      </c>
      <c r="B22" s="39"/>
      <c r="C22" s="41">
        <f>_Camion_Select</f>
        <v>5</v>
      </c>
      <c r="D22" s="39"/>
      <c r="E22" s="39"/>
      <c r="F22" s="42"/>
      <c r="H22" s="38" t="str">
        <f>VLOOKUP(_Secretaires,_Tables,4,FALSE)</f>
        <v>Secrétaires</v>
      </c>
      <c r="I22" s="39"/>
      <c r="J22" s="71">
        <f>_Nombre_Secretaires_Select</f>
        <v>8</v>
      </c>
      <c r="K22" s="41">
        <f>_Indice_Secretaires_Select</f>
        <v>1.25</v>
      </c>
    </row>
    <row r="23" spans="1:11" x14ac:dyDescent="0.2">
      <c r="A23" s="38" t="str">
        <f>VLOOKUP(_Informatique,_Tables,4,FALSE)</f>
        <v>Matériel informatique</v>
      </c>
      <c r="B23" s="39"/>
      <c r="C23" s="41">
        <f>_Informatique_Select</f>
        <v>5</v>
      </c>
      <c r="D23" s="39"/>
      <c r="E23" s="39"/>
      <c r="F23" s="42"/>
      <c r="H23" s="45" t="str">
        <f>VLOOKUP(_Ouvriers,_Tables,4,FALSE)</f>
        <v>Ouvriers</v>
      </c>
      <c r="I23" s="46"/>
      <c r="J23" s="72">
        <f>_Nombre_Ouvriers_Select</f>
        <v>48</v>
      </c>
      <c r="K23" s="48">
        <f>_Indice_Ouvriers_Select</f>
        <v>1</v>
      </c>
    </row>
    <row r="24" spans="1:11" x14ac:dyDescent="0.2">
      <c r="A24" s="45" t="str">
        <f>VLOOKUP(_Bureau,_Tables,4,FALSE)</f>
        <v>Matériel de bureau</v>
      </c>
      <c r="B24" s="46"/>
      <c r="C24" s="48">
        <f>_Bureau_Select</f>
        <v>5</v>
      </c>
      <c r="D24" s="46"/>
      <c r="E24" s="46"/>
      <c r="F24" s="49"/>
    </row>
    <row r="25" spans="1:11" x14ac:dyDescent="0.2">
      <c r="A25" s="61" t="str">
        <f>VLOOKUP(_ActifCirculant,_Tables,4,FALSE)</f>
        <v>Actif circulant</v>
      </c>
      <c r="B25" s="43"/>
      <c r="C25" s="44"/>
      <c r="D25" s="62" t="str">
        <f>VLOOKUP(_Dettes,_Tables,4,FALSE)</f>
        <v>Dettes</v>
      </c>
      <c r="E25" s="43"/>
      <c r="F25" s="44"/>
      <c r="H25" s="73" t="str">
        <f>VLOOKUP(_Dividendes,_Tables,4,FALSE)</f>
        <v>Dividendes</v>
      </c>
      <c r="I25" s="67"/>
      <c r="J25" s="67"/>
      <c r="K25" s="68"/>
    </row>
    <row r="26" spans="1:11" x14ac:dyDescent="0.2">
      <c r="A26" s="38" t="str">
        <f>VLOOKUP(_Stocks,_Tables,4,FALSE)</f>
        <v>Stocks</v>
      </c>
      <c r="B26" s="39"/>
      <c r="C26" s="41">
        <f>_Stocks_Select</f>
        <v>35</v>
      </c>
      <c r="D26" s="39" t="str">
        <f>VLOOKUP(_DettesLT,_Tables,4,FALSE)</f>
        <v>Dettes à long terme</v>
      </c>
      <c r="E26" s="39"/>
      <c r="F26" s="41">
        <f>_DettesLT_Select</f>
        <v>43</v>
      </c>
      <c r="H26" s="56" t="str">
        <f>VLOOKUP(_DividendesDistribues,_Tables,4,FALSE)</f>
        <v>Distribution annuelle</v>
      </c>
      <c r="I26" s="57"/>
      <c r="J26" s="78">
        <f>_DividendesDistribues_Select</f>
        <v>0.5</v>
      </c>
      <c r="K26" s="70" t="s">
        <v>252</v>
      </c>
    </row>
    <row r="27" spans="1:11" x14ac:dyDescent="0.2">
      <c r="A27" s="38" t="str">
        <f>VLOOKUP(_CreancesClients,_Tables,4,FALSE)</f>
        <v>Créances clients</v>
      </c>
      <c r="B27" s="39"/>
      <c r="C27" s="41">
        <f>_CreancesClients_Select</f>
        <v>50</v>
      </c>
      <c r="D27" s="39" t="str">
        <f>VLOOKUP(_DettesCT,_Tables,4,FALSE)</f>
        <v>Dettes à court terme</v>
      </c>
      <c r="E27" s="39"/>
      <c r="F27" s="41">
        <f>_DettesCT_Select</f>
        <v>55</v>
      </c>
    </row>
    <row r="28" spans="1:11" x14ac:dyDescent="0.2">
      <c r="A28" s="45" t="str">
        <f>VLOOKUP(_DisponibilitesBancaires,_Tables,4,FALSE)</f>
        <v>Disponibilités bancaires</v>
      </c>
      <c r="B28" s="46"/>
      <c r="C28" s="48">
        <f>_DisponibilitesBancaires_Select</f>
        <v>20</v>
      </c>
      <c r="D28" s="46" t="str">
        <f>VLOOKUP(_DettesFournisseurs,_Tables,4,FALSE)</f>
        <v>Dettes fournisseurs</v>
      </c>
      <c r="E28" s="46"/>
      <c r="F28" s="48">
        <f>_DettesFournisseurs_Select</f>
        <v>50</v>
      </c>
      <c r="H28" s="73" t="str">
        <f>VLOOKUP(_Actualisation,_Tables,4,FALSE)</f>
        <v>Actualisation</v>
      </c>
      <c r="I28" s="67"/>
      <c r="J28" s="67"/>
      <c r="K28" s="68"/>
    </row>
    <row r="29" spans="1:11" x14ac:dyDescent="0.2">
      <c r="A29" s="63" t="str">
        <f>VLOOKUP(_Actif,_Tables,4,FALSE)</f>
        <v>Actif</v>
      </c>
      <c r="B29" s="58"/>
      <c r="C29" s="76">
        <f>SUM(C18:C28)</f>
        <v>250</v>
      </c>
      <c r="D29" s="64" t="str">
        <f>VLOOKUP(_Passif,_Tables,4,FALSE)</f>
        <v>Passif</v>
      </c>
      <c r="E29" s="58"/>
      <c r="F29" s="76">
        <f>SUM(F18:F28)</f>
        <v>250</v>
      </c>
      <c r="H29" s="56" t="str">
        <f>VLOOKUP(_TauxDActualisation,_Tables,4,FALSE)</f>
        <v>Taux d'actualisation</v>
      </c>
      <c r="I29" s="57"/>
      <c r="J29" s="78">
        <f>_TauxDActualisation_Select</f>
        <v>0.08</v>
      </c>
      <c r="K29" s="70"/>
    </row>
    <row r="31" spans="1:11" x14ac:dyDescent="0.2">
      <c r="A31" s="223" t="str">
        <f>VLOOKUP(_CompteDeResultat,_Tables,4,FALSE)</f>
        <v>Compte de résultat</v>
      </c>
      <c r="B31" s="223"/>
      <c r="C31" s="223"/>
      <c r="D31" s="223"/>
      <c r="E31" s="223"/>
      <c r="F31" s="223"/>
    </row>
    <row r="32" spans="1:11" x14ac:dyDescent="0.2">
      <c r="A32" s="224" t="str">
        <f>VLOOKUP(_Charges,_Tables,4,FALSE)</f>
        <v>Charges</v>
      </c>
      <c r="B32" s="224"/>
      <c r="C32" s="224"/>
      <c r="D32" s="224" t="str">
        <f>VLOOKUP(_Produits,_Tables,4,FALSE)</f>
        <v>Produits</v>
      </c>
      <c r="E32" s="224"/>
      <c r="F32" s="224"/>
    </row>
    <row r="33" spans="1:6" x14ac:dyDescent="0.2">
      <c r="A33" s="59" t="str">
        <f>VLOOKUP(_AchatsBetS,_Tables,4,FALSE)</f>
        <v>Achats de biens et services</v>
      </c>
      <c r="B33" s="36"/>
      <c r="C33" s="37"/>
      <c r="D33" s="60" t="str">
        <f>VLOOKUP(_Ventes,_Tables,4,FALSE)</f>
        <v>Ventes</v>
      </c>
      <c r="E33" s="36"/>
      <c r="F33" s="37"/>
    </row>
    <row r="34" spans="1:6" x14ac:dyDescent="0.2">
      <c r="A34" s="38" t="str">
        <f>VLOOKUP(_Achats,_Tables,4,FALSE)</f>
        <v>Achats</v>
      </c>
      <c r="B34" s="39"/>
      <c r="C34" s="41">
        <f>_Achats_Select</f>
        <v>875</v>
      </c>
      <c r="D34" s="39" t="str">
        <f>VLOOKUP(_Ventes,_Tables,4,FALSE)</f>
        <v>Ventes</v>
      </c>
      <c r="E34" s="39"/>
      <c r="F34" s="41">
        <f>_Ventes_Select</f>
        <v>1050</v>
      </c>
    </row>
    <row r="35" spans="1:6" x14ac:dyDescent="0.2">
      <c r="A35" s="38" t="str">
        <f>VLOOKUP(_Petrole,_Tables,4,FALSE)</f>
        <v>Pétrole</v>
      </c>
      <c r="B35" s="39"/>
      <c r="C35" s="41">
        <f>_Petrole_Select</f>
        <v>0</v>
      </c>
      <c r="D35" s="39"/>
      <c r="E35" s="39"/>
      <c r="F35" s="42"/>
    </row>
    <row r="36" spans="1:6" x14ac:dyDescent="0.2">
      <c r="A36" s="38" t="str">
        <f>VLOOKUP(_DepensesAdministratives,_Tables,4,FALSE)</f>
        <v>Dépenses administratives</v>
      </c>
      <c r="B36" s="39"/>
      <c r="C36" s="41">
        <f>_DepensesAdministratives_Select</f>
        <v>10</v>
      </c>
      <c r="D36" s="39"/>
      <c r="E36" s="39"/>
      <c r="F36" s="42"/>
    </row>
    <row r="37" spans="1:6" x14ac:dyDescent="0.2">
      <c r="A37" s="38" t="str">
        <f>VLOOKUP(_DepensesPublicitaires,_Tables,4,FALSE)</f>
        <v>Dépenses publicitaires</v>
      </c>
      <c r="B37" s="39"/>
      <c r="C37" s="41">
        <f>_DepensesPublicitaires_Select</f>
        <v>10.5</v>
      </c>
      <c r="D37" s="39"/>
      <c r="E37" s="39"/>
      <c r="F37" s="42"/>
    </row>
    <row r="38" spans="1:6" x14ac:dyDescent="0.2">
      <c r="A38" s="38" t="str">
        <f>VLOOKUP(_DepensesDEntretien,_Tables,4,FALSE)</f>
        <v>Dépenses d'entretien</v>
      </c>
      <c r="B38" s="39"/>
      <c r="C38" s="41">
        <f>_DepensesDEntretien_Select</f>
        <v>3</v>
      </c>
      <c r="D38" s="39"/>
      <c r="E38" s="39"/>
      <c r="F38" s="42"/>
    </row>
    <row r="39" spans="1:6" x14ac:dyDescent="0.2">
      <c r="A39" s="65" t="str">
        <f>VLOOKUP(_ImpotsEtTaxes,_Tables,4,FALSE)</f>
        <v>Impôts et taxes</v>
      </c>
      <c r="B39" s="53"/>
      <c r="C39" s="54"/>
      <c r="D39" s="39"/>
      <c r="E39" s="39"/>
      <c r="F39" s="42"/>
    </row>
    <row r="40" spans="1:6" x14ac:dyDescent="0.2">
      <c r="A40" s="61" t="str">
        <f>VLOOKUP(_MasseSalariale,_Tables,4,FALSE)</f>
        <v>Masse salariale</v>
      </c>
      <c r="B40" s="43"/>
      <c r="C40" s="44"/>
      <c r="D40" s="39"/>
      <c r="E40" s="39"/>
      <c r="F40" s="42"/>
    </row>
    <row r="41" spans="1:6" x14ac:dyDescent="0.2">
      <c r="A41" s="50" t="str">
        <f>VLOOKUP(_Cadres,_Tables,4,FALSE)</f>
        <v>Cadres</v>
      </c>
      <c r="B41" s="39"/>
      <c r="C41" s="41">
        <f>_Nombre_Cadres_Select*_Indice_Cadres_Select</f>
        <v>9</v>
      </c>
      <c r="D41" s="39"/>
      <c r="E41" s="39"/>
      <c r="F41" s="42"/>
    </row>
    <row r="42" spans="1:6" x14ac:dyDescent="0.2">
      <c r="A42" s="50" t="str">
        <f>VLOOKUP(_Secretaires,_Tables,4,FALSE)</f>
        <v>Secrétaires</v>
      </c>
      <c r="B42" s="39"/>
      <c r="C42" s="41">
        <f>_Nombre_Secretaires_Select*_Indice_Secretaires_Select</f>
        <v>10</v>
      </c>
      <c r="D42" s="39"/>
      <c r="E42" s="39"/>
      <c r="F42" s="42"/>
    </row>
    <row r="43" spans="1:6" x14ac:dyDescent="0.2">
      <c r="A43" s="50" t="str">
        <f>VLOOKUP(_Ouvriers,_Tables,4,FALSE)</f>
        <v>Ouvriers</v>
      </c>
      <c r="B43" s="39"/>
      <c r="C43" s="41">
        <f>_Nombre_Ouvriers_Select*_Indice_Ouvriers_Select</f>
        <v>48</v>
      </c>
      <c r="D43" s="39"/>
      <c r="E43" s="39"/>
      <c r="F43" s="42"/>
    </row>
    <row r="44" spans="1:6" x14ac:dyDescent="0.2">
      <c r="A44" s="59" t="str">
        <f>VLOOKUP(_ChargesFinancieres,_Tables,4,FALSE)</f>
        <v>Charges financières</v>
      </c>
      <c r="B44" s="36"/>
      <c r="C44" s="37"/>
      <c r="D44" s="39"/>
      <c r="E44" s="39"/>
      <c r="F44" s="42"/>
    </row>
    <row r="45" spans="1:6" x14ac:dyDescent="0.2">
      <c r="A45" s="55" t="str">
        <f>VLOOKUP(_ChargesFinancieres,_Tables,4,FALSE)</f>
        <v>Charges financières</v>
      </c>
      <c r="B45" s="46"/>
      <c r="C45" s="48">
        <f>_ChargesFinancieres_Select</f>
        <v>5.5</v>
      </c>
      <c r="D45" s="39"/>
      <c r="E45" s="39"/>
      <c r="F45" s="42"/>
    </row>
    <row r="46" spans="1:6" x14ac:dyDescent="0.2">
      <c r="A46" s="66" t="str">
        <f>VLOOKUP(_Amortissement,_Tables,4,FALSE)</f>
        <v>Amortissement</v>
      </c>
      <c r="B46" s="51"/>
      <c r="C46" s="52"/>
      <c r="D46" s="46"/>
      <c r="E46" s="46"/>
      <c r="F46" s="49"/>
    </row>
    <row r="48" spans="1:6" ht="23.25" x14ac:dyDescent="0.2">
      <c r="A48" s="34" t="s">
        <v>247</v>
      </c>
    </row>
    <row r="50" spans="1:11" x14ac:dyDescent="0.2">
      <c r="A50" s="63" t="str">
        <f>VLOOKUP(_Impot,_Tables,4,FALSE)</f>
        <v>Impôt</v>
      </c>
      <c r="B50" s="58"/>
      <c r="C50" s="58"/>
      <c r="D50" s="58"/>
      <c r="E50" s="58"/>
      <c r="F50" s="77"/>
      <c r="H50" s="73" t="str">
        <f>VLOOKUP(_Amortissement,_Tables,4,FALSE)</f>
        <v>Amortissement</v>
      </c>
      <c r="I50" s="67"/>
      <c r="J50" s="67"/>
      <c r="K50" s="68"/>
    </row>
    <row r="51" spans="1:11" x14ac:dyDescent="0.2">
      <c r="A51" s="35"/>
      <c r="B51" s="74">
        <v>1</v>
      </c>
      <c r="C51" s="74">
        <v>2</v>
      </c>
      <c r="D51" s="74">
        <v>3</v>
      </c>
      <c r="E51" s="74">
        <v>4</v>
      </c>
      <c r="F51" s="75">
        <v>5</v>
      </c>
      <c r="H51" s="35"/>
      <c r="I51" s="36"/>
      <c r="J51" s="74" t="str">
        <f>VLOOKUP(CONCATENATE(_Information,_Information_DureeLineaire),_Tables,3,FALSE)</f>
        <v>Durée linéaire</v>
      </c>
      <c r="K51" s="75" t="str">
        <f>VLOOKUP(CONCATENATE(_Information,_Information_CoefDegressif),_Tables,3,FALSE)</f>
        <v>Coef dégressif</v>
      </c>
    </row>
    <row r="52" spans="1:11" x14ac:dyDescent="0.2">
      <c r="A52" s="50" t="str">
        <f>VLOOKUP(CONCATENATE(_Impot,_Impot_CFE),_Tables,3,FALSE)</f>
        <v>CFE</v>
      </c>
      <c r="B52" s="80">
        <f>_CFE_Taux_Select1</f>
        <v>0.04</v>
      </c>
      <c r="C52" s="80">
        <f>_CFE_Taux_Select2</f>
        <v>0.04</v>
      </c>
      <c r="D52" s="80">
        <f>_CFE_Taux_Select3</f>
        <v>0.04</v>
      </c>
      <c r="E52" s="80">
        <f>_CFE_Taux_Select4</f>
        <v>0.04</v>
      </c>
      <c r="F52" s="81">
        <f>_CFE_Taux_Select5</f>
        <v>0.04</v>
      </c>
      <c r="H52" s="38" t="str">
        <f>VLOOKUP(_Constructions,_Tables,4,FALSE)</f>
        <v>Constructions</v>
      </c>
      <c r="I52" s="39"/>
      <c r="J52" s="40">
        <f>_Constructions_DureeLineaire_Select</f>
        <v>20</v>
      </c>
      <c r="K52" s="41">
        <f>_Constructions_CoefDegressif_Select</f>
        <v>1</v>
      </c>
    </row>
    <row r="53" spans="1:11" x14ac:dyDescent="0.2">
      <c r="A53" s="50" t="str">
        <f>VLOOKUP(CONCATENATE(_Impot,_Impot_IS),_Tables,3,FALSE)</f>
        <v>IS</v>
      </c>
      <c r="B53" s="80">
        <f>_IS_Taux_Select1</f>
        <v>0.3</v>
      </c>
      <c r="C53" s="80">
        <f>_IS_Taux_Select2</f>
        <v>0.3</v>
      </c>
      <c r="D53" s="80">
        <f>_IS_Taux_Select3</f>
        <v>0.3</v>
      </c>
      <c r="E53" s="80">
        <f>_IS_Taux_Select4</f>
        <v>0.3</v>
      </c>
      <c r="F53" s="81">
        <f>_IS_Taux_Select5</f>
        <v>0.3</v>
      </c>
      <c r="H53" s="38" t="str">
        <f>VLOOKUP(_Equipement,_Tables,4,FALSE)</f>
        <v>Equipement</v>
      </c>
      <c r="I53" s="39"/>
      <c r="J53" s="40">
        <f>_Equipement_DureeLineaire_Select</f>
        <v>10</v>
      </c>
      <c r="K53" s="41">
        <f>_Equipement_CoefDegressif_Select</f>
        <v>2.5</v>
      </c>
    </row>
    <row r="54" spans="1:11" x14ac:dyDescent="0.2">
      <c r="A54" s="50" t="str">
        <f>VLOOKUP(CONCATENATE(_Impot,_Impot_IMF),_Tables,3,FALSE)</f>
        <v>IMF</v>
      </c>
      <c r="B54" s="80">
        <f>_IMF_Taux_Select1</f>
        <v>7.4999999999999997E-3</v>
      </c>
      <c r="C54" s="80">
        <f>_IMF_Taux_Select2</f>
        <v>7.4999999999999997E-3</v>
      </c>
      <c r="D54" s="80">
        <f>_IMF_Taux_Select3</f>
        <v>7.4999999999999997E-3</v>
      </c>
      <c r="E54" s="80">
        <f>_IMF_Taux_Select4</f>
        <v>7.4999999999999997E-3</v>
      </c>
      <c r="F54" s="81">
        <f>_IMF_Taux_Select5</f>
        <v>7.4999999999999997E-3</v>
      </c>
      <c r="H54" s="38" t="str">
        <f>VLOOKUP(_Camion,_Tables,4,FALSE)</f>
        <v>Camion</v>
      </c>
      <c r="I54" s="39"/>
      <c r="J54" s="40">
        <f>_Camion_DureeLineaire_Select</f>
        <v>3</v>
      </c>
      <c r="K54" s="41">
        <f>_Camion_CoefDegressif_Select</f>
        <v>1</v>
      </c>
    </row>
    <row r="55" spans="1:11" x14ac:dyDescent="0.2">
      <c r="A55" s="50" t="str">
        <f>VLOOKUP(CONCATENATE(_Impot,_Impot_IRVM),_Tables,3,FALSE)</f>
        <v>IRVM</v>
      </c>
      <c r="B55" s="80">
        <f>_IRVM_Taux_Select1</f>
        <v>0.1</v>
      </c>
      <c r="C55" s="80">
        <f>_IRVM_Taux_Select2</f>
        <v>0.1</v>
      </c>
      <c r="D55" s="80">
        <f>_IRVM_Taux_Select3</f>
        <v>0.1</v>
      </c>
      <c r="E55" s="80">
        <f>_IRVM_Taux_Select4</f>
        <v>0.1</v>
      </c>
      <c r="F55" s="81">
        <f>_IRVM_Taux_Select5</f>
        <v>0.1</v>
      </c>
      <c r="H55" s="38" t="str">
        <f>VLOOKUP(_Informatique,_Tables,4,FALSE)</f>
        <v>Matériel informatique</v>
      </c>
      <c r="I55" s="39"/>
      <c r="J55" s="40">
        <f>_Informatique_DureeLineaire_Select</f>
        <v>2</v>
      </c>
      <c r="K55" s="41">
        <f>_Informatique_CoefDegressif_Select</f>
        <v>1</v>
      </c>
    </row>
    <row r="56" spans="1:11" x14ac:dyDescent="0.2">
      <c r="A56" s="50" t="str">
        <f>VLOOKUP(CONCATENATE(_Impot,_Impot_IRC),_Tables,3,FALSE)</f>
        <v>IRC</v>
      </c>
      <c r="B56" s="80">
        <f>_IRC_Taux_Select1</f>
        <v>0.15</v>
      </c>
      <c r="C56" s="80">
        <f>_IRC_Taux_Select2</f>
        <v>0.15</v>
      </c>
      <c r="D56" s="80">
        <f>_IRC_Taux_Select3</f>
        <v>0.15</v>
      </c>
      <c r="E56" s="80">
        <f>_IRC_Taux_Select4</f>
        <v>0.15</v>
      </c>
      <c r="F56" s="81">
        <f>_IRC_Taux_Select5</f>
        <v>0.15</v>
      </c>
      <c r="H56" s="45" t="str">
        <f>VLOOKUP(_Bureau,_Tables,4,FALSE)</f>
        <v>Matériel de bureau</v>
      </c>
      <c r="I56" s="46"/>
      <c r="J56" s="47">
        <f>_Bureau_DureeLineaire_Select</f>
        <v>10</v>
      </c>
      <c r="K56" s="48">
        <f>_Bureau_CoefDegressif_Select</f>
        <v>1</v>
      </c>
    </row>
    <row r="57" spans="1:11" x14ac:dyDescent="0.2">
      <c r="A57" s="55" t="str">
        <f>VLOOKUP(CONCATENATE(_Impot,_Impot_TVApetrole),_Tables,3,FALSE)</f>
        <v>TVA pétrole</v>
      </c>
      <c r="B57" s="82">
        <f>_TVApetrole_Taux_Select1</f>
        <v>0.18</v>
      </c>
      <c r="C57" s="82">
        <f>_TVApetrole_Taux_Select2</f>
        <v>0.18</v>
      </c>
      <c r="D57" s="82">
        <f>_TVApetrole_Taux_Select3</f>
        <v>0.18</v>
      </c>
      <c r="E57" s="82">
        <f>_TVApetrole_Taux_Select4</f>
        <v>0.18</v>
      </c>
      <c r="F57" s="83">
        <f>_TVApetrole_Taux_Select5</f>
        <v>0.18</v>
      </c>
    </row>
    <row r="58" spans="1:11" x14ac:dyDescent="0.2">
      <c r="H58" s="142" t="s">
        <v>246</v>
      </c>
      <c r="I58" s="84"/>
      <c r="J58" s="84"/>
      <c r="K58" s="85"/>
    </row>
    <row r="59" spans="1:11" x14ac:dyDescent="0.2">
      <c r="H59" s="138" t="str">
        <f>VLOOKUP(CONCATENATE(_Information,_Information_Taux),_Tables,4,FALSE)</f>
        <v>Taux</v>
      </c>
      <c r="I59" s="139" t="str">
        <f>IF(ISNUMBER(_Amortissement_TauxExceptionnel_Select),_Amortissement_TauxExceptionnel_Select,"")</f>
        <v/>
      </c>
      <c r="J59" s="140" t="s">
        <v>248</v>
      </c>
      <c r="K59" s="141"/>
    </row>
    <row r="60" spans="1:11" x14ac:dyDescent="0.2">
      <c r="H60" s="38" t="str">
        <f>VLOOKUP(CONCATENATE(_Information,_Information_Limitation),_Tables,4,FALSE)</f>
        <v>Limitation</v>
      </c>
      <c r="I60" s="88" t="str">
        <f>IF(ISNUMBER(_Amortissement_Limitation_Select),_Amortissement_Limitation_Select,"")</f>
        <v/>
      </c>
      <c r="J60" s="86" t="s">
        <v>250</v>
      </c>
      <c r="K60" s="42"/>
    </row>
    <row r="61" spans="1:11" x14ac:dyDescent="0.2">
      <c r="H61" s="45" t="str">
        <f>VLOOKUP(CONCATENATE(_Information,_Information_Duree),_Tables,4,FALSE)</f>
        <v>Durée</v>
      </c>
      <c r="I61" s="144" t="str">
        <f>IF(ISNUMBER(_Amortissement_Duree_Select),_Amortissement_Duree_Select,"")</f>
        <v/>
      </c>
      <c r="J61" s="87" t="s">
        <v>282</v>
      </c>
      <c r="K61" s="49"/>
    </row>
  </sheetData>
  <mergeCells count="13">
    <mergeCell ref="A31:F31"/>
    <mergeCell ref="A32:C32"/>
    <mergeCell ref="D32:F32"/>
    <mergeCell ref="A16:F16"/>
    <mergeCell ref="A17:C17"/>
    <mergeCell ref="D17:F17"/>
    <mergeCell ref="H3:I3"/>
    <mergeCell ref="J3:K3"/>
    <mergeCell ref="E3:G3"/>
    <mergeCell ref="H6:H7"/>
    <mergeCell ref="I6:I7"/>
    <mergeCell ref="J6:J7"/>
    <mergeCell ref="K6:K7"/>
  </mergeCells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Erreur" error="Ce régime n'est pas disponible." xr:uid="{00000000-0002-0000-0000-000000000000}">
          <x14:formula1>
            <xm:f>Select!$B$59:$B$60</xm:f>
          </x14:formula1>
          <xm:sqref>B9</xm:sqref>
        </x14:dataValidation>
        <x14:dataValidation type="list" allowBlank="1" showInputMessage="1" showErrorMessage="1" errorTitle="Erreur" error="Cette valeur n'est pas disponible." xr:uid="{00000000-0002-0000-0000-000001000000}">
          <x14:formula1>
            <xm:f>Select!$B$39:$B$40</xm:f>
          </x14:formula1>
          <xm:sqref>B5</xm:sqref>
        </x14:dataValidation>
        <x14:dataValidation type="list" allowBlank="1" showInputMessage="1" showErrorMessage="1" errorTitle="Erreur" error="Ces données ne sont pas disponibles." xr:uid="{00000000-0002-0000-0000-000002000000}">
          <x14:formula1>
            <xm:f>Select!$B$3:$B$4</xm:f>
          </x14:formula1>
          <xm:sqref>B3</xm:sqref>
        </x14:dataValidation>
        <x14:dataValidation type="list" allowBlank="1" showInputMessage="1" showErrorMessage="1" errorTitle="Erreur" error="Ce pays n'est pas disponible." xr:uid="{00000000-0002-0000-0000-000003000000}">
          <x14:formula1>
            <xm:f>Select!$B$43:$B$54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85"/>
  <sheetViews>
    <sheetView topLeftCell="B58" zoomScaleNormal="100" workbookViewId="0">
      <selection activeCell="G69" sqref="G69"/>
    </sheetView>
  </sheetViews>
  <sheetFormatPr baseColWidth="10" defaultColWidth="10.83203125" defaultRowHeight="12.75" x14ac:dyDescent="0.2"/>
  <cols>
    <col min="1" max="16384" width="10.83203125" style="1"/>
  </cols>
  <sheetData>
    <row r="2" spans="1:5" x14ac:dyDescent="0.2">
      <c r="A2" s="1" t="str">
        <f>_Donnee</f>
        <v>_Donnee</v>
      </c>
      <c r="B2" s="19" t="str">
        <f>VLOOKUP(1,$C3:$D4,2,FALSE)</f>
        <v>_Djankov</v>
      </c>
    </row>
    <row r="3" spans="1:5" x14ac:dyDescent="0.2">
      <c r="B3" s="3" t="str">
        <f>VLOOKUP($D3,_Tables,4,FALSE)</f>
        <v>Djankov</v>
      </c>
      <c r="C3" s="3">
        <f>IF(_Donnee_Liste=$B3,1,0)</f>
        <v>1</v>
      </c>
      <c r="D3" s="3" t="str">
        <f>_Djankov</f>
        <v>_Djankov</v>
      </c>
    </row>
    <row r="4" spans="1:5" x14ac:dyDescent="0.2">
      <c r="B4" s="3" t="str">
        <f>VLOOKUP($D4,_Tables,4,FALSE)</f>
        <v>Zone Franc</v>
      </c>
      <c r="C4" s="3">
        <f>IF(_Donnee_Liste=$B4,1,0)</f>
        <v>0</v>
      </c>
      <c r="D4" s="3" t="str">
        <f>_ZoneFranc</f>
        <v>_ZoneFranc</v>
      </c>
    </row>
    <row r="6" spans="1:5" x14ac:dyDescent="0.2">
      <c r="C6" s="3" t="str">
        <f>_Auto</f>
        <v>_Auto</v>
      </c>
      <c r="D6" s="3" t="str">
        <f>_Simul</f>
        <v>_Simul</v>
      </c>
      <c r="E6" s="3" t="str">
        <f>_Select</f>
        <v>_Select</v>
      </c>
    </row>
    <row r="7" spans="1:5" x14ac:dyDescent="0.2">
      <c r="B7" s="3" t="str">
        <f>_Terrain</f>
        <v>_Terrain</v>
      </c>
      <c r="C7" s="13">
        <f t="shared" ref="C7:C34" si="0">IF(VLOOKUP(B7,_BaseEco,_ColonneEco_Select,FALSE)="",_Error,VLOOKUP(B7,_BaseEco,_ColonneEco_Select,FALSE))</f>
        <v>30</v>
      </c>
      <c r="D7" s="27"/>
      <c r="E7" s="26">
        <f>IF(D7&lt;&gt;"",D7,C7)</f>
        <v>30</v>
      </c>
    </row>
    <row r="8" spans="1:5" x14ac:dyDescent="0.2">
      <c r="B8" s="3" t="str">
        <f>_Constructions</f>
        <v>_Constructions</v>
      </c>
      <c r="C8" s="13">
        <f t="shared" si="0"/>
        <v>40</v>
      </c>
      <c r="D8" s="27"/>
      <c r="E8" s="26">
        <f t="shared" ref="E8:E34" si="1">IF(D8&lt;&gt;"",D8,C8)</f>
        <v>40</v>
      </c>
    </row>
    <row r="9" spans="1:5" x14ac:dyDescent="0.2">
      <c r="B9" s="3" t="str">
        <f>_Equipement</f>
        <v>_Equipement</v>
      </c>
      <c r="C9" s="13">
        <f t="shared" si="0"/>
        <v>60</v>
      </c>
      <c r="D9" s="27"/>
      <c r="E9" s="26">
        <f t="shared" si="1"/>
        <v>60</v>
      </c>
    </row>
    <row r="10" spans="1:5" x14ac:dyDescent="0.2">
      <c r="B10" s="3" t="str">
        <f>_Camion</f>
        <v>_Camion</v>
      </c>
      <c r="C10" s="13">
        <f t="shared" si="0"/>
        <v>5</v>
      </c>
      <c r="D10" s="27"/>
      <c r="E10" s="26">
        <f t="shared" si="1"/>
        <v>5</v>
      </c>
    </row>
    <row r="11" spans="1:5" x14ac:dyDescent="0.2">
      <c r="B11" s="3" t="str">
        <f>_Informatique</f>
        <v>_Informatique</v>
      </c>
      <c r="C11" s="13">
        <f t="shared" si="0"/>
        <v>5</v>
      </c>
      <c r="D11" s="27"/>
      <c r="E11" s="26">
        <f t="shared" si="1"/>
        <v>5</v>
      </c>
    </row>
    <row r="12" spans="1:5" x14ac:dyDescent="0.2">
      <c r="B12" s="3" t="str">
        <f>_Bureau</f>
        <v>_Bureau</v>
      </c>
      <c r="C12" s="13">
        <f t="shared" si="0"/>
        <v>5</v>
      </c>
      <c r="D12" s="27"/>
      <c r="E12" s="26">
        <f t="shared" si="1"/>
        <v>5</v>
      </c>
    </row>
    <row r="13" spans="1:5" x14ac:dyDescent="0.2">
      <c r="B13" s="3" t="str">
        <f>_Stocks</f>
        <v>_Stocks</v>
      </c>
      <c r="C13" s="13">
        <f t="shared" si="0"/>
        <v>35</v>
      </c>
      <c r="D13" s="27"/>
      <c r="E13" s="26">
        <f t="shared" si="1"/>
        <v>35</v>
      </c>
    </row>
    <row r="14" spans="1:5" x14ac:dyDescent="0.2">
      <c r="B14" s="3" t="str">
        <f>_CreancesClients</f>
        <v>_CreancesClients</v>
      </c>
      <c r="C14" s="13">
        <f t="shared" si="0"/>
        <v>50</v>
      </c>
      <c r="D14" s="27"/>
      <c r="E14" s="26">
        <f t="shared" si="1"/>
        <v>50</v>
      </c>
    </row>
    <row r="15" spans="1:5" x14ac:dyDescent="0.2">
      <c r="B15" s="3" t="str">
        <f>_DisponibilitesBancaires</f>
        <v>_DisponibilitesBancaires</v>
      </c>
      <c r="C15" s="13">
        <f t="shared" si="0"/>
        <v>20</v>
      </c>
      <c r="D15" s="27"/>
      <c r="E15" s="26">
        <f t="shared" si="1"/>
        <v>20</v>
      </c>
    </row>
    <row r="16" spans="1:5" x14ac:dyDescent="0.2">
      <c r="B16" s="3" t="str">
        <f>_CapitalSocial</f>
        <v>_CapitalSocial</v>
      </c>
      <c r="C16" s="13">
        <f t="shared" si="0"/>
        <v>102</v>
      </c>
      <c r="D16" s="27"/>
      <c r="E16" s="26">
        <f t="shared" si="1"/>
        <v>102</v>
      </c>
    </row>
    <row r="17" spans="2:10" x14ac:dyDescent="0.2">
      <c r="B17" s="3" t="str">
        <f>_DettesLT</f>
        <v>_DettesLT</v>
      </c>
      <c r="C17" s="13">
        <f t="shared" si="0"/>
        <v>43</v>
      </c>
      <c r="D17" s="27"/>
      <c r="E17" s="26">
        <f t="shared" si="1"/>
        <v>43</v>
      </c>
    </row>
    <row r="18" spans="2:10" x14ac:dyDescent="0.2">
      <c r="B18" s="3" t="str">
        <f>_DettesCT</f>
        <v>_DettesCT</v>
      </c>
      <c r="C18" s="13">
        <f t="shared" si="0"/>
        <v>55</v>
      </c>
      <c r="D18" s="27"/>
      <c r="E18" s="26">
        <f t="shared" si="1"/>
        <v>55</v>
      </c>
    </row>
    <row r="19" spans="2:10" x14ac:dyDescent="0.2">
      <c r="B19" s="3" t="str">
        <f>_DettesFournisseurs</f>
        <v>_DettesFournisseurs</v>
      </c>
      <c r="C19" s="13">
        <f t="shared" si="0"/>
        <v>50</v>
      </c>
      <c r="D19" s="27"/>
      <c r="E19" s="26">
        <f t="shared" si="1"/>
        <v>50</v>
      </c>
    </row>
    <row r="20" spans="2:10" x14ac:dyDescent="0.2">
      <c r="B20" s="3" t="str">
        <f>_Achats</f>
        <v>_Achats</v>
      </c>
      <c r="C20" s="13">
        <f t="shared" si="0"/>
        <v>875</v>
      </c>
      <c r="D20" s="27"/>
      <c r="E20" s="26">
        <f t="shared" si="1"/>
        <v>875</v>
      </c>
    </row>
    <row r="21" spans="2:10" x14ac:dyDescent="0.2">
      <c r="B21" s="3" t="str">
        <f>_Petrole</f>
        <v>_Petrole</v>
      </c>
      <c r="C21" s="13">
        <f t="shared" si="0"/>
        <v>0</v>
      </c>
      <c r="D21" s="27"/>
      <c r="E21" s="26">
        <f t="shared" si="1"/>
        <v>0</v>
      </c>
    </row>
    <row r="22" spans="2:10" x14ac:dyDescent="0.2">
      <c r="B22" s="3" t="str">
        <f>_DepensesAdministratives</f>
        <v>_DepensesAdministratives</v>
      </c>
      <c r="C22" s="13">
        <f t="shared" si="0"/>
        <v>10</v>
      </c>
      <c r="D22" s="27"/>
      <c r="E22" s="26">
        <f t="shared" si="1"/>
        <v>10</v>
      </c>
    </row>
    <row r="23" spans="2:10" x14ac:dyDescent="0.2">
      <c r="B23" s="3" t="str">
        <f>_DepensesPublicitaires</f>
        <v>_DepensesPublicitaires</v>
      </c>
      <c r="C23" s="13">
        <f t="shared" si="0"/>
        <v>10.5</v>
      </c>
      <c r="D23" s="27"/>
      <c r="E23" s="26">
        <f t="shared" si="1"/>
        <v>10.5</v>
      </c>
    </row>
    <row r="24" spans="2:10" x14ac:dyDescent="0.2">
      <c r="B24" s="3" t="str">
        <f>_DepensesDEntretien</f>
        <v>_DepensesDEntretien</v>
      </c>
      <c r="C24" s="13">
        <f t="shared" si="0"/>
        <v>3</v>
      </c>
      <c r="D24" s="27"/>
      <c r="E24" s="26">
        <f t="shared" si="1"/>
        <v>3</v>
      </c>
    </row>
    <row r="25" spans="2:10" x14ac:dyDescent="0.2">
      <c r="B25" s="3" t="str">
        <f>_ChargesFinancieres</f>
        <v>_ChargesFinancieres</v>
      </c>
      <c r="C25" s="13">
        <f t="shared" si="0"/>
        <v>5.5</v>
      </c>
      <c r="D25" s="27"/>
      <c r="E25" s="26">
        <f t="shared" si="1"/>
        <v>5.5</v>
      </c>
    </row>
    <row r="26" spans="2:10" x14ac:dyDescent="0.2">
      <c r="B26" s="3" t="str">
        <f>_Ventes</f>
        <v>_Ventes</v>
      </c>
      <c r="C26" s="13">
        <f t="shared" si="0"/>
        <v>1050</v>
      </c>
      <c r="D26" s="27"/>
      <c r="E26" s="26">
        <f t="shared" si="1"/>
        <v>1050</v>
      </c>
    </row>
    <row r="27" spans="2:10" x14ac:dyDescent="0.2">
      <c r="B27" s="3" t="s">
        <v>212</v>
      </c>
      <c r="C27" s="13">
        <f t="shared" si="0"/>
        <v>4</v>
      </c>
      <c r="D27" s="27"/>
      <c r="E27" s="26">
        <f t="shared" si="1"/>
        <v>4</v>
      </c>
    </row>
    <row r="28" spans="2:10" x14ac:dyDescent="0.2">
      <c r="B28" s="3" t="s">
        <v>213</v>
      </c>
      <c r="C28" s="13">
        <f t="shared" si="0"/>
        <v>8</v>
      </c>
      <c r="D28" s="27"/>
      <c r="E28" s="26">
        <f t="shared" si="1"/>
        <v>8</v>
      </c>
      <c r="J28" s="1">
        <f>_TauxDActualisation_Select</f>
        <v>0.08</v>
      </c>
    </row>
    <row r="29" spans="2:10" x14ac:dyDescent="0.2">
      <c r="B29" s="3" t="s">
        <v>214</v>
      </c>
      <c r="C29" s="13">
        <f t="shared" si="0"/>
        <v>48</v>
      </c>
      <c r="D29" s="27"/>
      <c r="E29" s="26">
        <f t="shared" si="1"/>
        <v>48</v>
      </c>
    </row>
    <row r="30" spans="2:10" x14ac:dyDescent="0.2">
      <c r="B30" s="3" t="s">
        <v>215</v>
      </c>
      <c r="C30" s="13">
        <f t="shared" si="0"/>
        <v>2.25</v>
      </c>
      <c r="D30" s="27"/>
      <c r="E30" s="26">
        <f t="shared" si="1"/>
        <v>2.25</v>
      </c>
    </row>
    <row r="31" spans="2:10" x14ac:dyDescent="0.2">
      <c r="B31" s="3" t="s">
        <v>216</v>
      </c>
      <c r="C31" s="13">
        <f t="shared" si="0"/>
        <v>1.25</v>
      </c>
      <c r="D31" s="27"/>
      <c r="E31" s="26">
        <f t="shared" si="1"/>
        <v>1.25</v>
      </c>
    </row>
    <row r="32" spans="2:10" x14ac:dyDescent="0.2">
      <c r="B32" s="3" t="s">
        <v>217</v>
      </c>
      <c r="C32" s="13">
        <f t="shared" si="0"/>
        <v>1</v>
      </c>
      <c r="D32" s="27"/>
      <c r="E32" s="26">
        <f t="shared" si="1"/>
        <v>1</v>
      </c>
    </row>
    <row r="33" spans="1:7" x14ac:dyDescent="0.2">
      <c r="B33" s="3" t="str">
        <f>_DividendesDistribues</f>
        <v>_DividendesDistribues</v>
      </c>
      <c r="C33" s="10">
        <f t="shared" si="0"/>
        <v>0.5</v>
      </c>
      <c r="D33" s="28"/>
      <c r="E33" s="29">
        <f t="shared" si="1"/>
        <v>0.5</v>
      </c>
    </row>
    <row r="34" spans="1:7" x14ac:dyDescent="0.2">
      <c r="B34" s="3" t="str">
        <f>_TauxDActualisation</f>
        <v>_TauxDActualisation</v>
      </c>
      <c r="C34" s="10">
        <f t="shared" si="0"/>
        <v>0.08</v>
      </c>
      <c r="D34" s="28"/>
      <c r="E34" s="29">
        <f t="shared" si="1"/>
        <v>0.08</v>
      </c>
    </row>
    <row r="36" spans="1:7" x14ac:dyDescent="0.2">
      <c r="A36" s="1" t="str">
        <f>_Colonne</f>
        <v>_Colonne</v>
      </c>
      <c r="B36" s="19">
        <f>HLOOKUP(_Donnee_Select,BaseEco!$B$1:$C$2,2,FALSE)</f>
        <v>2</v>
      </c>
    </row>
    <row r="38" spans="1:7" x14ac:dyDescent="0.2">
      <c r="A38" s="1" t="str">
        <f>_PIBPNB</f>
        <v>_PIBPNB</v>
      </c>
      <c r="B38" s="19" t="str">
        <f>VLOOKUP(1,$C39:$D40,2,FALSE)</f>
        <v>_PIBtete</v>
      </c>
      <c r="F38" s="3" t="str">
        <f>_Auto</f>
        <v>_Auto</v>
      </c>
      <c r="G38" s="30">
        <f>VLOOKUP($B$38,_BaseFisc,_ColonneFisc_Select,FALSE)</f>
        <v>446686.61040326342</v>
      </c>
    </row>
    <row r="39" spans="1:7" x14ac:dyDescent="0.2">
      <c r="B39" s="3" t="str">
        <f>VLOOKUP($D39,_Tables,4,FALSE)</f>
        <v>PIB/tête</v>
      </c>
      <c r="C39" s="3">
        <f>IF(_PIBPNB_Liste=$B39,1,0)</f>
        <v>1</v>
      </c>
      <c r="D39" s="3" t="str">
        <f>_PIBtete</f>
        <v>_PIBtete</v>
      </c>
      <c r="F39" s="3" t="str">
        <f>_Simul</f>
        <v>_Simul</v>
      </c>
      <c r="G39" s="31"/>
    </row>
    <row r="40" spans="1:7" x14ac:dyDescent="0.2">
      <c r="B40" s="3" t="str">
        <f>VLOOKUP($D40,_Tables,4,FALSE)</f>
        <v>PNB/tête</v>
      </c>
      <c r="C40" s="3">
        <f>IF(_PIBPNB_Liste=$B40,1,0)</f>
        <v>0</v>
      </c>
      <c r="D40" s="3" t="str">
        <f>_PNBtete</f>
        <v>_PNBtete</v>
      </c>
      <c r="F40" s="3" t="str">
        <f>_Select</f>
        <v>_Select</v>
      </c>
      <c r="G40" s="32">
        <f>IF(G39&lt;&gt;"",G39,G38)</f>
        <v>446686.61040326342</v>
      </c>
    </row>
    <row r="42" spans="1:7" x14ac:dyDescent="0.2">
      <c r="A42" s="1" t="str">
        <f>_Pays</f>
        <v>_Pays</v>
      </c>
      <c r="B42" s="19" t="str">
        <f>VLOOKUP(1,$C43:$D54,2,FALSE)</f>
        <v>_BEN</v>
      </c>
    </row>
    <row r="43" spans="1:7" x14ac:dyDescent="0.2">
      <c r="B43" s="3" t="str">
        <f t="shared" ref="B43:B54" si="2">VLOOKUP(CONCATENATE(_Pays,$D43),_Tables,4,FALSE)</f>
        <v>Bénin</v>
      </c>
      <c r="C43" s="3">
        <f t="shared" ref="C43:C54" si="3">IF(_Pays_Liste=$B43,1,0)</f>
        <v>1</v>
      </c>
      <c r="D43" s="3" t="str">
        <f>_Pays_BEN</f>
        <v>_BEN</v>
      </c>
    </row>
    <row r="44" spans="1:7" x14ac:dyDescent="0.2">
      <c r="B44" s="3" t="str">
        <f t="shared" si="2"/>
        <v>Burkina Faso</v>
      </c>
      <c r="C44" s="3">
        <f t="shared" si="3"/>
        <v>0</v>
      </c>
      <c r="D44" s="3" t="str">
        <f>_Pays_BFA</f>
        <v>_BFA</v>
      </c>
    </row>
    <row r="45" spans="1:7" x14ac:dyDescent="0.2">
      <c r="B45" s="3" t="str">
        <f t="shared" si="2"/>
        <v>Cameroun</v>
      </c>
      <c r="C45" s="3">
        <f t="shared" si="3"/>
        <v>0</v>
      </c>
      <c r="D45" s="3" t="str">
        <f>_Pays_CMR</f>
        <v>_CMR</v>
      </c>
    </row>
    <row r="46" spans="1:7" x14ac:dyDescent="0.2">
      <c r="B46" s="3" t="str">
        <f t="shared" si="2"/>
        <v>République centrafricaine</v>
      </c>
      <c r="C46" s="3">
        <f t="shared" si="3"/>
        <v>0</v>
      </c>
      <c r="D46" s="3" t="str">
        <f>_Pays_CAF</f>
        <v>_CAF</v>
      </c>
    </row>
    <row r="47" spans="1:7" x14ac:dyDescent="0.2">
      <c r="B47" s="3" t="str">
        <f t="shared" si="2"/>
        <v>République du Congo</v>
      </c>
      <c r="C47" s="3">
        <f t="shared" si="3"/>
        <v>0</v>
      </c>
      <c r="D47" s="3" t="str">
        <f>_Pays_COG</f>
        <v>_COG</v>
      </c>
    </row>
    <row r="48" spans="1:7" x14ac:dyDescent="0.2">
      <c r="B48" s="3" t="str">
        <f t="shared" si="2"/>
        <v>Côte d'Ivoire</v>
      </c>
      <c r="C48" s="3">
        <f t="shared" si="3"/>
        <v>0</v>
      </c>
      <c r="D48" s="3" t="str">
        <f>_Pays_CIV</f>
        <v>_CIV</v>
      </c>
    </row>
    <row r="49" spans="1:15" x14ac:dyDescent="0.2">
      <c r="B49" s="3" t="str">
        <f t="shared" si="2"/>
        <v>Gabon</v>
      </c>
      <c r="C49" s="3">
        <f t="shared" si="3"/>
        <v>0</v>
      </c>
      <c r="D49" s="3" t="str">
        <f>_Pays_GAB</f>
        <v>_GAB</v>
      </c>
    </row>
    <row r="50" spans="1:15" x14ac:dyDescent="0.2">
      <c r="B50" s="3" t="str">
        <f t="shared" si="2"/>
        <v>Mali</v>
      </c>
      <c r="C50" s="3">
        <f t="shared" si="3"/>
        <v>0</v>
      </c>
      <c r="D50" s="3" t="str">
        <f>_Pays_MLI</f>
        <v>_MLI</v>
      </c>
    </row>
    <row r="51" spans="1:15" x14ac:dyDescent="0.2">
      <c r="B51" s="3" t="str">
        <f t="shared" si="2"/>
        <v>Niger</v>
      </c>
      <c r="C51" s="3">
        <f t="shared" si="3"/>
        <v>0</v>
      </c>
      <c r="D51" s="3" t="str">
        <f>_Pays_NER</f>
        <v>_NER</v>
      </c>
    </row>
    <row r="52" spans="1:15" x14ac:dyDescent="0.2">
      <c r="B52" s="3" t="str">
        <f t="shared" si="2"/>
        <v>Sénégal</v>
      </c>
      <c r="C52" s="3">
        <f t="shared" si="3"/>
        <v>0</v>
      </c>
      <c r="D52" s="3" t="str">
        <f>_Pays_SEN</f>
        <v>_SEN</v>
      </c>
    </row>
    <row r="53" spans="1:15" x14ac:dyDescent="0.2">
      <c r="B53" s="3" t="str">
        <f t="shared" si="2"/>
        <v>Tchad</v>
      </c>
      <c r="C53" s="3">
        <f t="shared" si="3"/>
        <v>0</v>
      </c>
      <c r="D53" s="3" t="str">
        <f>_Pays_TCD</f>
        <v>_TCD</v>
      </c>
    </row>
    <row r="54" spans="1:15" x14ac:dyDescent="0.2">
      <c r="B54" s="3" t="str">
        <f t="shared" si="2"/>
        <v>Togo</v>
      </c>
      <c r="C54" s="3">
        <f t="shared" si="3"/>
        <v>0</v>
      </c>
      <c r="D54" s="3" t="str">
        <f>_Pays_TGO</f>
        <v>_TGO</v>
      </c>
    </row>
    <row r="56" spans="1:15" x14ac:dyDescent="0.2">
      <c r="A56" s="1" t="str">
        <f>_Colonne</f>
        <v>_Colonne</v>
      </c>
      <c r="B56" s="19">
        <f>HLOOKUP(_Pays_Select,BaseFisc!$E$1:$R$2,2,FALSE)</f>
        <v>5</v>
      </c>
    </row>
    <row r="58" spans="1:15" x14ac:dyDescent="0.2">
      <c r="A58" s="1" t="str">
        <f>_Regime</f>
        <v>_Regime</v>
      </c>
      <c r="B58" s="19" t="str">
        <f>VLOOKUP(1,$C59:$D60,2,FALSE)</f>
        <v>_Gen</v>
      </c>
    </row>
    <row r="59" spans="1:15" x14ac:dyDescent="0.2">
      <c r="B59" s="3" t="str">
        <f>VLOOKUP(CONCATENATE(_Regime,$D59),_Tables,4,FALSE)</f>
        <v>Régime général</v>
      </c>
      <c r="C59" s="3">
        <f>IF(_Regime_Liste=$B59,1,0)</f>
        <v>1</v>
      </c>
      <c r="D59" s="3" t="str">
        <f>_Regime_Gen</f>
        <v>_Gen</v>
      </c>
    </row>
    <row r="60" spans="1:15" x14ac:dyDescent="0.2">
      <c r="B60" s="3" t="str">
        <f>VLOOKUP(CONCATENATE(_Regime,$D60),_Tables,4,FALSE)</f>
        <v>Régime des investissements</v>
      </c>
      <c r="C60" s="3">
        <f>IF(_Regime_Liste=$B60,1,0)</f>
        <v>0</v>
      </c>
      <c r="D60" s="3" t="str">
        <f>_Regime_Inv</f>
        <v>_Inv</v>
      </c>
    </row>
    <row r="61" spans="1:15" x14ac:dyDescent="0.2">
      <c r="O61" s="1" t="str">
        <f>_Information_Taux</f>
        <v>_Taux</v>
      </c>
    </row>
    <row r="62" spans="1:15" x14ac:dyDescent="0.2">
      <c r="A62" s="1" t="str">
        <f>_Texte</f>
        <v>_Texte</v>
      </c>
      <c r="B62" s="19" t="str">
        <f>IF(_Regime_Select=_Regime_Inv,VLOOKUP(CONCATENATE(_Regime_Inv,_Texte),_BaseFisc,_ColonneFisc_Select,FALSE),"")</f>
        <v/>
      </c>
    </row>
    <row r="63" spans="1:15" x14ac:dyDescent="0.2">
      <c r="A63" s="1" t="str">
        <f>_Regime</f>
        <v>_Regime</v>
      </c>
      <c r="B63" s="19" t="str">
        <f>IF(_Regime_Select=_Regime_Inv,VLOOKUP(CONCATENATE(_Regime_Inv,_Regime),_BaseFisc,_ColonneFisc_Select,FALSE),"")</f>
        <v/>
      </c>
    </row>
    <row r="64" spans="1:15" x14ac:dyDescent="0.2">
      <c r="A64" s="1" t="str">
        <f>_Zone</f>
        <v>_Zone</v>
      </c>
      <c r="B64" s="19" t="str">
        <f>IF(_Regime_Select=_Regime_Inv,VLOOKUP(CONCATENATE(_Regime_Inv,_Zone),_BaseFisc,_ColonneFisc_Select,FALSE),"")</f>
        <v/>
      </c>
    </row>
    <row r="66" spans="1:20" x14ac:dyDescent="0.2">
      <c r="A66" s="1" t="str">
        <f>_Impot</f>
        <v>_Impot</v>
      </c>
      <c r="C66" s="3" t="str">
        <f>_Regime_Gen</f>
        <v>_Gen</v>
      </c>
      <c r="E66" s="3" t="str">
        <f>_Regime_Inv</f>
        <v>_Inv</v>
      </c>
      <c r="J66" s="3" t="str">
        <f>_Simul</f>
        <v>_Simul</v>
      </c>
      <c r="P66" s="3" t="str">
        <f>_Select</f>
        <v>_Select</v>
      </c>
    </row>
    <row r="67" spans="1:20" x14ac:dyDescent="0.2">
      <c r="C67" s="3" t="str">
        <f>_Information_Taux</f>
        <v>_Taux</v>
      </c>
      <c r="E67" s="3" t="str">
        <f>_Information_Duree</f>
        <v>_Duree</v>
      </c>
      <c r="F67" s="3" t="str">
        <f>_Information_Taux</f>
        <v>_Taux</v>
      </c>
      <c r="G67" s="3" t="str">
        <f>_Information_ReducExo</f>
        <v>_ReducExo</v>
      </c>
      <c r="J67" s="14">
        <v>1</v>
      </c>
      <c r="K67" s="14">
        <v>2</v>
      </c>
      <c r="L67" s="14">
        <v>3</v>
      </c>
      <c r="M67" s="14">
        <v>4</v>
      </c>
      <c r="N67" s="14">
        <v>5</v>
      </c>
      <c r="P67" s="14">
        <v>1</v>
      </c>
      <c r="Q67" s="14">
        <v>2</v>
      </c>
      <c r="R67" s="14">
        <v>3</v>
      </c>
      <c r="S67" s="14">
        <v>4</v>
      </c>
      <c r="T67" s="14">
        <v>5</v>
      </c>
    </row>
    <row r="68" spans="1:20" x14ac:dyDescent="0.2">
      <c r="B68" s="3" t="str">
        <f>_Impot_CFE</f>
        <v>_CFE</v>
      </c>
      <c r="C68" s="12">
        <f>IF(VLOOKUP(CONCATENATE($C$66,$B68,C$67),_BaseFisc,_ColonneFisc_Select,FALSE)="","",VLOOKUP(CONCATENATE($C$66,$B68,C$67),_BaseFisc,_ColonneFisc_Select,FALSE))</f>
        <v>0.04</v>
      </c>
      <c r="E68" s="23" t="str">
        <f t="shared" ref="E68:G73" si="4">IF(VLOOKUP(CONCATENATE($E$66,$B68,E$67),_BaseFisc,_ColonneFisc_Select,FALSE)="","",VLOOKUP(CONCATENATE($E$66,$B68,E$67),_BaseFisc,_ColonneFisc_Select,FALSE))</f>
        <v/>
      </c>
      <c r="F68" s="12" t="str">
        <f t="shared" si="4"/>
        <v/>
      </c>
      <c r="G68" s="10" t="str">
        <f t="shared" si="4"/>
        <v/>
      </c>
      <c r="H68" s="3" t="str">
        <f t="shared" ref="H68:H73" si="5">IF(AND(E68="",F68="",G68=""),_Regime_Gen,IF(AND(E68&lt;&gt;"",F68="",G68=""),_Regime_Gen,IF(AND(E68&lt;&gt;"",F68&lt;&gt;""),_Information_Taux,IF(AND(E68&lt;&gt;"",G68&lt;&gt;""),_Information_ReducExo,_Error))))</f>
        <v>_Gen</v>
      </c>
      <c r="J68" s="25"/>
      <c r="K68" s="25"/>
      <c r="L68" s="25"/>
      <c r="M68" s="25"/>
      <c r="N68" s="25"/>
      <c r="P68" s="24">
        <f>IF(J68&lt;&gt;"",J68,IF(OR(_Regime_Select=_Regime_Gen,$H68=_Regime_Gen),$C68,IF($E68&lt;P$67,$C68,IF($H68=_Information_Taux,$F68,IF($H68=_Information_ReducExo,(1-$G68)*$C68,_Error)))))</f>
        <v>0.04</v>
      </c>
      <c r="Q68" s="24">
        <f t="shared" ref="P68:T73" si="6">IF(K68&lt;&gt;"",K68,IF(OR(_Regime_Select=_Regime_Gen,$H68=_Regime_Gen),$C68,IF($E68&lt;Q$67,$C68,IF($H68=_Information_Taux,$F68,IF($H68=_Information_ReducExo,(1-$G68)*$C68,_Error)))))</f>
        <v>0.04</v>
      </c>
      <c r="R68" s="24">
        <f t="shared" si="6"/>
        <v>0.04</v>
      </c>
      <c r="S68" s="24">
        <f t="shared" si="6"/>
        <v>0.04</v>
      </c>
      <c r="T68" s="24">
        <f t="shared" si="6"/>
        <v>0.04</v>
      </c>
    </row>
    <row r="69" spans="1:20" x14ac:dyDescent="0.2">
      <c r="B69" s="3" t="str">
        <f>_Impot_IS</f>
        <v>_IS</v>
      </c>
      <c r="C69" s="12">
        <f t="shared" ref="C69:C73" si="7">IF(VLOOKUP(CONCATENATE($C$66,$B69,C$67),_BaseFisc,_ColonneFisc_Select,FALSE)="","",VLOOKUP(CONCATENATE($C$66,$B69,C$67),_BaseFisc,_ColonneFisc_Select,FALSE))</f>
        <v>0.3</v>
      </c>
      <c r="E69" s="23">
        <f>IF(VLOOKUP(CONCATENATE($E$66,$B69,E$67),_BaseFisc,_ColonneFisc_Select,FALSE)="","",VLOOKUP(CONCATENATE($E$66,$B69,E$67),_BaseFisc,_ColonneFisc_Select,FALSE))</f>
        <v>5</v>
      </c>
      <c r="F69" s="12" t="str">
        <f t="shared" si="4"/>
        <v/>
      </c>
      <c r="G69" s="10">
        <f t="shared" si="4"/>
        <v>1</v>
      </c>
      <c r="H69" s="3" t="str">
        <f t="shared" si="5"/>
        <v>_ReducExo</v>
      </c>
      <c r="J69" s="25"/>
      <c r="K69" s="25"/>
      <c r="L69" s="25"/>
      <c r="M69" s="25"/>
      <c r="N69" s="25"/>
      <c r="P69" s="24">
        <f>IF(J69&lt;&gt;"",J69,IF(OR(_Regime_Select=_Regime_Gen,$H69=_Regime_Gen),$C69,IF($E69&lt;P$67,$C69,IF($H69=_Information_Taux,$F69,IF($H69=_Information_ReducExo,(1-$G69)*$C69,_Error)))))</f>
        <v>0.3</v>
      </c>
      <c r="Q69" s="24">
        <f t="shared" si="6"/>
        <v>0.3</v>
      </c>
      <c r="R69" s="24">
        <f t="shared" si="6"/>
        <v>0.3</v>
      </c>
      <c r="S69" s="24">
        <f t="shared" si="6"/>
        <v>0.3</v>
      </c>
      <c r="T69" s="24">
        <f t="shared" si="6"/>
        <v>0.3</v>
      </c>
    </row>
    <row r="70" spans="1:20" x14ac:dyDescent="0.2">
      <c r="B70" s="3" t="str">
        <f>_Impot_IMF</f>
        <v>_IMF</v>
      </c>
      <c r="C70" s="12">
        <f t="shared" si="7"/>
        <v>7.4999999999999997E-3</v>
      </c>
      <c r="E70" s="23" t="str">
        <f t="shared" si="4"/>
        <v/>
      </c>
      <c r="F70" s="12" t="str">
        <f t="shared" si="4"/>
        <v/>
      </c>
      <c r="G70" s="10" t="str">
        <f t="shared" si="4"/>
        <v/>
      </c>
      <c r="H70" s="3" t="str">
        <f t="shared" si="5"/>
        <v>_Gen</v>
      </c>
      <c r="J70" s="25"/>
      <c r="K70" s="25"/>
      <c r="L70" s="25"/>
      <c r="M70" s="25"/>
      <c r="N70" s="25"/>
      <c r="P70" s="24">
        <f t="shared" si="6"/>
        <v>7.4999999999999997E-3</v>
      </c>
      <c r="Q70" s="24">
        <f t="shared" si="6"/>
        <v>7.4999999999999997E-3</v>
      </c>
      <c r="R70" s="24">
        <f t="shared" si="6"/>
        <v>7.4999999999999997E-3</v>
      </c>
      <c r="S70" s="24">
        <f t="shared" si="6"/>
        <v>7.4999999999999997E-3</v>
      </c>
      <c r="T70" s="24">
        <f t="shared" si="6"/>
        <v>7.4999999999999997E-3</v>
      </c>
    </row>
    <row r="71" spans="1:20" x14ac:dyDescent="0.2">
      <c r="B71" s="3" t="str">
        <f>_Impot_IRVM</f>
        <v>_IRVM</v>
      </c>
      <c r="C71" s="12">
        <f t="shared" si="7"/>
        <v>0.1</v>
      </c>
      <c r="E71" s="23" t="str">
        <f t="shared" si="4"/>
        <v/>
      </c>
      <c r="F71" s="12" t="str">
        <f t="shared" si="4"/>
        <v/>
      </c>
      <c r="G71" s="10" t="str">
        <f t="shared" si="4"/>
        <v/>
      </c>
      <c r="H71" s="3" t="str">
        <f t="shared" si="5"/>
        <v>_Gen</v>
      </c>
      <c r="J71" s="25"/>
      <c r="K71" s="25"/>
      <c r="L71" s="25"/>
      <c r="M71" s="25"/>
      <c r="N71" s="25"/>
      <c r="P71" s="24">
        <f t="shared" si="6"/>
        <v>0.1</v>
      </c>
      <c r="Q71" s="24">
        <f t="shared" si="6"/>
        <v>0.1</v>
      </c>
      <c r="R71" s="24">
        <f t="shared" si="6"/>
        <v>0.1</v>
      </c>
      <c r="S71" s="24">
        <f t="shared" si="6"/>
        <v>0.1</v>
      </c>
      <c r="T71" s="24">
        <f t="shared" si="6"/>
        <v>0.1</v>
      </c>
    </row>
    <row r="72" spans="1:20" x14ac:dyDescent="0.2">
      <c r="B72" s="3" t="str">
        <f>_Impot_IRC</f>
        <v>_IRC</v>
      </c>
      <c r="C72" s="12">
        <f t="shared" si="7"/>
        <v>0.15</v>
      </c>
      <c r="E72" s="23" t="str">
        <f t="shared" si="4"/>
        <v/>
      </c>
      <c r="F72" s="12" t="str">
        <f t="shared" si="4"/>
        <v/>
      </c>
      <c r="G72" s="10" t="str">
        <f t="shared" si="4"/>
        <v/>
      </c>
      <c r="H72" s="3" t="str">
        <f t="shared" si="5"/>
        <v>_Gen</v>
      </c>
      <c r="J72" s="25"/>
      <c r="K72" s="25"/>
      <c r="L72" s="25"/>
      <c r="M72" s="25"/>
      <c r="N72" s="25"/>
      <c r="P72" s="24">
        <f t="shared" si="6"/>
        <v>0.15</v>
      </c>
      <c r="Q72" s="24">
        <f t="shared" si="6"/>
        <v>0.15</v>
      </c>
      <c r="R72" s="24">
        <f t="shared" si="6"/>
        <v>0.15</v>
      </c>
      <c r="S72" s="24">
        <f t="shared" si="6"/>
        <v>0.15</v>
      </c>
      <c r="T72" s="24">
        <f t="shared" si="6"/>
        <v>0.15</v>
      </c>
    </row>
    <row r="73" spans="1:20" x14ac:dyDescent="0.2">
      <c r="B73" s="3" t="str">
        <f>_Impot_TVApetrole</f>
        <v>_TVApetrole</v>
      </c>
      <c r="C73" s="12">
        <f t="shared" si="7"/>
        <v>0.18</v>
      </c>
      <c r="E73" s="23" t="str">
        <f t="shared" si="4"/>
        <v/>
      </c>
      <c r="F73" s="12" t="str">
        <f t="shared" si="4"/>
        <v/>
      </c>
      <c r="G73" s="10" t="str">
        <f t="shared" si="4"/>
        <v/>
      </c>
      <c r="H73" s="3" t="str">
        <f t="shared" si="5"/>
        <v>_Gen</v>
      </c>
      <c r="J73" s="25"/>
      <c r="K73" s="25"/>
      <c r="L73" s="25"/>
      <c r="M73" s="25"/>
      <c r="N73" s="25"/>
      <c r="P73" s="24">
        <f t="shared" si="6"/>
        <v>0.18</v>
      </c>
      <c r="Q73" s="24">
        <f t="shared" si="6"/>
        <v>0.18</v>
      </c>
      <c r="R73" s="24">
        <f t="shared" si="6"/>
        <v>0.18</v>
      </c>
      <c r="S73" s="24">
        <f t="shared" si="6"/>
        <v>0.18</v>
      </c>
      <c r="T73" s="24">
        <f t="shared" si="6"/>
        <v>0.18</v>
      </c>
    </row>
    <row r="75" spans="1:20" x14ac:dyDescent="0.2">
      <c r="A75" s="1" t="str">
        <f>_Amortissement</f>
        <v>_Amortissement</v>
      </c>
      <c r="C75" s="3" t="str">
        <f>_Regime_Gen</f>
        <v>_Gen</v>
      </c>
      <c r="F75" s="3" t="str">
        <f>_Simul</f>
        <v>_Simul</v>
      </c>
      <c r="I75" s="3" t="str">
        <f>_Select</f>
        <v>_Select</v>
      </c>
    </row>
    <row r="76" spans="1:20" x14ac:dyDescent="0.2">
      <c r="C76" s="3" t="str">
        <f>_Information_DureeLineaire</f>
        <v>_DureeLineaire</v>
      </c>
      <c r="D76" s="3" t="str">
        <f>_Information_CoefDegressif</f>
        <v>_CoefDegressif</v>
      </c>
      <c r="F76" s="3" t="str">
        <f>_Information_DureeLineaire</f>
        <v>_DureeLineaire</v>
      </c>
      <c r="G76" s="3" t="str">
        <f>_Information_CoefDegressif</f>
        <v>_CoefDegressif</v>
      </c>
      <c r="I76" s="3" t="str">
        <f>_Information_DureeLineaire</f>
        <v>_DureeLineaire</v>
      </c>
      <c r="J76" s="3" t="str">
        <f>_Information_CoefDegressif</f>
        <v>_CoefDegressif</v>
      </c>
    </row>
    <row r="77" spans="1:20" x14ac:dyDescent="0.2">
      <c r="B77" s="3" t="str">
        <f>_Amortissement_Constructions</f>
        <v>_Constructions</v>
      </c>
      <c r="C77" s="23">
        <f t="shared" ref="C77:D81" si="8">IF(ISNA(VLOOKUP(CONCATENATE($C$75,$B77,C$76),_BaseFisc,_ColonneFisc_Select,FALSE)),"",VLOOKUP(CONCATENATE($C$75,$B77,C$76),_BaseFisc,_ColonneFisc_Select,FALSE))</f>
        <v>20</v>
      </c>
      <c r="D77" s="23" t="str">
        <f t="shared" si="8"/>
        <v/>
      </c>
      <c r="F77" s="27"/>
      <c r="G77" s="27"/>
      <c r="I77" s="26">
        <f>IF(F77&lt;&gt;"",F77,IF(C77&lt;1,_Error,C77))</f>
        <v>20</v>
      </c>
      <c r="J77" s="26">
        <f>IF(G77&lt;&gt;"",G77,IF(D77="",1,IF(D77&lt;1,_Error,D77)))</f>
        <v>1</v>
      </c>
    </row>
    <row r="78" spans="1:20" x14ac:dyDescent="0.2">
      <c r="B78" s="3" t="str">
        <f>_Amortissement_Equipement</f>
        <v>_Equipement</v>
      </c>
      <c r="C78" s="23">
        <f t="shared" si="8"/>
        <v>10</v>
      </c>
      <c r="D78" s="23">
        <f t="shared" si="8"/>
        <v>2.5</v>
      </c>
      <c r="F78" s="27"/>
      <c r="G78" s="27"/>
      <c r="I78" s="26">
        <f>IF(F78&lt;&gt;"",F78,IF(C78&lt;1,_Error,C78))</f>
        <v>10</v>
      </c>
      <c r="J78" s="26">
        <f>IF(G78&lt;&gt;"",G78,IF(D78="",1,IF(D78&lt;1,_Error,D78)))</f>
        <v>2.5</v>
      </c>
    </row>
    <row r="79" spans="1:20" x14ac:dyDescent="0.2">
      <c r="B79" s="3" t="str">
        <f>_Amortissement_Camion</f>
        <v>_Camion</v>
      </c>
      <c r="C79" s="23">
        <f t="shared" si="8"/>
        <v>3</v>
      </c>
      <c r="D79" s="23" t="str">
        <f t="shared" si="8"/>
        <v/>
      </c>
      <c r="F79" s="27"/>
      <c r="G79" s="27"/>
      <c r="I79" s="26">
        <f>IF(F79&lt;&gt;"",F79,IF(C79&lt;1,_Error,C79))</f>
        <v>3</v>
      </c>
      <c r="J79" s="26">
        <f>IF(G79&lt;&gt;"",G79,IF(D79="",1,IF(D79&lt;1,_Error,D79)))</f>
        <v>1</v>
      </c>
    </row>
    <row r="80" spans="1:20" x14ac:dyDescent="0.2">
      <c r="B80" s="3" t="str">
        <f>_Amortissement_Informatique</f>
        <v>_Informatique</v>
      </c>
      <c r="C80" s="23">
        <f t="shared" si="8"/>
        <v>2</v>
      </c>
      <c r="D80" s="23" t="str">
        <f t="shared" si="8"/>
        <v/>
      </c>
      <c r="F80" s="27"/>
      <c r="G80" s="27"/>
      <c r="I80" s="26">
        <f>IF(F80&lt;&gt;"",F80,IF(C80&lt;1,_Error,C80))</f>
        <v>2</v>
      </c>
      <c r="J80" s="26">
        <f>IF(G80&lt;&gt;"",G80,IF(D80="",1,IF(D80&lt;1,_Error,D80)))</f>
        <v>1</v>
      </c>
    </row>
    <row r="81" spans="2:13" x14ac:dyDescent="0.2">
      <c r="B81" s="3" t="str">
        <f>_Amortissement_Bureau</f>
        <v>_Bureau</v>
      </c>
      <c r="C81" s="23">
        <f t="shared" si="8"/>
        <v>10</v>
      </c>
      <c r="D81" s="23" t="str">
        <f t="shared" si="8"/>
        <v/>
      </c>
      <c r="F81" s="27"/>
      <c r="G81" s="27"/>
      <c r="I81" s="26">
        <f>IF(F81&lt;&gt;"",F81,IF(C81&lt;1,_Error,C81))</f>
        <v>10</v>
      </c>
      <c r="J81" s="26">
        <f>IF(G81&lt;&gt;"",G81,IF(D81="",1,IF(D81&lt;1,_Error,D81)))</f>
        <v>1</v>
      </c>
    </row>
    <row r="83" spans="2:13" x14ac:dyDescent="0.2">
      <c r="C83" s="3" t="str">
        <f>_Regime_Inv</f>
        <v>_Inv</v>
      </c>
      <c r="G83" s="3" t="str">
        <f>_Simul</f>
        <v>_Simul</v>
      </c>
      <c r="K83" s="3" t="str">
        <f>_Select</f>
        <v>_Select</v>
      </c>
    </row>
    <row r="84" spans="2:13" x14ac:dyDescent="0.2">
      <c r="C84" s="3" t="str">
        <f>_Information_TauxExceptionnel</f>
        <v>_TauxExceptionnel</v>
      </c>
      <c r="D84" s="3" t="str">
        <f>_Information_Limitation</f>
        <v>_Limitation</v>
      </c>
      <c r="E84" s="3" t="str">
        <f>_Information_Duree</f>
        <v>_Duree</v>
      </c>
      <c r="G84" s="3" t="str">
        <f>_Information_TauxExceptionnel</f>
        <v>_TauxExceptionnel</v>
      </c>
      <c r="H84" s="3" t="str">
        <f>_Information_Limitation</f>
        <v>_Limitation</v>
      </c>
      <c r="I84" s="3" t="str">
        <f>_Information_Duree</f>
        <v>_Duree</v>
      </c>
      <c r="K84" s="3" t="str">
        <f>_Information_TauxExceptionnel</f>
        <v>_TauxExceptionnel</v>
      </c>
      <c r="L84" s="3" t="str">
        <f>_Information_Limitation</f>
        <v>_Limitation</v>
      </c>
      <c r="M84" s="3" t="str">
        <f>_Information_Duree</f>
        <v>_Duree</v>
      </c>
    </row>
    <row r="85" spans="2:13" x14ac:dyDescent="0.2">
      <c r="B85" s="3" t="str">
        <f>_Amortissement</f>
        <v>_Amortissement</v>
      </c>
      <c r="C85" s="10" t="str">
        <f>IF(VLOOKUP(CONCATENATE($C$83,$B85,C$84),_BaseFisc,_ColonneFisc_Select,FALSE)="","",VLOOKUP(CONCATENATE($C$83,$B85,C$84),_BaseFisc,_ColonneFisc_Select,FALSE))</f>
        <v/>
      </c>
      <c r="D85" s="10" t="str">
        <f>IF(VLOOKUP(CONCATENATE($C$83,$B85,D$84),_BaseFisc,_ColonneFisc_Select,FALSE)="","",VLOOKUP(CONCATENATE($C$83,$B85,D$84),_BaseFisc,_ColonneFisc_Select,FALSE))</f>
        <v/>
      </c>
      <c r="E85" s="14">
        <f>$E$69</f>
        <v>5</v>
      </c>
      <c r="G85" s="28"/>
      <c r="H85" s="28"/>
      <c r="I85" s="5"/>
      <c r="K85" s="29" t="str">
        <f>IF(G85&lt;&gt;"",G85,IF(OR(_Regime_Select=_Regime_Gen,C85="",$C85=""),_Regime_Gen,C85))</f>
        <v>_Gen</v>
      </c>
      <c r="L85" s="29" t="str">
        <f>IF(H85&lt;&gt;"",H85,IF(OR(_Regime_Select=_Regime_Gen,D85="",$C85=""),_Regime_Gen,D85))</f>
        <v>_Gen</v>
      </c>
      <c r="M85" s="143" t="str">
        <f>IF(I85&lt;&gt;"",I85,IF(OR(_Regime_Select=_Regime_Gen,E85="",$C85=""),_Regime_Gen,E85))</f>
        <v>_Gen</v>
      </c>
    </row>
  </sheetData>
  <dataValidations count="1">
    <dataValidation type="decimal" operator="greaterThan" allowBlank="1" showInputMessage="1" showErrorMessage="1" errorTitle="Erreur" error="La valeur du PIB/PNB doit être positive." sqref="G39" xr:uid="{00000000-0002-0000-0100-000000000000}">
      <formula1>0</formula1>
    </dataValidation>
  </dataValidations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14"/>
  <sheetViews>
    <sheetView topLeftCell="A40" zoomScaleNormal="100" workbookViewId="0"/>
  </sheetViews>
  <sheetFormatPr baseColWidth="10" defaultColWidth="10.83203125" defaultRowHeight="12.75" x14ac:dyDescent="0.2"/>
  <cols>
    <col min="1" max="4" width="20.83203125" style="1" customWidth="1"/>
    <col min="5" max="16384" width="10.83203125" style="1"/>
  </cols>
  <sheetData>
    <row r="2" spans="1:4" x14ac:dyDescent="0.2">
      <c r="A2" s="4" t="str">
        <f>$B2</f>
        <v>_Error</v>
      </c>
      <c r="B2" s="3" t="s">
        <v>132</v>
      </c>
      <c r="C2" s="2" t="s">
        <v>133</v>
      </c>
      <c r="D2" s="2" t="s">
        <v>133</v>
      </c>
    </row>
    <row r="3" spans="1:4" x14ac:dyDescent="0.2">
      <c r="A3" s="4" t="str">
        <f t="shared" ref="A3:A15" si="0">$B3</f>
        <v>_Auto</v>
      </c>
      <c r="B3" s="3" t="s">
        <v>140</v>
      </c>
      <c r="C3" s="2" t="s">
        <v>141</v>
      </c>
      <c r="D3" s="2" t="s">
        <v>141</v>
      </c>
    </row>
    <row r="4" spans="1:4" x14ac:dyDescent="0.2">
      <c r="A4" s="4" t="str">
        <f t="shared" si="0"/>
        <v>_Simul</v>
      </c>
      <c r="B4" s="3" t="s">
        <v>142</v>
      </c>
      <c r="C4" s="2" t="s">
        <v>143</v>
      </c>
      <c r="D4" s="2" t="s">
        <v>143</v>
      </c>
    </row>
    <row r="5" spans="1:4" x14ac:dyDescent="0.2">
      <c r="A5" s="4" t="str">
        <f t="shared" si="0"/>
        <v>_Select</v>
      </c>
      <c r="B5" s="3" t="s">
        <v>144</v>
      </c>
      <c r="C5" s="2" t="s">
        <v>145</v>
      </c>
      <c r="D5" s="2" t="s">
        <v>145</v>
      </c>
    </row>
    <row r="6" spans="1:4" x14ac:dyDescent="0.2">
      <c r="A6" s="4" t="str">
        <f t="shared" si="0"/>
        <v>_Colonne</v>
      </c>
      <c r="B6" s="3" t="s">
        <v>131</v>
      </c>
      <c r="C6" s="2" t="s">
        <v>130</v>
      </c>
      <c r="D6" s="2" t="s">
        <v>130</v>
      </c>
    </row>
    <row r="7" spans="1:4" x14ac:dyDescent="0.2">
      <c r="A7" s="4" t="str">
        <f t="shared" si="0"/>
        <v>_Donnee</v>
      </c>
      <c r="B7" s="3" t="s">
        <v>146</v>
      </c>
      <c r="C7" s="2" t="s">
        <v>147</v>
      </c>
      <c r="D7" s="2" t="s">
        <v>147</v>
      </c>
    </row>
    <row r="8" spans="1:4" x14ac:dyDescent="0.2">
      <c r="A8" s="4" t="str">
        <f t="shared" si="0"/>
        <v>_PIBPNB</v>
      </c>
      <c r="B8" s="3" t="s">
        <v>138</v>
      </c>
      <c r="C8" s="2" t="s">
        <v>139</v>
      </c>
      <c r="D8" s="2" t="s">
        <v>249</v>
      </c>
    </row>
    <row r="9" spans="1:4" x14ac:dyDescent="0.2">
      <c r="A9" s="4" t="str">
        <f t="shared" si="0"/>
        <v>_Pays</v>
      </c>
      <c r="B9" s="3" t="s">
        <v>49</v>
      </c>
      <c r="C9" s="2" t="s">
        <v>48</v>
      </c>
      <c r="D9" s="2" t="s">
        <v>48</v>
      </c>
    </row>
    <row r="10" spans="1:4" x14ac:dyDescent="0.2">
      <c r="A10" s="4" t="str">
        <f t="shared" si="0"/>
        <v>_Texte</v>
      </c>
      <c r="B10" s="3" t="s">
        <v>121</v>
      </c>
      <c r="C10" s="2" t="s">
        <v>122</v>
      </c>
      <c r="D10" s="2" t="s">
        <v>122</v>
      </c>
    </row>
    <row r="11" spans="1:4" x14ac:dyDescent="0.2">
      <c r="A11" s="4" t="str">
        <f t="shared" si="0"/>
        <v>_Regime</v>
      </c>
      <c r="B11" s="3" t="s">
        <v>51</v>
      </c>
      <c r="C11" s="2" t="s">
        <v>50</v>
      </c>
      <c r="D11" s="2" t="s">
        <v>50</v>
      </c>
    </row>
    <row r="12" spans="1:4" x14ac:dyDescent="0.2">
      <c r="A12" s="4" t="str">
        <f t="shared" si="0"/>
        <v>_Zone</v>
      </c>
      <c r="B12" s="3" t="s">
        <v>102</v>
      </c>
      <c r="C12" s="2" t="s">
        <v>103</v>
      </c>
      <c r="D12" s="2" t="s">
        <v>103</v>
      </c>
    </row>
    <row r="13" spans="1:4" x14ac:dyDescent="0.2">
      <c r="A13" s="4" t="str">
        <f t="shared" si="0"/>
        <v>_Impot</v>
      </c>
      <c r="B13" s="3" t="s">
        <v>52</v>
      </c>
      <c r="C13" s="2" t="s">
        <v>53</v>
      </c>
      <c r="D13" s="2" t="s">
        <v>53</v>
      </c>
    </row>
    <row r="14" spans="1:4" x14ac:dyDescent="0.2">
      <c r="A14" s="4" t="str">
        <f t="shared" si="0"/>
        <v>_Amortissement</v>
      </c>
      <c r="B14" s="3" t="s">
        <v>70</v>
      </c>
      <c r="C14" s="2" t="s">
        <v>71</v>
      </c>
      <c r="D14" s="2" t="s">
        <v>71</v>
      </c>
    </row>
    <row r="15" spans="1:4" x14ac:dyDescent="0.2">
      <c r="A15" s="4" t="str">
        <f t="shared" si="0"/>
        <v>_Information</v>
      </c>
      <c r="B15" s="3" t="s">
        <v>87</v>
      </c>
      <c r="C15" s="2" t="s">
        <v>88</v>
      </c>
      <c r="D15" s="2" t="s">
        <v>88</v>
      </c>
    </row>
    <row r="17" spans="1:4" x14ac:dyDescent="0.2">
      <c r="A17" s="4" t="str">
        <f>$B17</f>
        <v>_Djankov</v>
      </c>
      <c r="B17" s="3" t="s">
        <v>228</v>
      </c>
      <c r="C17" s="2" t="s">
        <v>229</v>
      </c>
      <c r="D17" s="2" t="s">
        <v>229</v>
      </c>
    </row>
    <row r="18" spans="1:4" x14ac:dyDescent="0.2">
      <c r="A18" s="4" t="str">
        <f>$B18</f>
        <v>_ZoneFranc</v>
      </c>
      <c r="B18" s="3" t="s">
        <v>238</v>
      </c>
      <c r="C18" s="2" t="s">
        <v>239</v>
      </c>
      <c r="D18" s="2" t="s">
        <v>239</v>
      </c>
    </row>
    <row r="20" spans="1:4" x14ac:dyDescent="0.2">
      <c r="A20" s="4" t="s">
        <v>134</v>
      </c>
      <c r="B20" s="3" t="s">
        <v>134</v>
      </c>
      <c r="C20" s="2" t="s">
        <v>136</v>
      </c>
      <c r="D20" s="2" t="s">
        <v>136</v>
      </c>
    </row>
    <row r="21" spans="1:4" x14ac:dyDescent="0.2">
      <c r="A21" s="4" t="s">
        <v>135</v>
      </c>
      <c r="B21" s="3" t="s">
        <v>135</v>
      </c>
      <c r="C21" s="2" t="s">
        <v>137</v>
      </c>
      <c r="D21" s="2" t="s">
        <v>137</v>
      </c>
    </row>
    <row r="23" spans="1:4" x14ac:dyDescent="0.2">
      <c r="A23" s="4" t="str">
        <f t="shared" ref="A23:A36" si="1">CONCATENATE(_Pays,$B23)</f>
        <v>_Pays_BEN</v>
      </c>
      <c r="B23" s="3" t="s">
        <v>28</v>
      </c>
      <c r="C23" s="2" t="s">
        <v>0</v>
      </c>
      <c r="D23" s="2" t="s">
        <v>1</v>
      </c>
    </row>
    <row r="24" spans="1:4" x14ac:dyDescent="0.2">
      <c r="A24" s="4" t="str">
        <f t="shared" si="1"/>
        <v>_Pays_BFA</v>
      </c>
      <c r="B24" s="3" t="s">
        <v>29</v>
      </c>
      <c r="C24" s="2" t="s">
        <v>2</v>
      </c>
      <c r="D24" s="2" t="s">
        <v>3</v>
      </c>
    </row>
    <row r="25" spans="1:4" x14ac:dyDescent="0.2">
      <c r="A25" s="4" t="str">
        <f t="shared" si="1"/>
        <v>_Pays_CMR</v>
      </c>
      <c r="B25" s="3" t="s">
        <v>30</v>
      </c>
      <c r="C25" s="2" t="s">
        <v>4</v>
      </c>
      <c r="D25" s="2" t="s">
        <v>5</v>
      </c>
    </row>
    <row r="26" spans="1:4" x14ac:dyDescent="0.2">
      <c r="A26" s="4" t="str">
        <f t="shared" si="1"/>
        <v>_Pays_CAF</v>
      </c>
      <c r="B26" s="3" t="s">
        <v>31</v>
      </c>
      <c r="C26" s="2" t="s">
        <v>19</v>
      </c>
      <c r="D26" s="2" t="s">
        <v>20</v>
      </c>
    </row>
    <row r="27" spans="1:4" x14ac:dyDescent="0.2">
      <c r="A27" s="4" t="str">
        <f t="shared" si="1"/>
        <v>_Pays_COG</v>
      </c>
      <c r="B27" s="3" t="s">
        <v>32</v>
      </c>
      <c r="C27" s="2" t="s">
        <v>6</v>
      </c>
      <c r="D27" s="2" t="s">
        <v>27</v>
      </c>
    </row>
    <row r="28" spans="1:4" x14ac:dyDescent="0.2">
      <c r="A28" s="4" t="str">
        <f t="shared" si="1"/>
        <v>_Pays_CIV</v>
      </c>
      <c r="B28" s="3" t="s">
        <v>33</v>
      </c>
      <c r="C28" s="2" t="s">
        <v>7</v>
      </c>
      <c r="D28" s="2" t="s">
        <v>8</v>
      </c>
    </row>
    <row r="29" spans="1:4" x14ac:dyDescent="0.2">
      <c r="A29" s="4" t="str">
        <f t="shared" si="1"/>
        <v>_Pays_GAB</v>
      </c>
      <c r="B29" s="3" t="s">
        <v>34</v>
      </c>
      <c r="C29" s="2" t="s">
        <v>9</v>
      </c>
      <c r="D29" s="2" t="s">
        <v>10</v>
      </c>
    </row>
    <row r="30" spans="1:4" x14ac:dyDescent="0.2">
      <c r="A30" s="4" t="str">
        <f t="shared" si="1"/>
        <v>_Pays_GNB</v>
      </c>
      <c r="B30" s="3" t="s">
        <v>35</v>
      </c>
      <c r="C30" s="2" t="s">
        <v>11</v>
      </c>
      <c r="D30" s="2" t="s">
        <v>12</v>
      </c>
    </row>
    <row r="31" spans="1:4" x14ac:dyDescent="0.2">
      <c r="A31" s="4" t="str">
        <f t="shared" si="1"/>
        <v>_Pays_GNQ</v>
      </c>
      <c r="B31" s="3" t="s">
        <v>36</v>
      </c>
      <c r="C31" s="2" t="s">
        <v>13</v>
      </c>
      <c r="D31" s="2" t="s">
        <v>14</v>
      </c>
    </row>
    <row r="32" spans="1:4" x14ac:dyDescent="0.2">
      <c r="A32" s="4" t="str">
        <f t="shared" si="1"/>
        <v>_Pays_MLI</v>
      </c>
      <c r="B32" s="3" t="s">
        <v>37</v>
      </c>
      <c r="C32" s="2" t="s">
        <v>15</v>
      </c>
      <c r="D32" s="2" t="s">
        <v>16</v>
      </c>
    </row>
    <row r="33" spans="1:4" x14ac:dyDescent="0.2">
      <c r="A33" s="4" t="str">
        <f t="shared" si="1"/>
        <v>_Pays_NER</v>
      </c>
      <c r="B33" s="3" t="s">
        <v>38</v>
      </c>
      <c r="C33" s="2" t="s">
        <v>17</v>
      </c>
      <c r="D33" s="2" t="s">
        <v>18</v>
      </c>
    </row>
    <row r="34" spans="1:4" x14ac:dyDescent="0.2">
      <c r="A34" s="4" t="str">
        <f t="shared" si="1"/>
        <v>_Pays_SEN</v>
      </c>
      <c r="B34" s="3" t="s">
        <v>39</v>
      </c>
      <c r="C34" s="2" t="s">
        <v>21</v>
      </c>
      <c r="D34" s="2" t="s">
        <v>22</v>
      </c>
    </row>
    <row r="35" spans="1:4" x14ac:dyDescent="0.2">
      <c r="A35" s="4" t="str">
        <f t="shared" si="1"/>
        <v>_Pays_TCD</v>
      </c>
      <c r="B35" s="3" t="s">
        <v>40</v>
      </c>
      <c r="C35" s="2" t="s">
        <v>23</v>
      </c>
      <c r="D35" s="2" t="s">
        <v>24</v>
      </c>
    </row>
    <row r="36" spans="1:4" x14ac:dyDescent="0.2">
      <c r="A36" s="4" t="str">
        <f t="shared" si="1"/>
        <v>_Pays_TGO</v>
      </c>
      <c r="B36" s="3" t="s">
        <v>41</v>
      </c>
      <c r="C36" s="2" t="s">
        <v>25</v>
      </c>
      <c r="D36" s="2" t="s">
        <v>26</v>
      </c>
    </row>
    <row r="38" spans="1:4" x14ac:dyDescent="0.2">
      <c r="A38" s="4" t="str">
        <f>CONCATENATE(_Regime,$B38)</f>
        <v>_Regime_Gen</v>
      </c>
      <c r="B38" s="3" t="s">
        <v>46</v>
      </c>
      <c r="C38" s="2" t="s">
        <v>42</v>
      </c>
      <c r="D38" s="2" t="s">
        <v>44</v>
      </c>
    </row>
    <row r="39" spans="1:4" x14ac:dyDescent="0.2">
      <c r="A39" s="4" t="str">
        <f>CONCATENATE(_Regime,$B39)</f>
        <v>_Regime_Inv</v>
      </c>
      <c r="B39" s="3" t="s">
        <v>47</v>
      </c>
      <c r="C39" s="2" t="s">
        <v>43</v>
      </c>
      <c r="D39" s="2" t="s">
        <v>45</v>
      </c>
    </row>
    <row r="41" spans="1:4" x14ac:dyDescent="0.2">
      <c r="A41" s="4" t="str">
        <f t="shared" ref="A41:A47" si="2">CONCATENATE(_Impot,$B41)</f>
        <v>_Impot_CFE</v>
      </c>
      <c r="B41" s="3" t="s">
        <v>56</v>
      </c>
      <c r="C41" s="2" t="s">
        <v>54</v>
      </c>
      <c r="D41" s="2" t="s">
        <v>55</v>
      </c>
    </row>
    <row r="42" spans="1:4" x14ac:dyDescent="0.2">
      <c r="A42" s="4" t="str">
        <f t="shared" si="2"/>
        <v>_Impot_ISIMF</v>
      </c>
      <c r="B42" s="3" t="s">
        <v>308</v>
      </c>
      <c r="C42" s="2" t="s">
        <v>288</v>
      </c>
      <c r="D42" s="2" t="s">
        <v>288</v>
      </c>
    </row>
    <row r="43" spans="1:4" x14ac:dyDescent="0.2">
      <c r="A43" s="4" t="str">
        <f t="shared" si="2"/>
        <v>_Impot_IS</v>
      </c>
      <c r="B43" s="3" t="s">
        <v>66</v>
      </c>
      <c r="C43" s="2" t="s">
        <v>57</v>
      </c>
      <c r="D43" s="2" t="s">
        <v>62</v>
      </c>
    </row>
    <row r="44" spans="1:4" x14ac:dyDescent="0.2">
      <c r="A44" s="4" t="str">
        <f t="shared" si="2"/>
        <v>_Impot_IMF</v>
      </c>
      <c r="B44" s="3" t="s">
        <v>67</v>
      </c>
      <c r="C44" s="2" t="s">
        <v>58</v>
      </c>
      <c r="D44" s="2" t="s">
        <v>129</v>
      </c>
    </row>
    <row r="45" spans="1:4" x14ac:dyDescent="0.2">
      <c r="A45" s="4" t="str">
        <f t="shared" si="2"/>
        <v>_Impot_IRVM</v>
      </c>
      <c r="B45" s="3" t="s">
        <v>68</v>
      </c>
      <c r="C45" s="2" t="s">
        <v>59</v>
      </c>
      <c r="D45" s="2" t="s">
        <v>63</v>
      </c>
    </row>
    <row r="46" spans="1:4" x14ac:dyDescent="0.2">
      <c r="A46" s="4" t="str">
        <f t="shared" si="2"/>
        <v>_Impot_IRC</v>
      </c>
      <c r="B46" s="3" t="s">
        <v>69</v>
      </c>
      <c r="C46" s="2" t="s">
        <v>60</v>
      </c>
      <c r="D46" s="2" t="s">
        <v>64</v>
      </c>
    </row>
    <row r="47" spans="1:4" x14ac:dyDescent="0.2">
      <c r="A47" s="4" t="str">
        <f t="shared" si="2"/>
        <v>_Impot_TVApetrole</v>
      </c>
      <c r="B47" s="3" t="s">
        <v>96</v>
      </c>
      <c r="C47" s="2" t="s">
        <v>61</v>
      </c>
      <c r="D47" s="2" t="s">
        <v>65</v>
      </c>
    </row>
    <row r="49" spans="1:4" x14ac:dyDescent="0.2">
      <c r="A49" s="4" t="str">
        <f>CONCATENATE(_Amortissement,$B49)</f>
        <v>_Amortissement_Constructions</v>
      </c>
      <c r="B49" s="3" t="s">
        <v>82</v>
      </c>
      <c r="C49" s="2" t="s">
        <v>72</v>
      </c>
      <c r="D49" s="2" t="s">
        <v>77</v>
      </c>
    </row>
    <row r="50" spans="1:4" x14ac:dyDescent="0.2">
      <c r="A50" s="4" t="str">
        <f>CONCATENATE(_Amortissement,$B50)</f>
        <v>_Amortissement_Equipement</v>
      </c>
      <c r="B50" s="3" t="s">
        <v>83</v>
      </c>
      <c r="C50" s="2" t="s">
        <v>73</v>
      </c>
      <c r="D50" s="2" t="s">
        <v>78</v>
      </c>
    </row>
    <row r="51" spans="1:4" x14ac:dyDescent="0.2">
      <c r="A51" s="4" t="str">
        <f>CONCATENATE(_Amortissement,$B51)</f>
        <v>_Amortissement_Camion</v>
      </c>
      <c r="B51" s="3" t="s">
        <v>84</v>
      </c>
      <c r="C51" s="2" t="s">
        <v>74</v>
      </c>
      <c r="D51" s="2" t="s">
        <v>79</v>
      </c>
    </row>
    <row r="52" spans="1:4" x14ac:dyDescent="0.2">
      <c r="A52" s="4" t="str">
        <f>CONCATENATE(_Amortissement,$B52)</f>
        <v>_Amortissement_Informatique</v>
      </c>
      <c r="B52" s="3" t="s">
        <v>85</v>
      </c>
      <c r="C52" s="2" t="s">
        <v>76</v>
      </c>
      <c r="D52" s="2" t="s">
        <v>80</v>
      </c>
    </row>
    <row r="53" spans="1:4" x14ac:dyDescent="0.2">
      <c r="A53" s="4" t="str">
        <f>CONCATENATE(_Amortissement,$B53)</f>
        <v>_Amortissement_Bureau</v>
      </c>
      <c r="B53" s="3" t="s">
        <v>86</v>
      </c>
      <c r="C53" s="2" t="s">
        <v>75</v>
      </c>
      <c r="D53" s="2" t="s">
        <v>81</v>
      </c>
    </row>
    <row r="55" spans="1:4" x14ac:dyDescent="0.2">
      <c r="A55" s="4" t="str">
        <f t="shared" ref="A55:A61" si="3">CONCATENATE(_Information,$B55)</f>
        <v>_Information_Taux</v>
      </c>
      <c r="B55" s="3" t="s">
        <v>95</v>
      </c>
      <c r="C55" s="2" t="s">
        <v>89</v>
      </c>
      <c r="D55" s="2" t="s">
        <v>89</v>
      </c>
    </row>
    <row r="56" spans="1:4" x14ac:dyDescent="0.2">
      <c r="A56" s="4" t="str">
        <f t="shared" si="3"/>
        <v>_Information_ReducExo</v>
      </c>
      <c r="B56" s="3" t="s">
        <v>99</v>
      </c>
      <c r="C56" s="2" t="s">
        <v>97</v>
      </c>
      <c r="D56" s="2" t="s">
        <v>98</v>
      </c>
    </row>
    <row r="57" spans="1:4" x14ac:dyDescent="0.2">
      <c r="A57" s="4" t="str">
        <f t="shared" si="3"/>
        <v>_Information_Limitation</v>
      </c>
      <c r="B57" s="3" t="s">
        <v>112</v>
      </c>
      <c r="C57" s="2" t="s">
        <v>111</v>
      </c>
      <c r="D57" s="2" t="s">
        <v>111</v>
      </c>
    </row>
    <row r="58" spans="1:4" x14ac:dyDescent="0.2">
      <c r="A58" s="4" t="str">
        <f t="shared" si="3"/>
        <v>_Information_Duree</v>
      </c>
      <c r="B58" s="3" t="s">
        <v>101</v>
      </c>
      <c r="C58" s="2" t="s">
        <v>100</v>
      </c>
      <c r="D58" s="2" t="s">
        <v>100</v>
      </c>
    </row>
    <row r="59" spans="1:4" x14ac:dyDescent="0.2">
      <c r="A59" s="4" t="str">
        <f t="shared" si="3"/>
        <v>_Information_DureeLineaire</v>
      </c>
      <c r="B59" s="3" t="s">
        <v>93</v>
      </c>
      <c r="C59" s="2" t="s">
        <v>90</v>
      </c>
      <c r="D59" s="2" t="s">
        <v>91</v>
      </c>
    </row>
    <row r="60" spans="1:4" x14ac:dyDescent="0.2">
      <c r="A60" s="4" t="str">
        <f t="shared" si="3"/>
        <v>_Information_CoefDegressif</v>
      </c>
      <c r="B60" s="3" t="s">
        <v>94</v>
      </c>
      <c r="C60" s="2" t="s">
        <v>107</v>
      </c>
      <c r="D60" s="2" t="s">
        <v>92</v>
      </c>
    </row>
    <row r="61" spans="1:4" x14ac:dyDescent="0.2">
      <c r="A61" s="4" t="str">
        <f t="shared" si="3"/>
        <v>_Information_TauxExceptionnel</v>
      </c>
      <c r="B61" s="3" t="s">
        <v>109</v>
      </c>
      <c r="C61" s="2" t="s">
        <v>108</v>
      </c>
      <c r="D61" s="2" t="s">
        <v>106</v>
      </c>
    </row>
    <row r="63" spans="1:4" x14ac:dyDescent="0.2">
      <c r="A63" s="4" t="str">
        <f>$B63</f>
        <v>_Bilan</v>
      </c>
      <c r="B63" s="3" t="s">
        <v>180</v>
      </c>
      <c r="C63" s="2" t="s">
        <v>181</v>
      </c>
      <c r="D63" s="2" t="s">
        <v>182</v>
      </c>
    </row>
    <row r="64" spans="1:4" x14ac:dyDescent="0.2">
      <c r="A64" s="4" t="str">
        <f>$B64</f>
        <v>_Actif</v>
      </c>
      <c r="B64" s="3" t="s">
        <v>183</v>
      </c>
      <c r="C64" s="2" t="s">
        <v>184</v>
      </c>
      <c r="D64" s="2" t="s">
        <v>184</v>
      </c>
    </row>
    <row r="65" spans="1:4" x14ac:dyDescent="0.2">
      <c r="A65" s="4" t="str">
        <f>$B65</f>
        <v>_ActifImmo</v>
      </c>
      <c r="B65" s="3" t="s">
        <v>185</v>
      </c>
      <c r="C65" s="2" t="s">
        <v>186</v>
      </c>
      <c r="D65" s="2" t="s">
        <v>186</v>
      </c>
    </row>
    <row r="66" spans="1:4" x14ac:dyDescent="0.2">
      <c r="A66" s="4" t="str">
        <f>$B66</f>
        <v>_Terrain</v>
      </c>
      <c r="B66" s="3" t="s">
        <v>148</v>
      </c>
      <c r="C66" s="2" t="s">
        <v>149</v>
      </c>
      <c r="D66" s="2" t="s">
        <v>149</v>
      </c>
    </row>
    <row r="67" spans="1:4" x14ac:dyDescent="0.2">
      <c r="A67" s="4" t="str">
        <f t="shared" ref="A67:A82" si="4">$B67</f>
        <v>_Constructions</v>
      </c>
      <c r="B67" s="3" t="s">
        <v>82</v>
      </c>
      <c r="C67" s="2" t="s">
        <v>72</v>
      </c>
      <c r="D67" s="2" t="s">
        <v>72</v>
      </c>
    </row>
    <row r="68" spans="1:4" x14ac:dyDescent="0.2">
      <c r="A68" s="4" t="str">
        <f t="shared" si="4"/>
        <v>_Equipement</v>
      </c>
      <c r="B68" s="3" t="s">
        <v>83</v>
      </c>
      <c r="C68" s="2" t="s">
        <v>73</v>
      </c>
      <c r="D68" s="2" t="s">
        <v>73</v>
      </c>
    </row>
    <row r="69" spans="1:4" x14ac:dyDescent="0.2">
      <c r="A69" s="4" t="str">
        <f t="shared" si="4"/>
        <v>_Camion</v>
      </c>
      <c r="B69" s="3" t="s">
        <v>84</v>
      </c>
      <c r="C69" s="2" t="s">
        <v>74</v>
      </c>
      <c r="D69" s="2" t="s">
        <v>74</v>
      </c>
    </row>
    <row r="70" spans="1:4" x14ac:dyDescent="0.2">
      <c r="A70" s="4" t="str">
        <f t="shared" si="4"/>
        <v>_Informatique</v>
      </c>
      <c r="B70" s="3" t="s">
        <v>85</v>
      </c>
      <c r="C70" s="2" t="s">
        <v>76</v>
      </c>
      <c r="D70" s="2" t="s">
        <v>150</v>
      </c>
    </row>
    <row r="71" spans="1:4" x14ac:dyDescent="0.2">
      <c r="A71" s="4" t="str">
        <f t="shared" si="4"/>
        <v>_Bureau</v>
      </c>
      <c r="B71" s="3" t="s">
        <v>86</v>
      </c>
      <c r="C71" s="2" t="s">
        <v>75</v>
      </c>
      <c r="D71" s="2" t="s">
        <v>151</v>
      </c>
    </row>
    <row r="72" spans="1:4" x14ac:dyDescent="0.2">
      <c r="A72" s="4" t="str">
        <f t="shared" si="4"/>
        <v>_ActifCirculant</v>
      </c>
      <c r="B72" s="3" t="s">
        <v>187</v>
      </c>
      <c r="C72" s="2" t="s">
        <v>188</v>
      </c>
      <c r="D72" s="2" t="s">
        <v>188</v>
      </c>
    </row>
    <row r="73" spans="1:4" x14ac:dyDescent="0.2">
      <c r="A73" s="4" t="str">
        <f t="shared" si="4"/>
        <v>_Stocks</v>
      </c>
      <c r="B73" s="3" t="s">
        <v>156</v>
      </c>
      <c r="C73" s="2" t="s">
        <v>157</v>
      </c>
      <c r="D73" s="2" t="s">
        <v>157</v>
      </c>
    </row>
    <row r="74" spans="1:4" x14ac:dyDescent="0.2">
      <c r="A74" s="4" t="str">
        <f t="shared" si="4"/>
        <v>_CreancesClients</v>
      </c>
      <c r="B74" s="3" t="s">
        <v>154</v>
      </c>
      <c r="C74" s="2" t="s">
        <v>152</v>
      </c>
      <c r="D74" s="2" t="s">
        <v>152</v>
      </c>
    </row>
    <row r="75" spans="1:4" x14ac:dyDescent="0.2">
      <c r="A75" s="4" t="str">
        <f t="shared" si="4"/>
        <v>_DisponibilitesBancaires</v>
      </c>
      <c r="B75" s="3" t="s">
        <v>155</v>
      </c>
      <c r="C75" s="2" t="s">
        <v>153</v>
      </c>
      <c r="D75" s="2" t="s">
        <v>153</v>
      </c>
    </row>
    <row r="76" spans="1:4" x14ac:dyDescent="0.2">
      <c r="A76" s="4" t="str">
        <f t="shared" si="4"/>
        <v>_Passif</v>
      </c>
      <c r="B76" s="3" t="s">
        <v>230</v>
      </c>
      <c r="C76" s="2" t="s">
        <v>231</v>
      </c>
      <c r="D76" s="2" t="s">
        <v>231</v>
      </c>
    </row>
    <row r="77" spans="1:4" x14ac:dyDescent="0.2">
      <c r="A77" s="4" t="str">
        <f t="shared" si="4"/>
        <v>_CapitauxPropres</v>
      </c>
      <c r="B77" s="3" t="s">
        <v>189</v>
      </c>
      <c r="C77" s="2" t="s">
        <v>190</v>
      </c>
      <c r="D77" s="2" t="s">
        <v>190</v>
      </c>
    </row>
    <row r="78" spans="1:4" x14ac:dyDescent="0.2">
      <c r="A78" s="4" t="str">
        <f t="shared" si="4"/>
        <v>_CapitalSocial</v>
      </c>
      <c r="B78" s="3" t="s">
        <v>158</v>
      </c>
      <c r="C78" s="2" t="s">
        <v>165</v>
      </c>
      <c r="D78" s="2" t="s">
        <v>165</v>
      </c>
    </row>
    <row r="79" spans="1:4" x14ac:dyDescent="0.2">
      <c r="A79" s="4" t="str">
        <f t="shared" si="4"/>
        <v>_Dettes</v>
      </c>
      <c r="B79" s="3" t="s">
        <v>191</v>
      </c>
      <c r="C79" s="2" t="s">
        <v>192</v>
      </c>
      <c r="D79" s="2" t="s">
        <v>192</v>
      </c>
    </row>
    <row r="80" spans="1:4" x14ac:dyDescent="0.2">
      <c r="A80" s="4" t="str">
        <f t="shared" si="4"/>
        <v>_DettesLT</v>
      </c>
      <c r="B80" s="3" t="s">
        <v>159</v>
      </c>
      <c r="C80" s="2" t="s">
        <v>162</v>
      </c>
      <c r="D80" s="2" t="s">
        <v>162</v>
      </c>
    </row>
    <row r="81" spans="1:4" x14ac:dyDescent="0.2">
      <c r="A81" s="4" t="str">
        <f t="shared" si="4"/>
        <v>_DettesCT</v>
      </c>
      <c r="B81" s="3" t="s">
        <v>160</v>
      </c>
      <c r="C81" s="2" t="s">
        <v>163</v>
      </c>
      <c r="D81" s="2" t="s">
        <v>163</v>
      </c>
    </row>
    <row r="82" spans="1:4" x14ac:dyDescent="0.2">
      <c r="A82" s="4" t="str">
        <f t="shared" si="4"/>
        <v>_DettesFournisseurs</v>
      </c>
      <c r="B82" s="3" t="s">
        <v>161</v>
      </c>
      <c r="C82" s="2" t="s">
        <v>164</v>
      </c>
      <c r="D82" s="2" t="s">
        <v>164</v>
      </c>
    </row>
    <row r="84" spans="1:4" x14ac:dyDescent="0.2">
      <c r="A84" s="4" t="str">
        <f t="shared" ref="A84:A96" si="5">$B84</f>
        <v>_CompteDeResultat</v>
      </c>
      <c r="B84" s="3" t="s">
        <v>202</v>
      </c>
      <c r="C84" s="2" t="s">
        <v>193</v>
      </c>
      <c r="D84" s="2" t="s">
        <v>193</v>
      </c>
    </row>
    <row r="85" spans="1:4" x14ac:dyDescent="0.2">
      <c r="A85" s="4" t="str">
        <f t="shared" si="5"/>
        <v>_Charges</v>
      </c>
      <c r="B85" s="3" t="s">
        <v>194</v>
      </c>
      <c r="C85" s="2" t="s">
        <v>195</v>
      </c>
      <c r="D85" s="2" t="s">
        <v>195</v>
      </c>
    </row>
    <row r="86" spans="1:4" x14ac:dyDescent="0.2">
      <c r="A86" s="4" t="str">
        <f t="shared" si="5"/>
        <v>_AchatsBetS</v>
      </c>
      <c r="B86" s="3" t="s">
        <v>198</v>
      </c>
      <c r="C86" s="2" t="s">
        <v>199</v>
      </c>
      <c r="D86" s="2" t="s">
        <v>200</v>
      </c>
    </row>
    <row r="87" spans="1:4" x14ac:dyDescent="0.2">
      <c r="A87" s="4" t="str">
        <f t="shared" si="5"/>
        <v>_Achats</v>
      </c>
      <c r="B87" s="3" t="s">
        <v>166</v>
      </c>
      <c r="C87" s="2" t="s">
        <v>167</v>
      </c>
      <c r="D87" s="2" t="s">
        <v>167</v>
      </c>
    </row>
    <row r="88" spans="1:4" x14ac:dyDescent="0.2">
      <c r="A88" s="4" t="str">
        <f t="shared" si="5"/>
        <v>_Petrole</v>
      </c>
      <c r="B88" s="3" t="s">
        <v>168</v>
      </c>
      <c r="C88" s="2" t="s">
        <v>174</v>
      </c>
      <c r="D88" s="2" t="s">
        <v>174</v>
      </c>
    </row>
    <row r="89" spans="1:4" x14ac:dyDescent="0.2">
      <c r="A89" s="4" t="str">
        <f t="shared" si="5"/>
        <v>_DepensesAdministratives</v>
      </c>
      <c r="B89" s="3" t="s">
        <v>169</v>
      </c>
      <c r="C89" s="2" t="s">
        <v>175</v>
      </c>
      <c r="D89" s="2" t="s">
        <v>175</v>
      </c>
    </row>
    <row r="90" spans="1:4" x14ac:dyDescent="0.2">
      <c r="A90" s="4" t="str">
        <f t="shared" si="5"/>
        <v>_DepensesPublicitaires</v>
      </c>
      <c r="B90" s="3" t="s">
        <v>170</v>
      </c>
      <c r="C90" s="2" t="s">
        <v>176</v>
      </c>
      <c r="D90" s="2" t="s">
        <v>176</v>
      </c>
    </row>
    <row r="91" spans="1:4" x14ac:dyDescent="0.2">
      <c r="A91" s="4" t="str">
        <f t="shared" si="5"/>
        <v>_DepensesDEntretien</v>
      </c>
      <c r="B91" s="3" t="s">
        <v>171</v>
      </c>
      <c r="C91" s="2" t="s">
        <v>177</v>
      </c>
      <c r="D91" s="2" t="s">
        <v>177</v>
      </c>
    </row>
    <row r="92" spans="1:4" x14ac:dyDescent="0.2">
      <c r="A92" s="4" t="str">
        <f t="shared" si="5"/>
        <v>_ImpotsEtTaxes</v>
      </c>
      <c r="B92" s="3" t="s">
        <v>201</v>
      </c>
      <c r="C92" s="2" t="s">
        <v>203</v>
      </c>
      <c r="D92" s="2" t="s">
        <v>203</v>
      </c>
    </row>
    <row r="93" spans="1:4" x14ac:dyDescent="0.2">
      <c r="A93" s="4" t="str">
        <f t="shared" si="5"/>
        <v>_MasseSalariale</v>
      </c>
      <c r="B93" s="3" t="s">
        <v>204</v>
      </c>
      <c r="C93" s="2" t="s">
        <v>205</v>
      </c>
      <c r="D93" s="2" t="s">
        <v>205</v>
      </c>
    </row>
    <row r="94" spans="1:4" x14ac:dyDescent="0.2">
      <c r="A94" s="4" t="str">
        <f t="shared" si="5"/>
        <v>_ChargesFinancieres</v>
      </c>
      <c r="B94" s="3" t="s">
        <v>178</v>
      </c>
      <c r="C94" s="2" t="s">
        <v>179</v>
      </c>
      <c r="D94" s="2" t="s">
        <v>179</v>
      </c>
    </row>
    <row r="95" spans="1:4" x14ac:dyDescent="0.2">
      <c r="A95" s="4" t="str">
        <f t="shared" si="5"/>
        <v>_Produits</v>
      </c>
      <c r="B95" s="3" t="s">
        <v>196</v>
      </c>
      <c r="C95" s="2" t="s">
        <v>197</v>
      </c>
      <c r="D95" s="2" t="s">
        <v>197</v>
      </c>
    </row>
    <row r="96" spans="1:4" x14ac:dyDescent="0.2">
      <c r="A96" s="4" t="str">
        <f t="shared" si="5"/>
        <v>_Ventes</v>
      </c>
      <c r="B96" s="3" t="s">
        <v>172</v>
      </c>
      <c r="C96" s="2" t="s">
        <v>173</v>
      </c>
      <c r="D96" s="2" t="s">
        <v>173</v>
      </c>
    </row>
    <row r="98" spans="1:4" x14ac:dyDescent="0.2">
      <c r="A98" s="4" t="str">
        <f t="shared" ref="A98:A103" si="6">$B98</f>
        <v>_Salaries</v>
      </c>
      <c r="B98" s="3" t="s">
        <v>232</v>
      </c>
      <c r="C98" s="2" t="s">
        <v>233</v>
      </c>
      <c r="D98" s="2" t="s">
        <v>233</v>
      </c>
    </row>
    <row r="99" spans="1:4" x14ac:dyDescent="0.2">
      <c r="A99" s="4" t="str">
        <f t="shared" si="6"/>
        <v>_Cadres</v>
      </c>
      <c r="B99" s="3" t="s">
        <v>206</v>
      </c>
      <c r="C99" s="2" t="s">
        <v>210</v>
      </c>
      <c r="D99" s="2" t="s">
        <v>210</v>
      </c>
    </row>
    <row r="100" spans="1:4" x14ac:dyDescent="0.2">
      <c r="A100" s="4" t="str">
        <f t="shared" si="6"/>
        <v>_Secretaires</v>
      </c>
      <c r="B100" s="3" t="s">
        <v>207</v>
      </c>
      <c r="C100" s="2" t="s">
        <v>209</v>
      </c>
      <c r="D100" s="2" t="s">
        <v>209</v>
      </c>
    </row>
    <row r="101" spans="1:4" x14ac:dyDescent="0.2">
      <c r="A101" s="4" t="str">
        <f t="shared" si="6"/>
        <v>_Ouvriers</v>
      </c>
      <c r="B101" s="3" t="s">
        <v>208</v>
      </c>
      <c r="C101" s="2" t="s">
        <v>211</v>
      </c>
      <c r="D101" s="2" t="s">
        <v>211</v>
      </c>
    </row>
    <row r="102" spans="1:4" x14ac:dyDescent="0.2">
      <c r="A102" s="4" t="str">
        <f t="shared" si="6"/>
        <v>_Nombre</v>
      </c>
      <c r="B102" s="3" t="s">
        <v>242</v>
      </c>
      <c r="C102" s="2" t="s">
        <v>244</v>
      </c>
      <c r="D102" s="2" t="s">
        <v>244</v>
      </c>
    </row>
    <row r="103" spans="1:4" x14ac:dyDescent="0.2">
      <c r="A103" s="4" t="str">
        <f t="shared" si="6"/>
        <v>_Nombre_Cadres</v>
      </c>
      <c r="B103" s="3" t="s">
        <v>212</v>
      </c>
      <c r="C103" s="2" t="s">
        <v>210</v>
      </c>
      <c r="D103" s="2" t="s">
        <v>218</v>
      </c>
    </row>
    <row r="104" spans="1:4" x14ac:dyDescent="0.2">
      <c r="A104" s="4" t="str">
        <f t="shared" ref="A104:A114" si="7">$B104</f>
        <v>_Nombre_Secretaires</v>
      </c>
      <c r="B104" s="3" t="s">
        <v>213</v>
      </c>
      <c r="C104" s="2" t="s">
        <v>209</v>
      </c>
      <c r="D104" s="2" t="s">
        <v>219</v>
      </c>
    </row>
    <row r="105" spans="1:4" x14ac:dyDescent="0.2">
      <c r="A105" s="4" t="str">
        <f t="shared" si="7"/>
        <v>_Nombre_Ouvriers</v>
      </c>
      <c r="B105" s="3" t="s">
        <v>214</v>
      </c>
      <c r="C105" s="2" t="s">
        <v>211</v>
      </c>
      <c r="D105" s="2" t="s">
        <v>220</v>
      </c>
    </row>
    <row r="106" spans="1:4" x14ac:dyDescent="0.2">
      <c r="A106" s="4" t="str">
        <f t="shared" si="7"/>
        <v>_Indice</v>
      </c>
      <c r="B106" s="3" t="s">
        <v>243</v>
      </c>
      <c r="C106" s="2" t="s">
        <v>245</v>
      </c>
      <c r="D106" s="2" t="s">
        <v>245</v>
      </c>
    </row>
    <row r="107" spans="1:4" x14ac:dyDescent="0.2">
      <c r="A107" s="4" t="str">
        <f t="shared" si="7"/>
        <v>_Indice_Cadres</v>
      </c>
      <c r="B107" s="3" t="s">
        <v>215</v>
      </c>
      <c r="C107" s="2" t="s">
        <v>210</v>
      </c>
      <c r="D107" s="2" t="s">
        <v>222</v>
      </c>
    </row>
    <row r="108" spans="1:4" x14ac:dyDescent="0.2">
      <c r="A108" s="4" t="str">
        <f t="shared" si="7"/>
        <v>_Indice_Secretaires</v>
      </c>
      <c r="B108" s="3" t="s">
        <v>216</v>
      </c>
      <c r="C108" s="2" t="s">
        <v>209</v>
      </c>
      <c r="D108" s="2" t="s">
        <v>221</v>
      </c>
    </row>
    <row r="109" spans="1:4" x14ac:dyDescent="0.2">
      <c r="A109" s="4" t="str">
        <f t="shared" si="7"/>
        <v>_Indice_Ouvriers</v>
      </c>
      <c r="B109" s="3" t="s">
        <v>217</v>
      </c>
      <c r="C109" s="2" t="s">
        <v>211</v>
      </c>
      <c r="D109" s="2" t="s">
        <v>223</v>
      </c>
    </row>
    <row r="111" spans="1:4" x14ac:dyDescent="0.2">
      <c r="A111" s="4" t="str">
        <f t="shared" si="7"/>
        <v>_Dividendes</v>
      </c>
      <c r="B111" s="3" t="s">
        <v>234</v>
      </c>
      <c r="C111" s="2" t="s">
        <v>236</v>
      </c>
      <c r="D111" s="2" t="s">
        <v>236</v>
      </c>
    </row>
    <row r="112" spans="1:4" x14ac:dyDescent="0.2">
      <c r="A112" s="4" t="str">
        <f t="shared" si="7"/>
        <v>_DividendesDistribues</v>
      </c>
      <c r="B112" s="3" t="s">
        <v>224</v>
      </c>
      <c r="C112" s="2" t="s">
        <v>225</v>
      </c>
      <c r="D112" s="2" t="s">
        <v>225</v>
      </c>
    </row>
    <row r="113" spans="1:4" x14ac:dyDescent="0.2">
      <c r="A113" s="4" t="str">
        <f t="shared" si="7"/>
        <v>_Actualisation</v>
      </c>
      <c r="B113" s="3" t="s">
        <v>235</v>
      </c>
      <c r="C113" s="2" t="s">
        <v>237</v>
      </c>
      <c r="D113" s="2" t="s">
        <v>237</v>
      </c>
    </row>
    <row r="114" spans="1:4" x14ac:dyDescent="0.2">
      <c r="A114" s="4" t="str">
        <f t="shared" si="7"/>
        <v>_TauxDActualisation</v>
      </c>
      <c r="B114" s="3" t="s">
        <v>226</v>
      </c>
      <c r="C114" s="2" t="s">
        <v>227</v>
      </c>
      <c r="D114" s="2" t="s">
        <v>227</v>
      </c>
    </row>
  </sheetData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4"/>
  <sheetViews>
    <sheetView zoomScaleNormal="100" workbookViewId="0">
      <pane xSplit="4" ySplit="1" topLeftCell="E26" activePane="bottomRight" state="frozen"/>
      <selection pane="topRight" activeCell="B1" sqref="B1"/>
      <selection pane="bottomLeft" activeCell="A2" sqref="A2"/>
      <selection pane="bottomRight" activeCell="R36" sqref="R36"/>
    </sheetView>
  </sheetViews>
  <sheetFormatPr baseColWidth="10" defaultColWidth="10.83203125" defaultRowHeight="12.75" x14ac:dyDescent="0.2"/>
  <cols>
    <col min="1" max="1" width="10.83203125" style="17"/>
    <col min="2" max="4" width="10.83203125" style="1"/>
    <col min="5" max="18" width="10.83203125" style="6"/>
    <col min="19" max="16384" width="10.83203125" style="1"/>
  </cols>
  <sheetData>
    <row r="1" spans="1:18" x14ac:dyDescent="0.2">
      <c r="A1" s="18"/>
      <c r="B1" s="3" t="str">
        <f>_Regime</f>
        <v>_Regime</v>
      </c>
      <c r="C1" s="3" t="str">
        <f>_Impot</f>
        <v>_Impot</v>
      </c>
      <c r="D1" s="3" t="str">
        <f>_Information</f>
        <v>_Information</v>
      </c>
      <c r="E1" s="14" t="str">
        <f>_Pays_BEN</f>
        <v>_BEN</v>
      </c>
      <c r="F1" s="14" t="str">
        <f>_Pays_BFA</f>
        <v>_BFA</v>
      </c>
      <c r="G1" s="14" t="str">
        <f>_Pays_CMR</f>
        <v>_CMR</v>
      </c>
      <c r="H1" s="14" t="str">
        <f>_Pays_CAF</f>
        <v>_CAF</v>
      </c>
      <c r="I1" s="14" t="str">
        <f>_Pays_COG</f>
        <v>_COG</v>
      </c>
      <c r="J1" s="14" t="str">
        <f>_Pays_CIV</f>
        <v>_CIV</v>
      </c>
      <c r="K1" s="14" t="str">
        <f>_Pays_GAB</f>
        <v>_GAB</v>
      </c>
      <c r="L1" s="14" t="str">
        <f>_Pays_GNB</f>
        <v>_GNB</v>
      </c>
      <c r="M1" s="14" t="str">
        <f>_Pays_GNQ</f>
        <v>_GNQ</v>
      </c>
      <c r="N1" s="14" t="str">
        <f>_Pays_MLI</f>
        <v>_MLI</v>
      </c>
      <c r="O1" s="14" t="str">
        <f>_Pays_NER</f>
        <v>_NER</v>
      </c>
      <c r="P1" s="14" t="str">
        <f>_Pays_SEN</f>
        <v>_SEN</v>
      </c>
      <c r="Q1" s="14" t="str">
        <f>_Pays_TCD</f>
        <v>_TCD</v>
      </c>
      <c r="R1" s="14" t="str">
        <f>_Pays_TGO</f>
        <v>_TGO</v>
      </c>
    </row>
    <row r="2" spans="1:18" x14ac:dyDescent="0.2">
      <c r="A2" s="17" t="str">
        <f>VLOOKUP(_Colonne,_Tables,4,FALSE)</f>
        <v>Colonne</v>
      </c>
      <c r="E2" s="7">
        <v>5</v>
      </c>
      <c r="F2" s="7">
        <v>6</v>
      </c>
      <c r="G2" s="7">
        <v>7</v>
      </c>
      <c r="H2" s="7">
        <v>8</v>
      </c>
      <c r="I2" s="7">
        <v>9</v>
      </c>
      <c r="J2" s="7">
        <v>10</v>
      </c>
      <c r="K2" s="7">
        <v>11</v>
      </c>
      <c r="L2" s="7">
        <v>12</v>
      </c>
      <c r="M2" s="7">
        <v>13</v>
      </c>
      <c r="N2" s="7">
        <v>14</v>
      </c>
      <c r="O2" s="7">
        <v>15</v>
      </c>
      <c r="P2" s="7">
        <v>16</v>
      </c>
      <c r="Q2" s="7">
        <v>17</v>
      </c>
      <c r="R2" s="7">
        <v>18</v>
      </c>
    </row>
    <row r="4" spans="1:18" x14ac:dyDescent="0.2">
      <c r="A4" s="17" t="str">
        <f>VLOOKUP(_PIBPNB,_Tables,4,FALSE)</f>
        <v>PIB ou PNB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">
      <c r="A5" s="18" t="str">
        <f>_PIBtete</f>
        <v>_PIBtete</v>
      </c>
      <c r="B5" s="3"/>
      <c r="C5" s="3"/>
      <c r="D5" s="3"/>
      <c r="E5" s="30">
        <v>446686.61040326342</v>
      </c>
      <c r="F5" s="30">
        <v>352538.78704732761</v>
      </c>
      <c r="G5" s="30">
        <v>695841.35854832386</v>
      </c>
      <c r="H5" s="30">
        <v>177266.48411553274</v>
      </c>
      <c r="I5" s="30">
        <v>1555959.367581791</v>
      </c>
      <c r="J5" s="30">
        <v>764337.03716196353</v>
      </c>
      <c r="K5" s="30">
        <v>5325868.911987097</v>
      </c>
      <c r="L5" s="30">
        <v>280739.98910310562</v>
      </c>
      <c r="M5" s="30">
        <v>9353479.8395633977</v>
      </c>
      <c r="N5" s="30">
        <v>348319.04595961538</v>
      </c>
      <c r="O5" s="30">
        <v>211299.74061051823</v>
      </c>
      <c r="P5" s="30">
        <v>527605.94582116802</v>
      </c>
      <c r="Q5" s="30">
        <v>506611.40425374068</v>
      </c>
      <c r="R5" s="30">
        <v>313975.41159633308</v>
      </c>
    </row>
    <row r="6" spans="1:18" x14ac:dyDescent="0.2">
      <c r="A6" s="18" t="str">
        <f>_PNBtete</f>
        <v>_PNBtete</v>
      </c>
      <c r="B6" s="3"/>
      <c r="C6" s="3"/>
      <c r="D6" s="3"/>
      <c r="E6" s="30">
        <v>443922.06355589413</v>
      </c>
      <c r="F6" s="30">
        <v>348520.40826735133</v>
      </c>
      <c r="G6" s="30">
        <v>689556.46231983171</v>
      </c>
      <c r="H6" s="30">
        <v>178004.93533314625</v>
      </c>
      <c r="I6" s="30">
        <v>1288336.4618360465</v>
      </c>
      <c r="J6" s="30">
        <v>734803.30502082244</v>
      </c>
      <c r="K6" s="30">
        <v>4714968.5776213761</v>
      </c>
      <c r="L6" s="30">
        <v>280507.62077252427</v>
      </c>
      <c r="M6" s="30">
        <v>4755006.0312954923</v>
      </c>
      <c r="N6" s="30">
        <v>328489.97164377995</v>
      </c>
      <c r="O6" s="30">
        <v>205366.83207483124</v>
      </c>
      <c r="P6" s="30">
        <v>520918.05694126798</v>
      </c>
      <c r="Q6" s="30">
        <v>481513.98246551328</v>
      </c>
      <c r="R6" s="30">
        <v>282665.90659975039</v>
      </c>
    </row>
    <row r="8" spans="1:18" x14ac:dyDescent="0.2">
      <c r="A8" s="17" t="str">
        <f>VLOOKUP(CONCATENATE(_Regime,_Regime_Gen),_Tables,4,FALSE)</f>
        <v>Régime général</v>
      </c>
    </row>
    <row r="9" spans="1:18" x14ac:dyDescent="0.2">
      <c r="A9" s="17" t="str">
        <f>VLOOKUP(_Impot,_Tables,4,FALSE)</f>
        <v>Impôt</v>
      </c>
    </row>
    <row r="10" spans="1:18" x14ac:dyDescent="0.2">
      <c r="A10" s="18" t="str">
        <f>CONCATENATE(B10,C10,D10)</f>
        <v>_Gen_CFE_Taux</v>
      </c>
      <c r="B10" s="3" t="str">
        <f t="shared" ref="B10:B15" si="0">_Regime_Gen</f>
        <v>_Gen</v>
      </c>
      <c r="C10" s="3" t="str">
        <f>_Impot_CFE</f>
        <v>_CFE</v>
      </c>
      <c r="D10" s="3" t="str">
        <f t="shared" ref="D10:D15" si="1">_Information_Taux</f>
        <v>_Taux</v>
      </c>
      <c r="E10" s="10">
        <v>0.04</v>
      </c>
      <c r="F10" s="10">
        <v>0.03</v>
      </c>
      <c r="G10" s="11">
        <v>2.5000000000000001E-2</v>
      </c>
      <c r="H10" s="9">
        <v>0</v>
      </c>
      <c r="I10" s="11">
        <v>7.4999999999999997E-2</v>
      </c>
      <c r="J10" s="11">
        <v>2.8000000000000001E-2</v>
      </c>
      <c r="K10" s="10">
        <v>0.05</v>
      </c>
      <c r="L10" s="16"/>
      <c r="M10" s="16"/>
      <c r="N10" s="11">
        <v>7.4999999999999997E-2</v>
      </c>
      <c r="O10" s="10">
        <v>0.03</v>
      </c>
      <c r="P10" s="10">
        <v>0.03</v>
      </c>
      <c r="Q10" s="11">
        <v>8.6999999999999994E-2</v>
      </c>
      <c r="R10" s="10">
        <v>0.03</v>
      </c>
    </row>
    <row r="11" spans="1:18" x14ac:dyDescent="0.2">
      <c r="A11" s="18" t="str">
        <f t="shared" ref="A11:A15" si="2">CONCATENATE(B11,C11,D11)</f>
        <v>_Gen_IS_Taux</v>
      </c>
      <c r="B11" s="3" t="str">
        <f t="shared" si="0"/>
        <v>_Gen</v>
      </c>
      <c r="C11" s="3" t="str">
        <f>_Impot_IS</f>
        <v>_IS</v>
      </c>
      <c r="D11" s="3" t="str">
        <f t="shared" si="1"/>
        <v>_Taux</v>
      </c>
      <c r="E11" s="10">
        <v>0.3</v>
      </c>
      <c r="F11" s="11">
        <v>0.27500000000000002</v>
      </c>
      <c r="G11" s="10">
        <v>0.33</v>
      </c>
      <c r="H11" s="10">
        <v>0.3</v>
      </c>
      <c r="I11" s="10">
        <v>0.3</v>
      </c>
      <c r="J11" s="10">
        <v>0.25</v>
      </c>
      <c r="K11" s="10">
        <v>0.3</v>
      </c>
      <c r="L11" s="16"/>
      <c r="M11" s="16"/>
      <c r="N11" s="10">
        <v>0.3</v>
      </c>
      <c r="O11" s="10">
        <v>0.3</v>
      </c>
      <c r="P11" s="10">
        <v>0.3</v>
      </c>
      <c r="Q11" s="10">
        <v>0.35</v>
      </c>
      <c r="R11" s="10">
        <v>0.28999999999999998</v>
      </c>
    </row>
    <row r="12" spans="1:18" x14ac:dyDescent="0.2">
      <c r="A12" s="18" t="str">
        <f t="shared" si="2"/>
        <v>_Gen_IMF_Taux</v>
      </c>
      <c r="B12" s="3" t="str">
        <f t="shared" si="0"/>
        <v>_Gen</v>
      </c>
      <c r="C12" s="3" t="str">
        <f>_Impot_IMF</f>
        <v>_IMF</v>
      </c>
      <c r="D12" s="3" t="str">
        <f t="shared" si="1"/>
        <v>_Taux</v>
      </c>
      <c r="E12" s="12">
        <v>7.4999999999999997E-3</v>
      </c>
      <c r="F12" s="11">
        <v>5.0000000000000001E-3</v>
      </c>
      <c r="G12" s="11">
        <v>2.1999999999999999E-2</v>
      </c>
      <c r="H12" s="12">
        <v>1.8499999999999999E-2</v>
      </c>
      <c r="I12" s="10">
        <v>0.01</v>
      </c>
      <c r="J12" s="11">
        <v>5.0000000000000001E-3</v>
      </c>
      <c r="K12" s="10">
        <v>0.01</v>
      </c>
      <c r="L12" s="16"/>
      <c r="M12" s="16"/>
      <c r="N12" s="10">
        <v>0.01</v>
      </c>
      <c r="O12" s="11">
        <v>1.4999999999999999E-2</v>
      </c>
      <c r="P12" s="11">
        <v>5.0000000000000001E-3</v>
      </c>
      <c r="Q12" s="11">
        <v>1.4999999999999999E-2</v>
      </c>
      <c r="R12" s="10">
        <v>0.01</v>
      </c>
    </row>
    <row r="13" spans="1:18" x14ac:dyDescent="0.2">
      <c r="A13" s="18" t="str">
        <f t="shared" si="2"/>
        <v>_Gen_IRVM_Taux</v>
      </c>
      <c r="B13" s="3" t="str">
        <f t="shared" si="0"/>
        <v>_Gen</v>
      </c>
      <c r="C13" s="3" t="str">
        <f>_Impot_IRVM</f>
        <v>_IRVM</v>
      </c>
      <c r="D13" s="3" t="str">
        <f t="shared" si="1"/>
        <v>_Taux</v>
      </c>
      <c r="E13" s="10">
        <v>0.1</v>
      </c>
      <c r="F13" s="11">
        <v>0.125</v>
      </c>
      <c r="G13" s="11">
        <v>0.16500000000000001</v>
      </c>
      <c r="H13" s="10">
        <v>0.15</v>
      </c>
      <c r="I13" s="10">
        <v>0.15</v>
      </c>
      <c r="J13" s="10">
        <v>0.15</v>
      </c>
      <c r="K13" s="10">
        <v>0.2</v>
      </c>
      <c r="L13" s="16"/>
      <c r="M13" s="16"/>
      <c r="N13" s="10">
        <v>0.1</v>
      </c>
      <c r="O13" s="10">
        <v>0.1</v>
      </c>
      <c r="P13" s="10">
        <v>0.1</v>
      </c>
      <c r="Q13" s="10">
        <v>0.2</v>
      </c>
      <c r="R13" s="10">
        <v>0.13</v>
      </c>
    </row>
    <row r="14" spans="1:18" x14ac:dyDescent="0.2">
      <c r="A14" s="18" t="str">
        <f t="shared" si="2"/>
        <v>_Gen_IRC_Taux</v>
      </c>
      <c r="B14" s="3" t="str">
        <f t="shared" si="0"/>
        <v>_Gen</v>
      </c>
      <c r="C14" s="3" t="str">
        <f>_Impot_IRC</f>
        <v>_IRC</v>
      </c>
      <c r="D14" s="3" t="str">
        <f t="shared" si="1"/>
        <v>_Taux</v>
      </c>
      <c r="E14" s="10">
        <v>0.15</v>
      </c>
      <c r="F14" s="10">
        <v>0.25</v>
      </c>
      <c r="G14" s="11">
        <v>0.16500000000000001</v>
      </c>
      <c r="H14" s="10">
        <v>0.15</v>
      </c>
      <c r="I14" s="10">
        <v>0.15</v>
      </c>
      <c r="J14" s="10">
        <v>0.18</v>
      </c>
      <c r="K14" s="10">
        <v>0.2</v>
      </c>
      <c r="L14" s="16"/>
      <c r="M14" s="16"/>
      <c r="N14" s="10">
        <v>0.13</v>
      </c>
      <c r="O14" s="10">
        <v>0.2</v>
      </c>
      <c r="P14" s="10">
        <v>0.16</v>
      </c>
      <c r="Q14" s="10">
        <v>0.2</v>
      </c>
      <c r="R14" s="10">
        <v>0.06</v>
      </c>
    </row>
    <row r="15" spans="1:18" x14ac:dyDescent="0.2">
      <c r="A15" s="18" t="str">
        <f t="shared" si="2"/>
        <v>_Gen_TVApetrole_Taux</v>
      </c>
      <c r="B15" s="3" t="str">
        <f t="shared" si="0"/>
        <v>_Gen</v>
      </c>
      <c r="C15" s="3" t="str">
        <f>_Impot_TVApetrole</f>
        <v>_TVApetrole</v>
      </c>
      <c r="D15" s="3" t="str">
        <f t="shared" si="1"/>
        <v>_Taux</v>
      </c>
      <c r="E15" s="10">
        <v>0.18</v>
      </c>
      <c r="F15" s="10">
        <v>0.18</v>
      </c>
      <c r="G15" s="12">
        <v>0.1925</v>
      </c>
      <c r="H15" s="9">
        <v>0.19</v>
      </c>
      <c r="I15" s="8">
        <v>0.189</v>
      </c>
      <c r="J15" s="10">
        <v>0.09</v>
      </c>
      <c r="K15" s="10">
        <v>0.18</v>
      </c>
      <c r="L15" s="16"/>
      <c r="M15" s="16"/>
      <c r="N15" s="10">
        <v>0.18</v>
      </c>
      <c r="O15" s="9">
        <v>0.19</v>
      </c>
      <c r="P15" s="10">
        <v>0.18</v>
      </c>
      <c r="Q15" s="9">
        <v>0.18</v>
      </c>
      <c r="R15" s="9">
        <v>0.18</v>
      </c>
    </row>
    <row r="16" spans="1:18" x14ac:dyDescent="0.2">
      <c r="A16" s="17" t="str">
        <f>VLOOKUP(_Amortissement,_Tables,4,FALSE)</f>
        <v>Amortissement</v>
      </c>
    </row>
    <row r="17" spans="1:18" x14ac:dyDescent="0.2">
      <c r="A17" s="18" t="str">
        <f>CONCATENATE(B17,C17,D17)</f>
        <v>_Gen_Constructions_DureeLineaire</v>
      </c>
      <c r="B17" s="3" t="str">
        <f t="shared" ref="B17:B22" si="3">_Regime_Gen</f>
        <v>_Gen</v>
      </c>
      <c r="C17" s="3" t="str">
        <f>_Amortissement_Constructions</f>
        <v>_Constructions</v>
      </c>
      <c r="D17" s="3" t="str">
        <f>_Information_DureeLineaire</f>
        <v>_DureeLineaire</v>
      </c>
      <c r="E17" s="15">
        <v>20</v>
      </c>
      <c r="F17" s="13">
        <v>20</v>
      </c>
      <c r="G17" s="13">
        <v>20</v>
      </c>
      <c r="H17" s="13">
        <v>20</v>
      </c>
      <c r="I17" s="13">
        <v>20</v>
      </c>
      <c r="J17" s="13">
        <v>20</v>
      </c>
      <c r="K17" s="13">
        <v>20</v>
      </c>
      <c r="N17" s="15">
        <v>20</v>
      </c>
      <c r="O17" s="13">
        <v>20</v>
      </c>
      <c r="P17" s="15">
        <v>20</v>
      </c>
      <c r="Q17" s="13">
        <v>20</v>
      </c>
      <c r="R17" s="15">
        <v>20</v>
      </c>
    </row>
    <row r="18" spans="1:18" x14ac:dyDescent="0.2">
      <c r="A18" s="18" t="str">
        <f t="shared" ref="A18:A22" si="4">CONCATENATE(B18,C18,D18)</f>
        <v>_Gen_Equipement_DureeLineaire</v>
      </c>
      <c r="B18" s="3" t="str">
        <f t="shared" si="3"/>
        <v>_Gen</v>
      </c>
      <c r="C18" s="3" t="str">
        <f>_Amortissement_Equipement</f>
        <v>_Equipement</v>
      </c>
      <c r="D18" s="3" t="str">
        <f>_Information_DureeLineaire</f>
        <v>_DureeLineaire</v>
      </c>
      <c r="E18" s="15">
        <v>10</v>
      </c>
      <c r="F18" s="13">
        <v>10</v>
      </c>
      <c r="G18" s="13">
        <v>10</v>
      </c>
      <c r="H18" s="13">
        <v>10</v>
      </c>
      <c r="I18" s="13">
        <v>10</v>
      </c>
      <c r="J18" s="13">
        <v>5</v>
      </c>
      <c r="K18" s="13">
        <v>10</v>
      </c>
      <c r="N18" s="15">
        <v>10</v>
      </c>
      <c r="O18" s="13">
        <v>10</v>
      </c>
      <c r="P18" s="15">
        <v>10</v>
      </c>
      <c r="Q18" s="13">
        <v>10</v>
      </c>
      <c r="R18" s="15">
        <v>10</v>
      </c>
    </row>
    <row r="19" spans="1:18" x14ac:dyDescent="0.2">
      <c r="A19" s="18" t="str">
        <f t="shared" si="4"/>
        <v>_Gen_Equipement_CoefDegressif</v>
      </c>
      <c r="B19" s="3" t="str">
        <f t="shared" si="3"/>
        <v>_Gen</v>
      </c>
      <c r="C19" s="3" t="str">
        <f>_Amortissement_Equipement</f>
        <v>_Equipement</v>
      </c>
      <c r="D19" s="3" t="str">
        <f>_Information_CoefDegressif</f>
        <v>_CoefDegressif</v>
      </c>
      <c r="E19" s="13">
        <v>2.5</v>
      </c>
      <c r="F19" s="13">
        <v>2.5</v>
      </c>
      <c r="G19" s="13">
        <v>1</v>
      </c>
      <c r="H19" s="13">
        <v>1</v>
      </c>
      <c r="I19" s="13">
        <v>1</v>
      </c>
      <c r="J19" s="13">
        <v>2</v>
      </c>
      <c r="K19" s="13">
        <v>1</v>
      </c>
      <c r="N19" s="13">
        <v>2.5</v>
      </c>
      <c r="O19" s="13">
        <v>1</v>
      </c>
      <c r="P19" s="13">
        <v>2.5</v>
      </c>
      <c r="Q19" s="13">
        <v>1</v>
      </c>
      <c r="R19" s="13">
        <f>IF(AND(_Pays_Select=_Pays_TGO,_Regime_Select=_Regime_Inv),1,2.5)</f>
        <v>2.5</v>
      </c>
    </row>
    <row r="20" spans="1:18" x14ac:dyDescent="0.2">
      <c r="A20" s="18" t="str">
        <f t="shared" si="4"/>
        <v>_Gen_Camion_DureeLineaire</v>
      </c>
      <c r="B20" s="3" t="str">
        <f t="shared" si="3"/>
        <v>_Gen</v>
      </c>
      <c r="C20" s="3" t="str">
        <f>_Amortissement_Camion</f>
        <v>_Camion</v>
      </c>
      <c r="D20" s="3" t="str">
        <f>_Information_DureeLineaire</f>
        <v>_DureeLineaire</v>
      </c>
      <c r="E20" s="15">
        <v>3</v>
      </c>
      <c r="F20" s="13">
        <v>3</v>
      </c>
      <c r="G20" s="13">
        <v>3</v>
      </c>
      <c r="H20" s="13">
        <v>3</v>
      </c>
      <c r="I20" s="13">
        <v>3</v>
      </c>
      <c r="J20" s="13">
        <v>3</v>
      </c>
      <c r="K20" s="13">
        <v>3</v>
      </c>
      <c r="N20" s="15">
        <v>3</v>
      </c>
      <c r="O20" s="13">
        <v>4</v>
      </c>
      <c r="P20" s="15">
        <v>3</v>
      </c>
      <c r="Q20" s="13">
        <v>3</v>
      </c>
      <c r="R20" s="15">
        <v>3</v>
      </c>
    </row>
    <row r="21" spans="1:18" x14ac:dyDescent="0.2">
      <c r="A21" s="18" t="str">
        <f t="shared" si="4"/>
        <v>_Gen_Informatique_DureeLineaire</v>
      </c>
      <c r="B21" s="3" t="str">
        <f t="shared" si="3"/>
        <v>_Gen</v>
      </c>
      <c r="C21" s="3" t="str">
        <f>_Amortissement_Informatique</f>
        <v>_Informatique</v>
      </c>
      <c r="D21" s="3" t="str">
        <f>_Information_DureeLineaire</f>
        <v>_DureeLineaire</v>
      </c>
      <c r="E21" s="15">
        <v>2</v>
      </c>
      <c r="F21" s="13">
        <v>2</v>
      </c>
      <c r="G21" s="13">
        <v>4</v>
      </c>
      <c r="H21" s="13">
        <v>4</v>
      </c>
      <c r="I21" s="13">
        <v>4</v>
      </c>
      <c r="J21" s="13">
        <v>2</v>
      </c>
      <c r="K21" s="13">
        <v>4</v>
      </c>
      <c r="N21" s="15">
        <v>2</v>
      </c>
      <c r="O21" s="13">
        <v>2</v>
      </c>
      <c r="P21" s="15">
        <v>2</v>
      </c>
      <c r="Q21" s="13">
        <v>3</v>
      </c>
      <c r="R21" s="15">
        <v>2</v>
      </c>
    </row>
    <row r="22" spans="1:18" x14ac:dyDescent="0.2">
      <c r="A22" s="18" t="str">
        <f t="shared" si="4"/>
        <v>_Gen_Bureau_DureeLineaire</v>
      </c>
      <c r="B22" s="3" t="str">
        <f t="shared" si="3"/>
        <v>_Gen</v>
      </c>
      <c r="C22" s="3" t="str">
        <f>_Amortissement_Bureau</f>
        <v>_Bureau</v>
      </c>
      <c r="D22" s="3" t="str">
        <f>_Information_DureeLineaire</f>
        <v>_DureeLineaire</v>
      </c>
      <c r="E22" s="15">
        <v>10</v>
      </c>
      <c r="F22" s="13">
        <v>10</v>
      </c>
      <c r="G22" s="13">
        <v>10</v>
      </c>
      <c r="H22" s="13">
        <v>10</v>
      </c>
      <c r="I22" s="13">
        <v>10</v>
      </c>
      <c r="J22" s="13">
        <v>10</v>
      </c>
      <c r="K22" s="13">
        <v>10</v>
      </c>
      <c r="N22" s="15">
        <v>10</v>
      </c>
      <c r="O22" s="13">
        <v>10</v>
      </c>
      <c r="P22" s="15">
        <v>10</v>
      </c>
      <c r="Q22" s="13">
        <v>10</v>
      </c>
      <c r="R22" s="15">
        <v>10</v>
      </c>
    </row>
    <row r="24" spans="1:18" x14ac:dyDescent="0.2">
      <c r="A24" s="17" t="str">
        <f>VLOOKUP(CONCATENATE(_Regime,_Regime_Inv),_Tables,4,FALSE)</f>
        <v>Régime des investissements</v>
      </c>
    </row>
    <row r="25" spans="1:18" x14ac:dyDescent="0.2">
      <c r="A25" s="18" t="str">
        <f>CONCATENATE(B25,D25)</f>
        <v>_Inv_Texte</v>
      </c>
      <c r="B25" s="3" t="str">
        <f>_Regime_Inv</f>
        <v>_Inv</v>
      </c>
      <c r="C25" s="3"/>
      <c r="D25" s="3" t="str">
        <f>_Texte</f>
        <v>_Texte</v>
      </c>
      <c r="E25" s="20" t="s">
        <v>123</v>
      </c>
      <c r="F25" s="21" t="s">
        <v>123</v>
      </c>
      <c r="G25" s="20" t="s">
        <v>124</v>
      </c>
      <c r="H25" s="20" t="s">
        <v>115</v>
      </c>
      <c r="I25" s="20" t="s">
        <v>115</v>
      </c>
      <c r="J25" s="20" t="s">
        <v>123</v>
      </c>
      <c r="K25" s="21" t="s">
        <v>119</v>
      </c>
      <c r="L25" s="22"/>
      <c r="M25" s="22"/>
      <c r="N25" s="20" t="s">
        <v>123</v>
      </c>
      <c r="O25" s="20" t="s">
        <v>123</v>
      </c>
      <c r="P25" s="20" t="s">
        <v>123</v>
      </c>
      <c r="Q25" s="20" t="s">
        <v>127</v>
      </c>
      <c r="R25" s="21" t="s">
        <v>123</v>
      </c>
    </row>
    <row r="26" spans="1:18" x14ac:dyDescent="0.2">
      <c r="A26" s="18" t="str">
        <f t="shared" ref="A26:A27" si="5">CONCATENATE(B26,D26)</f>
        <v>_Inv_Regime</v>
      </c>
      <c r="B26" s="3" t="str">
        <f>_Regime_Inv</f>
        <v>_Inv</v>
      </c>
      <c r="C26" s="3"/>
      <c r="D26" s="3" t="str">
        <f>_Regime</f>
        <v>_Regime</v>
      </c>
      <c r="E26" s="20" t="s">
        <v>104</v>
      </c>
      <c r="F26" s="21" t="s">
        <v>104</v>
      </c>
      <c r="G26" s="20" t="s">
        <v>113</v>
      </c>
      <c r="H26" s="20" t="s">
        <v>125</v>
      </c>
      <c r="I26" s="20" t="s">
        <v>116</v>
      </c>
      <c r="J26" s="20" t="s">
        <v>117</v>
      </c>
      <c r="K26" s="21" t="s">
        <v>125</v>
      </c>
      <c r="L26" s="22"/>
      <c r="M26" s="22"/>
      <c r="N26" s="20" t="s">
        <v>104</v>
      </c>
      <c r="O26" s="20" t="s">
        <v>120</v>
      </c>
      <c r="P26" s="20" t="s">
        <v>126</v>
      </c>
      <c r="Q26" s="20" t="s">
        <v>125</v>
      </c>
      <c r="R26" s="21" t="s">
        <v>128</v>
      </c>
    </row>
    <row r="27" spans="1:18" x14ac:dyDescent="0.2">
      <c r="A27" s="18" t="str">
        <f t="shared" si="5"/>
        <v>_Inv_Zone</v>
      </c>
      <c r="B27" s="3" t="str">
        <f>_Regime_Inv</f>
        <v>_Inv</v>
      </c>
      <c r="C27" s="3"/>
      <c r="D27" s="3" t="str">
        <f>_Zone</f>
        <v>_Zone</v>
      </c>
      <c r="E27" s="20" t="s">
        <v>105</v>
      </c>
      <c r="F27" s="21" t="s">
        <v>110</v>
      </c>
      <c r="G27" s="20" t="s">
        <v>114</v>
      </c>
      <c r="H27" s="20" t="s">
        <v>110</v>
      </c>
      <c r="I27" s="20" t="s">
        <v>114</v>
      </c>
      <c r="J27" s="20" t="s">
        <v>118</v>
      </c>
      <c r="K27" s="21" t="s">
        <v>114</v>
      </c>
      <c r="L27" s="22"/>
      <c r="M27" s="22"/>
      <c r="N27" s="20" t="s">
        <v>114</v>
      </c>
      <c r="O27" s="20" t="s">
        <v>110</v>
      </c>
      <c r="P27" s="20" t="s">
        <v>114</v>
      </c>
      <c r="Q27" s="20" t="s">
        <v>114</v>
      </c>
      <c r="R27" s="21" t="s">
        <v>105</v>
      </c>
    </row>
    <row r="28" spans="1:18" x14ac:dyDescent="0.2">
      <c r="A28" s="17" t="str">
        <f>VLOOKUP(_Impot,_Tables,4,FALSE)</f>
        <v>Impôt</v>
      </c>
    </row>
    <row r="29" spans="1:18" x14ac:dyDescent="0.2">
      <c r="A29" s="17" t="str">
        <f>VLOOKUP(CONCATENATE(_Impot,_Impot_CFE),_Tables,4,FALSE)</f>
        <v>Contributions forfaitaires employeurs</v>
      </c>
    </row>
    <row r="30" spans="1:18" x14ac:dyDescent="0.2">
      <c r="A30" s="18" t="str">
        <f>CONCATENATE(B30,C30,D30)</f>
        <v>_Inv_CFE_Duree</v>
      </c>
      <c r="B30" s="3" t="str">
        <f>_Regime_Inv</f>
        <v>_Inv</v>
      </c>
      <c r="C30" s="3" t="str">
        <f>_Impot_CFE</f>
        <v>_CFE</v>
      </c>
      <c r="D30" s="3" t="str">
        <f>_Information_Duree</f>
        <v>_Duree</v>
      </c>
      <c r="E30" s="13"/>
      <c r="F30" s="15">
        <v>5</v>
      </c>
      <c r="G30" s="13"/>
      <c r="H30" s="13"/>
      <c r="I30" s="13"/>
      <c r="J30" s="13">
        <v>7</v>
      </c>
      <c r="K30" s="15"/>
      <c r="L30" s="7"/>
      <c r="M30" s="7"/>
      <c r="N30" s="13"/>
      <c r="O30" s="13"/>
      <c r="P30" s="13">
        <v>5</v>
      </c>
      <c r="Q30" s="13"/>
      <c r="R30" s="15">
        <v>5</v>
      </c>
    </row>
    <row r="31" spans="1:18" x14ac:dyDescent="0.2">
      <c r="A31" s="18" t="str">
        <f>CONCATENATE(B31,C31,D31)</f>
        <v>_Inv_CFE_Taux</v>
      </c>
      <c r="B31" s="3" t="str">
        <f>_Regime_Inv</f>
        <v>_Inv</v>
      </c>
      <c r="C31" s="3" t="str">
        <f>_Impot_CFE</f>
        <v>_CFE</v>
      </c>
      <c r="D31" s="3" t="str">
        <f>_Information_Taux</f>
        <v>_Taux</v>
      </c>
      <c r="E31" s="13"/>
      <c r="F31" s="15"/>
      <c r="G31" s="13"/>
      <c r="H31" s="13"/>
      <c r="I31" s="13"/>
      <c r="J31" s="11">
        <v>2.1999999999999999E-2</v>
      </c>
      <c r="K31" s="15"/>
      <c r="L31" s="7"/>
      <c r="M31" s="7"/>
      <c r="N31" s="13"/>
      <c r="O31" s="13"/>
      <c r="P31" s="13"/>
      <c r="Q31" s="13"/>
      <c r="R31" s="9">
        <v>0.02</v>
      </c>
    </row>
    <row r="32" spans="1:18" x14ac:dyDescent="0.2">
      <c r="A32" s="18" t="str">
        <f>CONCATENATE(B32,C32,D32)</f>
        <v>_Inv_CFE_ReducExo</v>
      </c>
      <c r="B32" s="3" t="str">
        <f>_Regime_Inv</f>
        <v>_Inv</v>
      </c>
      <c r="C32" s="3" t="str">
        <f>_Impot_CFE</f>
        <v>_CFE</v>
      </c>
      <c r="D32" s="3" t="str">
        <f>_Information_ReducExo</f>
        <v>_ReducExo</v>
      </c>
      <c r="E32" s="13"/>
      <c r="F32" s="9">
        <v>1</v>
      </c>
      <c r="G32" s="13"/>
      <c r="H32" s="13"/>
      <c r="I32" s="13"/>
      <c r="J32" s="13"/>
      <c r="K32" s="15"/>
      <c r="L32" s="7"/>
      <c r="M32" s="7"/>
      <c r="N32" s="13"/>
      <c r="O32" s="13"/>
      <c r="P32" s="10">
        <v>1</v>
      </c>
      <c r="Q32" s="13"/>
      <c r="R32" s="15"/>
    </row>
    <row r="33" spans="1:18" x14ac:dyDescent="0.2">
      <c r="A33" s="17" t="str">
        <f>VLOOKUP(CONCATENATE(_Impot,_Impot_IS),_Tables,4,FALSE)</f>
        <v>Impôt sur les sociétés</v>
      </c>
      <c r="L33" s="7"/>
      <c r="M33" s="7"/>
    </row>
    <row r="34" spans="1:18" x14ac:dyDescent="0.2">
      <c r="A34" s="18" t="str">
        <f t="shared" ref="A34:A38" si="6">CONCATENATE(B34,C34,D34)</f>
        <v>_Inv_IS_Duree</v>
      </c>
      <c r="B34" s="3" t="str">
        <f t="shared" ref="B34:B38" si="7">_Regime_Inv</f>
        <v>_Inv</v>
      </c>
      <c r="C34" s="3" t="str">
        <f>_Impot_IS</f>
        <v>_IS</v>
      </c>
      <c r="D34" s="3" t="str">
        <f>_Information_Duree</f>
        <v>_Duree</v>
      </c>
      <c r="E34" s="13">
        <v>5</v>
      </c>
      <c r="F34" s="15">
        <v>5</v>
      </c>
      <c r="G34" s="13">
        <v>5</v>
      </c>
      <c r="H34" s="13">
        <v>3</v>
      </c>
      <c r="I34" s="13">
        <v>3</v>
      </c>
      <c r="J34" s="13">
        <v>7</v>
      </c>
      <c r="K34" s="15">
        <v>5</v>
      </c>
      <c r="L34" s="7"/>
      <c r="M34" s="7"/>
      <c r="N34" s="13">
        <v>7</v>
      </c>
      <c r="O34" s="13"/>
      <c r="P34" s="13">
        <v>5</v>
      </c>
      <c r="Q34" s="13">
        <v>5</v>
      </c>
      <c r="R34" s="15">
        <v>5</v>
      </c>
    </row>
    <row r="35" spans="1:18" x14ac:dyDescent="0.2">
      <c r="A35" s="18" t="str">
        <f t="shared" si="6"/>
        <v>_Inv_IS_Taux</v>
      </c>
      <c r="B35" s="3" t="str">
        <f t="shared" si="7"/>
        <v>_Inv</v>
      </c>
      <c r="C35" s="3" t="str">
        <f>_Impot_IS</f>
        <v>_IS</v>
      </c>
      <c r="D35" s="3" t="str">
        <f>_Information_Taux</f>
        <v>_Taux</v>
      </c>
      <c r="E35" s="13"/>
      <c r="F35" s="15"/>
      <c r="G35" s="13"/>
      <c r="H35" s="13"/>
      <c r="I35" s="13"/>
      <c r="J35" s="13"/>
      <c r="K35" s="15"/>
      <c r="L35" s="7"/>
      <c r="M35" s="7"/>
      <c r="N35" s="10">
        <v>0.25</v>
      </c>
      <c r="O35" s="13"/>
      <c r="P35" s="13"/>
      <c r="Q35" s="13"/>
      <c r="R35" s="15"/>
    </row>
    <row r="36" spans="1:18" x14ac:dyDescent="0.2">
      <c r="A36" s="18" t="str">
        <f t="shared" si="6"/>
        <v>_Inv_IS_ReducExo</v>
      </c>
      <c r="B36" s="3" t="str">
        <f t="shared" si="7"/>
        <v>_Inv</v>
      </c>
      <c r="C36" s="3" t="str">
        <f>_Impot_IS</f>
        <v>_IS</v>
      </c>
      <c r="D36" s="3" t="str">
        <f>_Information_ReducExo</f>
        <v>_ReducExo</v>
      </c>
      <c r="E36" s="10">
        <v>1</v>
      </c>
      <c r="F36" s="15"/>
      <c r="G36" s="10">
        <v>0.5</v>
      </c>
      <c r="H36" s="10">
        <v>1</v>
      </c>
      <c r="I36" s="10">
        <v>1</v>
      </c>
      <c r="J36" s="10">
        <v>1</v>
      </c>
      <c r="K36" s="9">
        <v>1</v>
      </c>
      <c r="L36" s="7"/>
      <c r="M36" s="7"/>
      <c r="N36" s="13"/>
      <c r="O36" s="13"/>
      <c r="P36" s="13"/>
      <c r="Q36" s="10">
        <v>1</v>
      </c>
      <c r="R36" s="9">
        <v>0.02</v>
      </c>
    </row>
    <row r="37" spans="1:18" x14ac:dyDescent="0.2">
      <c r="A37" s="18" t="str">
        <f t="shared" si="6"/>
        <v>_Inv_Amortissement_TauxExceptionnel</v>
      </c>
      <c r="B37" s="3" t="str">
        <f t="shared" si="7"/>
        <v>_Inv</v>
      </c>
      <c r="C37" s="3" t="str">
        <f>_Amortissement</f>
        <v>_Amortissement</v>
      </c>
      <c r="D37" s="3" t="str">
        <f>_Information_TauxExceptionnel</f>
        <v>_TauxExceptionnel</v>
      </c>
      <c r="E37" s="13"/>
      <c r="F37" s="9">
        <v>0.5</v>
      </c>
      <c r="G37" s="13"/>
      <c r="H37" s="13"/>
      <c r="I37" s="13"/>
      <c r="J37" s="13"/>
      <c r="K37" s="15"/>
      <c r="L37" s="7"/>
      <c r="M37" s="7"/>
      <c r="N37" s="13"/>
      <c r="O37" s="10"/>
      <c r="P37" s="10">
        <v>0.4</v>
      </c>
      <c r="Q37" s="10"/>
      <c r="R37" s="9">
        <v>0.4</v>
      </c>
    </row>
    <row r="38" spans="1:18" x14ac:dyDescent="0.2">
      <c r="A38" s="18" t="str">
        <f t="shared" si="6"/>
        <v>_Inv_Amortissement_Limitation</v>
      </c>
      <c r="B38" s="3" t="str">
        <f t="shared" si="7"/>
        <v>_Inv</v>
      </c>
      <c r="C38" s="3" t="str">
        <f>_Amortissement</f>
        <v>_Amortissement</v>
      </c>
      <c r="D38" s="3" t="str">
        <f>_Information_Limitation</f>
        <v>_Limitation</v>
      </c>
      <c r="E38" s="13"/>
      <c r="F38" s="9">
        <v>0.5</v>
      </c>
      <c r="G38" s="13"/>
      <c r="H38" s="13"/>
      <c r="I38" s="13"/>
      <c r="J38" s="13"/>
      <c r="K38" s="15"/>
      <c r="L38" s="7"/>
      <c r="M38" s="7"/>
      <c r="N38" s="13"/>
      <c r="O38" s="10"/>
      <c r="P38" s="10">
        <v>0.5</v>
      </c>
      <c r="Q38" s="10"/>
      <c r="R38" s="9">
        <v>0.5</v>
      </c>
    </row>
    <row r="39" spans="1:18" x14ac:dyDescent="0.2">
      <c r="A39" s="17" t="str">
        <f>VLOOKUP(CONCATENATE(_Impot,_Impot_IMF),_Tables,4,FALSE)</f>
        <v>Impôt minimum forfaitaire</v>
      </c>
      <c r="L39" s="7"/>
      <c r="M39" s="7"/>
    </row>
    <row r="40" spans="1:18" x14ac:dyDescent="0.2">
      <c r="A40" s="18" t="str">
        <f>CONCATENATE(B40,C40,D40)</f>
        <v>_Inv_IMF_Duree</v>
      </c>
      <c r="B40" s="3" t="str">
        <f>_Regime_Inv</f>
        <v>_Inv</v>
      </c>
      <c r="C40" s="3" t="str">
        <f>_Impot_IMF</f>
        <v>_IMF</v>
      </c>
      <c r="D40" s="3" t="str">
        <f>_Information_Duree</f>
        <v>_Duree</v>
      </c>
      <c r="E40" s="13"/>
      <c r="F40" s="15"/>
      <c r="G40" s="13"/>
      <c r="H40" s="13"/>
      <c r="I40" s="13"/>
      <c r="J40" s="13"/>
      <c r="K40" s="15"/>
      <c r="L40" s="7"/>
      <c r="M40" s="7"/>
      <c r="N40" s="13"/>
      <c r="O40" s="13">
        <v>6</v>
      </c>
      <c r="P40" s="13"/>
      <c r="Q40" s="13">
        <v>5</v>
      </c>
      <c r="R40" s="15"/>
    </row>
    <row r="41" spans="1:18" x14ac:dyDescent="0.2">
      <c r="A41" s="18" t="str">
        <f>CONCATENATE(B41,C41,D41)</f>
        <v>_Inv_IMF_Taux</v>
      </c>
      <c r="B41" s="3" t="str">
        <f>_Regime_Inv</f>
        <v>_Inv</v>
      </c>
      <c r="C41" s="3" t="str">
        <f>_Impot_IMF</f>
        <v>_IMF</v>
      </c>
      <c r="D41" s="3" t="str">
        <f>_Information_Taux</f>
        <v>_Taux</v>
      </c>
      <c r="E41" s="13"/>
      <c r="F41" s="15"/>
      <c r="G41" s="13"/>
      <c r="H41" s="13"/>
      <c r="I41" s="13"/>
      <c r="J41" s="13"/>
      <c r="K41" s="15"/>
      <c r="L41" s="7"/>
      <c r="M41" s="7"/>
      <c r="N41" s="13"/>
      <c r="O41" s="13"/>
      <c r="P41" s="13"/>
      <c r="Q41" s="13"/>
      <c r="R41" s="15"/>
    </row>
    <row r="42" spans="1:18" x14ac:dyDescent="0.2">
      <c r="A42" s="18" t="str">
        <f>CONCATENATE(B42,C42,D42)</f>
        <v>_Inv_IMF_ReducExo</v>
      </c>
      <c r="B42" s="3" t="str">
        <f>_Regime_Inv</f>
        <v>_Inv</v>
      </c>
      <c r="C42" s="3" t="str">
        <f>_Impot_IMF</f>
        <v>_IMF</v>
      </c>
      <c r="D42" s="3" t="str">
        <f>_Information_ReducExo</f>
        <v>_ReducExo</v>
      </c>
      <c r="E42" s="13"/>
      <c r="F42" s="15"/>
      <c r="G42" s="13"/>
      <c r="H42" s="13"/>
      <c r="I42" s="13"/>
      <c r="J42" s="13"/>
      <c r="K42" s="15"/>
      <c r="L42" s="7"/>
      <c r="M42" s="7"/>
      <c r="N42" s="13"/>
      <c r="O42" s="10">
        <v>1</v>
      </c>
      <c r="P42" s="13"/>
      <c r="Q42" s="10">
        <v>1</v>
      </c>
      <c r="R42" s="15"/>
    </row>
    <row r="43" spans="1:18" x14ac:dyDescent="0.2">
      <c r="A43" s="17" t="str">
        <f>VLOOKUP(CONCATENATE(_Impot,_Impot_IRVM),_Tables,4,FALSE)</f>
        <v>Impôt sur le revenu des valeurs mobilières</v>
      </c>
      <c r="L43" s="7"/>
      <c r="M43" s="7"/>
    </row>
    <row r="44" spans="1:18" x14ac:dyDescent="0.2">
      <c r="A44" s="18" t="str">
        <f>CONCATENATE(B44,C44,D44)</f>
        <v>_Inv_IRVM_Duree</v>
      </c>
      <c r="B44" s="3" t="str">
        <f>_Regime_Inv</f>
        <v>_Inv</v>
      </c>
      <c r="C44" s="3" t="str">
        <f>_Impot_IRVM</f>
        <v>_IRVM</v>
      </c>
      <c r="D44" s="3" t="str">
        <f>_Information_Duree</f>
        <v>_Duree</v>
      </c>
      <c r="E44" s="13"/>
      <c r="F44" s="15"/>
      <c r="G44" s="13">
        <v>5</v>
      </c>
      <c r="H44" s="13"/>
      <c r="I44" s="13"/>
      <c r="J44" s="13"/>
      <c r="K44" s="15"/>
      <c r="L44" s="7"/>
      <c r="M44" s="7"/>
      <c r="N44" s="13"/>
      <c r="O44" s="13"/>
      <c r="P44" s="13"/>
      <c r="Q44" s="13"/>
      <c r="R44" s="15"/>
    </row>
    <row r="45" spans="1:18" x14ac:dyDescent="0.2">
      <c r="A45" s="18" t="str">
        <f>CONCATENATE(B45,C45,D45)</f>
        <v>_Inv_IRVM_Taux</v>
      </c>
      <c r="B45" s="3" t="str">
        <f>_Regime_Inv</f>
        <v>_Inv</v>
      </c>
      <c r="C45" s="3" t="str">
        <f>_Impot_IRVM</f>
        <v>_IRVM</v>
      </c>
      <c r="D45" s="3" t="str">
        <f>_Information_Taux</f>
        <v>_Taux</v>
      </c>
      <c r="E45" s="13"/>
      <c r="F45" s="15"/>
      <c r="G45" s="13"/>
      <c r="H45" s="13"/>
      <c r="I45" s="13"/>
      <c r="J45" s="13"/>
      <c r="K45" s="15"/>
      <c r="L45" s="7"/>
      <c r="M45" s="7"/>
      <c r="N45" s="13"/>
      <c r="O45" s="13"/>
      <c r="P45" s="13"/>
      <c r="Q45" s="13"/>
      <c r="R45" s="15"/>
    </row>
    <row r="46" spans="1:18" x14ac:dyDescent="0.2">
      <c r="A46" s="18" t="str">
        <f>CONCATENATE(B46,C46,D46)</f>
        <v>_Inv_IRVM_ReducExo</v>
      </c>
      <c r="B46" s="3" t="str">
        <f>_Regime_Inv</f>
        <v>_Inv</v>
      </c>
      <c r="C46" s="3" t="str">
        <f>_Impot_IRVM</f>
        <v>_IRVM</v>
      </c>
      <c r="D46" s="3" t="str">
        <f>_Information_ReducExo</f>
        <v>_ReducExo</v>
      </c>
      <c r="E46" s="13"/>
      <c r="F46" s="15"/>
      <c r="G46" s="10">
        <v>0.5</v>
      </c>
      <c r="H46" s="13"/>
      <c r="I46" s="13"/>
      <c r="J46" s="13"/>
      <c r="K46" s="15"/>
      <c r="L46" s="7"/>
      <c r="M46" s="7"/>
      <c r="N46" s="13"/>
      <c r="O46" s="13"/>
      <c r="P46" s="13"/>
      <c r="Q46" s="13"/>
      <c r="R46" s="15"/>
    </row>
    <row r="47" spans="1:18" x14ac:dyDescent="0.2">
      <c r="A47" s="17" t="str">
        <f>VLOOKUP(CONCATENATE(_Impot,_Impot_IRC),_Tables,4,FALSE)</f>
        <v>Impôt sur le revenu des créances</v>
      </c>
      <c r="L47" s="7"/>
      <c r="M47" s="7"/>
    </row>
    <row r="48" spans="1:18" x14ac:dyDescent="0.2">
      <c r="A48" s="18" t="str">
        <f>CONCATENATE(B48,C48,D48)</f>
        <v>_Inv_IRC_Duree</v>
      </c>
      <c r="B48" s="3" t="str">
        <f>_Regime_Inv</f>
        <v>_Inv</v>
      </c>
      <c r="C48" s="3" t="str">
        <f>_Impot_IRC</f>
        <v>_IRC</v>
      </c>
      <c r="D48" s="3" t="str">
        <f>_Information_Duree</f>
        <v>_Duree</v>
      </c>
      <c r="E48" s="13"/>
      <c r="F48" s="15"/>
      <c r="G48" s="13"/>
      <c r="H48" s="13"/>
      <c r="I48" s="13"/>
      <c r="J48" s="13"/>
      <c r="K48" s="15"/>
      <c r="L48" s="7"/>
      <c r="M48" s="7"/>
      <c r="N48" s="13"/>
      <c r="O48" s="13"/>
      <c r="P48" s="13"/>
      <c r="Q48" s="13"/>
      <c r="R48" s="15"/>
    </row>
    <row r="49" spans="1:18" x14ac:dyDescent="0.2">
      <c r="A49" s="18" t="str">
        <f>CONCATENATE(B49,C49,D49)</f>
        <v>_Inv_IRC_Taux</v>
      </c>
      <c r="B49" s="3" t="str">
        <f>_Regime_Inv</f>
        <v>_Inv</v>
      </c>
      <c r="C49" s="3" t="str">
        <f>_Impot_IRC</f>
        <v>_IRC</v>
      </c>
      <c r="D49" s="3" t="str">
        <f>_Information_Taux</f>
        <v>_Taux</v>
      </c>
      <c r="E49" s="13"/>
      <c r="F49" s="15"/>
      <c r="G49" s="13"/>
      <c r="H49" s="13"/>
      <c r="I49" s="13"/>
      <c r="J49" s="13"/>
      <c r="K49" s="15"/>
      <c r="L49" s="7"/>
      <c r="M49" s="7"/>
      <c r="N49" s="13"/>
      <c r="O49" s="13"/>
      <c r="P49" s="13"/>
      <c r="Q49" s="13"/>
      <c r="R49" s="15"/>
    </row>
    <row r="50" spans="1:18" x14ac:dyDescent="0.2">
      <c r="A50" s="18" t="str">
        <f>CONCATENATE(B50,C50,D50)</f>
        <v>_Inv_IRC_ReducExo</v>
      </c>
      <c r="B50" s="3" t="str">
        <f>_Regime_Inv</f>
        <v>_Inv</v>
      </c>
      <c r="C50" s="3" t="str">
        <f>_Impot_IRC</f>
        <v>_IRC</v>
      </c>
      <c r="D50" s="3" t="str">
        <f>_Information_ReducExo</f>
        <v>_ReducExo</v>
      </c>
      <c r="E50" s="13"/>
      <c r="F50" s="15"/>
      <c r="G50" s="13"/>
      <c r="H50" s="13"/>
      <c r="I50" s="13"/>
      <c r="J50" s="13"/>
      <c r="K50" s="15"/>
      <c r="L50" s="7"/>
      <c r="M50" s="7"/>
      <c r="N50" s="13"/>
      <c r="O50" s="13"/>
      <c r="P50" s="13"/>
      <c r="Q50" s="13"/>
      <c r="R50" s="15"/>
    </row>
    <row r="51" spans="1:18" x14ac:dyDescent="0.2">
      <c r="A51" s="17" t="str">
        <f>VLOOKUP(CONCATENATE(_Impot,_Impot_TVApetrole),_Tables,4,FALSE)</f>
        <v>Taxe sur la valeur ajoutée des produits pétroliers</v>
      </c>
      <c r="L51" s="7"/>
      <c r="M51" s="7"/>
    </row>
    <row r="52" spans="1:18" x14ac:dyDescent="0.2">
      <c r="A52" s="18" t="str">
        <f>CONCATENATE(B52,C52,D52)</f>
        <v>_Inv_TVApetrole_Duree</v>
      </c>
      <c r="B52" s="3" t="str">
        <f>_Regime_Inv</f>
        <v>_Inv</v>
      </c>
      <c r="C52" s="3" t="str">
        <f>_Impot_TVApetrole</f>
        <v>_TVApetrole</v>
      </c>
      <c r="D52" s="3" t="str">
        <f>_Information_Duree</f>
        <v>_Duree</v>
      </c>
      <c r="E52" s="13"/>
      <c r="F52" s="15"/>
      <c r="G52" s="13"/>
      <c r="H52" s="13"/>
      <c r="I52" s="13"/>
      <c r="J52" s="13"/>
      <c r="K52" s="15"/>
      <c r="L52" s="7"/>
      <c r="M52" s="7"/>
      <c r="N52" s="13"/>
      <c r="O52" s="13"/>
      <c r="P52" s="13"/>
      <c r="Q52" s="13"/>
      <c r="R52" s="15"/>
    </row>
    <row r="53" spans="1:18" x14ac:dyDescent="0.2">
      <c r="A53" s="18" t="str">
        <f>CONCATENATE(B53,C53,D53)</f>
        <v>_Inv_TVApetrole_Taux</v>
      </c>
      <c r="B53" s="3" t="str">
        <f>_Regime_Inv</f>
        <v>_Inv</v>
      </c>
      <c r="C53" s="3" t="str">
        <f>_Impot_TVApetrole</f>
        <v>_TVApetrole</v>
      </c>
      <c r="D53" s="3" t="str">
        <f>_Information_Taux</f>
        <v>_Taux</v>
      </c>
      <c r="E53" s="13"/>
      <c r="F53" s="15"/>
      <c r="G53" s="13"/>
      <c r="H53" s="13"/>
      <c r="I53" s="13"/>
      <c r="J53" s="13"/>
      <c r="K53" s="15"/>
      <c r="L53" s="7"/>
      <c r="M53" s="7"/>
      <c r="N53" s="13"/>
      <c r="O53" s="13"/>
      <c r="P53" s="13"/>
      <c r="Q53" s="13"/>
      <c r="R53" s="15"/>
    </row>
    <row r="54" spans="1:18" x14ac:dyDescent="0.2">
      <c r="A54" s="18" t="str">
        <f>CONCATENATE(B54,C54,D54)</f>
        <v>_Inv_TVApetrole_ReducExo</v>
      </c>
      <c r="B54" s="3" t="str">
        <f>_Regime_Inv</f>
        <v>_Inv</v>
      </c>
      <c r="C54" s="3" t="str">
        <f>_Impot_TVApetrole</f>
        <v>_TVApetrole</v>
      </c>
      <c r="D54" s="3" t="str">
        <f>_Information_ReducExo</f>
        <v>_ReducExo</v>
      </c>
      <c r="E54" s="13"/>
      <c r="F54" s="15"/>
      <c r="G54" s="13"/>
      <c r="H54" s="13"/>
      <c r="I54" s="13"/>
      <c r="J54" s="13"/>
      <c r="K54" s="15"/>
      <c r="L54" s="7"/>
      <c r="M54" s="7"/>
      <c r="N54" s="13"/>
      <c r="O54" s="13"/>
      <c r="P54" s="13"/>
      <c r="Q54" s="13"/>
      <c r="R54" s="15"/>
    </row>
  </sheetData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  <ignoredErrors>
    <ignoredError sqref="D19 A16 A33 A39 A43 A47 A51 D3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6"/>
  <sheetViews>
    <sheetView zoomScaleNormal="100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baseColWidth="10" defaultColWidth="10.83203125" defaultRowHeight="12.75" x14ac:dyDescent="0.2"/>
  <cols>
    <col min="1" max="1" width="40.83203125" style="1" customWidth="1"/>
    <col min="2" max="3" width="10.83203125" style="6"/>
    <col min="4" max="16384" width="10.83203125" style="1"/>
  </cols>
  <sheetData>
    <row r="1" spans="1:3" x14ac:dyDescent="0.2">
      <c r="A1" s="4"/>
      <c r="B1" s="14" t="str">
        <f>_Djankov</f>
        <v>_Djankov</v>
      </c>
      <c r="C1" s="14" t="str">
        <f>_ZoneFranc</f>
        <v>_ZoneFranc</v>
      </c>
    </row>
    <row r="2" spans="1:3" x14ac:dyDescent="0.2">
      <c r="A2" s="17" t="str">
        <f>VLOOKUP(_Colonne,_Tables,4,FALSE)</f>
        <v>Colonne</v>
      </c>
      <c r="B2" s="7">
        <v>2</v>
      </c>
      <c r="C2" s="7">
        <v>3</v>
      </c>
    </row>
    <row r="4" spans="1:3" x14ac:dyDescent="0.2">
      <c r="A4" s="17" t="str">
        <f>VLOOKUP(_Bilan,_Tables,4,FALSE)</f>
        <v>Bilan à l'ouverture</v>
      </c>
    </row>
    <row r="5" spans="1:3" x14ac:dyDescent="0.2">
      <c r="A5" s="17" t="str">
        <f>VLOOKUP(_Actif,_Tables,4,FALSE)</f>
        <v>Actif</v>
      </c>
    </row>
    <row r="6" spans="1:3" x14ac:dyDescent="0.2">
      <c r="A6" s="17" t="str">
        <f>VLOOKUP(_ActifImmo,_Tables,4,FALSE)</f>
        <v>Actif immobilisé</v>
      </c>
    </row>
    <row r="7" spans="1:3" x14ac:dyDescent="0.2">
      <c r="A7" s="4" t="str">
        <f>_Terrain</f>
        <v>_Terrain</v>
      </c>
      <c r="B7" s="13">
        <v>30</v>
      </c>
    </row>
    <row r="8" spans="1:3" x14ac:dyDescent="0.2">
      <c r="A8" s="4" t="str">
        <f>_Constructions</f>
        <v>_Constructions</v>
      </c>
      <c r="B8" s="13">
        <v>40</v>
      </c>
    </row>
    <row r="9" spans="1:3" x14ac:dyDescent="0.2">
      <c r="A9" s="4" t="str">
        <f>_Equipement</f>
        <v>_Equipement</v>
      </c>
      <c r="B9" s="13">
        <v>60</v>
      </c>
    </row>
    <row r="10" spans="1:3" x14ac:dyDescent="0.2">
      <c r="A10" s="4" t="str">
        <f>_Camion</f>
        <v>_Camion</v>
      </c>
      <c r="B10" s="13">
        <v>5</v>
      </c>
    </row>
    <row r="11" spans="1:3" x14ac:dyDescent="0.2">
      <c r="A11" s="4" t="str">
        <f>_Informatique</f>
        <v>_Informatique</v>
      </c>
      <c r="B11" s="13">
        <v>5</v>
      </c>
    </row>
    <row r="12" spans="1:3" x14ac:dyDescent="0.2">
      <c r="A12" s="4" t="str">
        <f>_Bureau</f>
        <v>_Bureau</v>
      </c>
      <c r="B12" s="13">
        <v>5</v>
      </c>
    </row>
    <row r="13" spans="1:3" x14ac:dyDescent="0.2">
      <c r="A13" s="17" t="str">
        <f>VLOOKUP(_ActifCirculant,_Tables,4,FALSE)</f>
        <v>Actif circulant</v>
      </c>
    </row>
    <row r="14" spans="1:3" x14ac:dyDescent="0.2">
      <c r="A14" s="4" t="str">
        <f>_Stocks</f>
        <v>_Stocks</v>
      </c>
      <c r="B14" s="13">
        <v>35</v>
      </c>
    </row>
    <row r="15" spans="1:3" x14ac:dyDescent="0.2">
      <c r="A15" s="4" t="str">
        <f>_CreancesClients</f>
        <v>_CreancesClients</v>
      </c>
      <c r="B15" s="13">
        <v>50</v>
      </c>
    </row>
    <row r="16" spans="1:3" x14ac:dyDescent="0.2">
      <c r="A16" s="4" t="str">
        <f>_DisponibilitesBancaires</f>
        <v>_DisponibilitesBancaires</v>
      </c>
      <c r="B16" s="13">
        <v>20</v>
      </c>
    </row>
    <row r="17" spans="1:2" x14ac:dyDescent="0.2">
      <c r="A17" s="17" t="str">
        <f>VLOOKUP(_Passif,_Tables,4,FALSE)</f>
        <v>Passif</v>
      </c>
    </row>
    <row r="18" spans="1:2" x14ac:dyDescent="0.2">
      <c r="A18" s="17" t="str">
        <f>VLOOKUP(_CapitauxPropres,_Tables,4,FALSE)</f>
        <v>Capitaux propres</v>
      </c>
    </row>
    <row r="19" spans="1:2" x14ac:dyDescent="0.2">
      <c r="A19" s="4" t="str">
        <f>_CapitalSocial</f>
        <v>_CapitalSocial</v>
      </c>
      <c r="B19" s="13">
        <v>102</v>
      </c>
    </row>
    <row r="20" spans="1:2" x14ac:dyDescent="0.2">
      <c r="A20" s="17" t="str">
        <f>VLOOKUP(_Dettes,_Tables,4,FALSE)</f>
        <v>Dettes</v>
      </c>
    </row>
    <row r="21" spans="1:2" x14ac:dyDescent="0.2">
      <c r="A21" s="4" t="str">
        <f>_DettesLT</f>
        <v>_DettesLT</v>
      </c>
      <c r="B21" s="13">
        <v>43</v>
      </c>
    </row>
    <row r="22" spans="1:2" x14ac:dyDescent="0.2">
      <c r="A22" s="4" t="str">
        <f>_DettesCT</f>
        <v>_DettesCT</v>
      </c>
      <c r="B22" s="13">
        <v>55</v>
      </c>
    </row>
    <row r="23" spans="1:2" x14ac:dyDescent="0.2">
      <c r="A23" s="4" t="str">
        <f>_DettesFournisseurs</f>
        <v>_DettesFournisseurs</v>
      </c>
      <c r="B23" s="13">
        <v>50</v>
      </c>
    </row>
    <row r="25" spans="1:2" x14ac:dyDescent="0.2">
      <c r="A25" s="17" t="str">
        <f>VLOOKUP(_CompteDeResultat,_Tables,4,FALSE)</f>
        <v>Compte de résultat</v>
      </c>
    </row>
    <row r="26" spans="1:2" x14ac:dyDescent="0.2">
      <c r="A26" s="17" t="str">
        <f>VLOOKUP(_Charges,_Tables,4,FALSE)</f>
        <v>Charges</v>
      </c>
    </row>
    <row r="27" spans="1:2" x14ac:dyDescent="0.2">
      <c r="A27" s="17" t="str">
        <f>VLOOKUP(_AchatsBetS,_Tables,4,FALSE)</f>
        <v>Achats de biens et services</v>
      </c>
    </row>
    <row r="28" spans="1:2" x14ac:dyDescent="0.2">
      <c r="A28" s="4" t="str">
        <f>_Achats</f>
        <v>_Achats</v>
      </c>
      <c r="B28" s="13">
        <v>875</v>
      </c>
    </row>
    <row r="29" spans="1:2" x14ac:dyDescent="0.2">
      <c r="A29" s="4" t="str">
        <f>_Petrole</f>
        <v>_Petrole</v>
      </c>
      <c r="B29" s="13">
        <v>0</v>
      </c>
    </row>
    <row r="30" spans="1:2" x14ac:dyDescent="0.2">
      <c r="A30" s="4" t="str">
        <f>_DepensesAdministratives</f>
        <v>_DepensesAdministratives</v>
      </c>
      <c r="B30" s="13">
        <v>10</v>
      </c>
    </row>
    <row r="31" spans="1:2" x14ac:dyDescent="0.2">
      <c r="A31" s="4" t="str">
        <f>_DepensesPublicitaires</f>
        <v>_DepensesPublicitaires</v>
      </c>
      <c r="B31" s="13">
        <v>10.5</v>
      </c>
    </row>
    <row r="32" spans="1:2" x14ac:dyDescent="0.2">
      <c r="A32" s="4" t="str">
        <f>_DepensesDEntretien</f>
        <v>_DepensesDEntretien</v>
      </c>
      <c r="B32" s="13">
        <v>3</v>
      </c>
    </row>
    <row r="33" spans="1:3" x14ac:dyDescent="0.2">
      <c r="A33" s="17" t="str">
        <f>VLOOKUP(_ImpotsEtTaxes,_Tables,4,FALSE)</f>
        <v>Impôts et taxes</v>
      </c>
    </row>
    <row r="34" spans="1:3" x14ac:dyDescent="0.2">
      <c r="A34" s="17" t="str">
        <f>VLOOKUP(_MasseSalariale,_Tables,4,FALSE)</f>
        <v>Masse salariale</v>
      </c>
    </row>
    <row r="35" spans="1:3" x14ac:dyDescent="0.2">
      <c r="A35" s="17" t="str">
        <f>VLOOKUP(_ChargesFinancieres,_Tables,4,FALSE)</f>
        <v>Charges financières</v>
      </c>
    </row>
    <row r="36" spans="1:3" x14ac:dyDescent="0.2">
      <c r="A36" s="4" t="str">
        <f>_ChargesFinancieres</f>
        <v>_ChargesFinancieres</v>
      </c>
      <c r="B36" s="13">
        <v>5.5</v>
      </c>
    </row>
    <row r="37" spans="1:3" x14ac:dyDescent="0.2">
      <c r="A37" s="17" t="str">
        <f>VLOOKUP(_Amortissement,_Tables,4,FALSE)</f>
        <v>Amortissement</v>
      </c>
    </row>
    <row r="38" spans="1:3" x14ac:dyDescent="0.2">
      <c r="A38" s="17" t="str">
        <f>VLOOKUP(_Produits,_Tables,4,FALSE)</f>
        <v>Produits</v>
      </c>
    </row>
    <row r="39" spans="1:3" x14ac:dyDescent="0.2">
      <c r="A39" s="17" t="str">
        <f>VLOOKUP(_Ventes,_Tables,4,FALSE)</f>
        <v>Ventes</v>
      </c>
    </row>
    <row r="40" spans="1:3" x14ac:dyDescent="0.2">
      <c r="A40" s="4" t="str">
        <f>_Ventes</f>
        <v>_Ventes</v>
      </c>
      <c r="B40" s="13">
        <v>1050</v>
      </c>
    </row>
    <row r="42" spans="1:3" x14ac:dyDescent="0.2">
      <c r="A42" s="17" t="str">
        <f>VLOOKUP(_Salaries,_Tables,4,FALSE)</f>
        <v>Salariés</v>
      </c>
    </row>
    <row r="43" spans="1:3" x14ac:dyDescent="0.2">
      <c r="A43" s="17" t="str">
        <f>VLOOKUP(_Nombre,_Tables,4,FALSE)</f>
        <v>Nombre</v>
      </c>
    </row>
    <row r="44" spans="1:3" x14ac:dyDescent="0.2">
      <c r="A44" s="4" t="s">
        <v>212</v>
      </c>
      <c r="B44" s="13">
        <v>4</v>
      </c>
    </row>
    <row r="45" spans="1:3" x14ac:dyDescent="0.2">
      <c r="A45" s="4" t="s">
        <v>213</v>
      </c>
      <c r="B45" s="13">
        <v>8</v>
      </c>
    </row>
    <row r="46" spans="1:3" x14ac:dyDescent="0.2">
      <c r="A46" s="4" t="s">
        <v>214</v>
      </c>
      <c r="B46" s="13">
        <v>48</v>
      </c>
    </row>
    <row r="47" spans="1:3" s="33" customFormat="1" x14ac:dyDescent="0.2">
      <c r="A47" s="17" t="str">
        <f>VLOOKUP(_Indice,_Tables,4,FALSE)</f>
        <v>Indice salarial</v>
      </c>
      <c r="B47" s="7"/>
      <c r="C47" s="7"/>
    </row>
    <row r="48" spans="1:3" x14ac:dyDescent="0.2">
      <c r="A48" s="4" t="s">
        <v>215</v>
      </c>
      <c r="B48" s="13">
        <v>2.25</v>
      </c>
    </row>
    <row r="49" spans="1:2" x14ac:dyDescent="0.2">
      <c r="A49" s="4" t="s">
        <v>216</v>
      </c>
      <c r="B49" s="13">
        <v>1.25</v>
      </c>
    </row>
    <row r="50" spans="1:2" x14ac:dyDescent="0.2">
      <c r="A50" s="4" t="s">
        <v>217</v>
      </c>
      <c r="B50" s="13">
        <v>1</v>
      </c>
    </row>
    <row r="52" spans="1:2" x14ac:dyDescent="0.2">
      <c r="A52" s="17" t="str">
        <f>VLOOKUP(_Dividendes,_Tables,4,FALSE)</f>
        <v>Dividendes</v>
      </c>
    </row>
    <row r="53" spans="1:2" x14ac:dyDescent="0.2">
      <c r="A53" s="4" t="str">
        <f>_DividendesDistribues</f>
        <v>_DividendesDistribues</v>
      </c>
      <c r="B53" s="10">
        <v>0.5</v>
      </c>
    </row>
    <row r="55" spans="1:2" x14ac:dyDescent="0.2">
      <c r="A55" s="17" t="str">
        <f>VLOOKUP(_Actualisation,_Tables,4,FALSE)</f>
        <v>Actualisation</v>
      </c>
    </row>
    <row r="56" spans="1:2" x14ac:dyDescent="0.2">
      <c r="A56" s="4" t="str">
        <f>_TauxDActualisation</f>
        <v>_TauxDActualisation</v>
      </c>
      <c r="B56" s="10">
        <v>0.08</v>
      </c>
    </row>
  </sheetData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5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24" sqref="K24"/>
    </sheetView>
  </sheetViews>
  <sheetFormatPr baseColWidth="10" defaultColWidth="10.83203125" defaultRowHeight="12.75" x14ac:dyDescent="0.2"/>
  <cols>
    <col min="1" max="1" width="25.83203125" style="1" customWidth="1"/>
    <col min="2" max="2" width="10.83203125" style="1"/>
    <col min="3" max="8" width="12.83203125" style="6" customWidth="1"/>
    <col min="9" max="9" width="12.83203125" style="1" customWidth="1"/>
    <col min="10" max="10" width="10.83203125" style="1"/>
    <col min="11" max="11" width="11.1640625" style="1" bestFit="1" customWidth="1"/>
    <col min="12" max="16384" width="10.83203125" style="1"/>
  </cols>
  <sheetData>
    <row r="1" spans="1:11" x14ac:dyDescent="0.2">
      <c r="A1" s="1" t="s">
        <v>253</v>
      </c>
      <c r="B1" s="1" t="s">
        <v>254</v>
      </c>
      <c r="C1" s="6">
        <v>0</v>
      </c>
      <c r="D1" s="6">
        <v>1</v>
      </c>
      <c r="E1" s="6">
        <v>2</v>
      </c>
      <c r="F1" s="6">
        <v>3</v>
      </c>
      <c r="G1" s="6">
        <v>4</v>
      </c>
      <c r="H1" s="6">
        <v>5</v>
      </c>
    </row>
    <row r="3" spans="1:11" x14ac:dyDescent="0.2">
      <c r="A3" s="89" t="s">
        <v>255</v>
      </c>
    </row>
    <row r="4" spans="1:11" x14ac:dyDescent="0.2">
      <c r="A4" s="90" t="s">
        <v>316</v>
      </c>
      <c r="B4" s="79" t="s">
        <v>251</v>
      </c>
      <c r="C4" s="93">
        <f>(_Terrain_Select+_Constructions_Select+_Equipement_Select+_Camion_Select+_Informatique_Select+_Bureau_Select)*_PIBPNB_Select</f>
        <v>64769558.508473195</v>
      </c>
      <c r="D4" s="91"/>
      <c r="E4" s="91"/>
      <c r="F4" s="91"/>
      <c r="G4" s="91"/>
      <c r="H4" s="92"/>
    </row>
    <row r="6" spans="1:11" x14ac:dyDescent="0.2">
      <c r="A6" s="89" t="s">
        <v>257</v>
      </c>
    </row>
    <row r="7" spans="1:11" x14ac:dyDescent="0.2">
      <c r="A7" s="115" t="s">
        <v>72</v>
      </c>
      <c r="B7" s="97" t="s">
        <v>251</v>
      </c>
      <c r="C7" s="116"/>
      <c r="D7" s="117">
        <f>D$22</f>
        <v>893373.22080652684</v>
      </c>
      <c r="E7" s="117">
        <f t="shared" ref="E7:H7" si="0">E$22</f>
        <v>893373.2208065266</v>
      </c>
      <c r="F7" s="117">
        <f t="shared" si="0"/>
        <v>893373.22080652672</v>
      </c>
      <c r="G7" s="117">
        <f t="shared" si="0"/>
        <v>893373.22080652672</v>
      </c>
      <c r="H7" s="118">
        <f t="shared" si="0"/>
        <v>893373.22080652684</v>
      </c>
    </row>
    <row r="8" spans="1:11" x14ac:dyDescent="0.2">
      <c r="A8" s="101" t="s">
        <v>258</v>
      </c>
      <c r="B8" s="102" t="s">
        <v>251</v>
      </c>
      <c r="C8" s="119"/>
      <c r="D8" s="113">
        <f>D$32</f>
        <v>6700299.1560489517</v>
      </c>
      <c r="E8" s="113">
        <f t="shared" ref="E8:H8" si="1">E$32</f>
        <v>5025224.3670367133</v>
      </c>
      <c r="F8" s="113">
        <f t="shared" si="1"/>
        <v>3768918.275277535</v>
      </c>
      <c r="G8" s="113">
        <f t="shared" si="1"/>
        <v>2826688.7064581513</v>
      </c>
      <c r="H8" s="120">
        <f t="shared" si="1"/>
        <v>2120016.5298436135</v>
      </c>
    </row>
    <row r="9" spans="1:11" x14ac:dyDescent="0.2">
      <c r="A9" s="101" t="s">
        <v>74</v>
      </c>
      <c r="B9" s="102" t="s">
        <v>251</v>
      </c>
      <c r="C9" s="119"/>
      <c r="D9" s="113">
        <f>D$42</f>
        <v>744477.68400543893</v>
      </c>
      <c r="E9" s="113">
        <f t="shared" ref="E9:H9" si="2">E$42</f>
        <v>744477.68400543905</v>
      </c>
      <c r="F9" s="113">
        <f t="shared" si="2"/>
        <v>744477.68400543905</v>
      </c>
      <c r="G9" s="113">
        <f t="shared" si="2"/>
        <v>0</v>
      </c>
      <c r="H9" s="120">
        <f t="shared" si="2"/>
        <v>0</v>
      </c>
    </row>
    <row r="10" spans="1:11" x14ac:dyDescent="0.2">
      <c r="A10" s="101" t="s">
        <v>76</v>
      </c>
      <c r="B10" s="102" t="s">
        <v>251</v>
      </c>
      <c r="C10" s="119"/>
      <c r="D10" s="113">
        <f>D$52</f>
        <v>1116716.5260081585</v>
      </c>
      <c r="E10" s="113">
        <f t="shared" ref="E10:H10" si="3">E$52</f>
        <v>1116716.5260081585</v>
      </c>
      <c r="F10" s="113">
        <f t="shared" si="3"/>
        <v>0</v>
      </c>
      <c r="G10" s="113">
        <f t="shared" si="3"/>
        <v>0</v>
      </c>
      <c r="H10" s="120">
        <f t="shared" si="3"/>
        <v>0</v>
      </c>
    </row>
    <row r="11" spans="1:11" x14ac:dyDescent="0.2">
      <c r="A11" s="101" t="s">
        <v>75</v>
      </c>
      <c r="B11" s="102" t="s">
        <v>251</v>
      </c>
      <c r="C11" s="119"/>
      <c r="D11" s="113">
        <f>D$62</f>
        <v>223343.30520163171</v>
      </c>
      <c r="E11" s="113">
        <f t="shared" ref="E11:H11" si="4">E$62</f>
        <v>223343.30520163168</v>
      </c>
      <c r="F11" s="113">
        <f t="shared" si="4"/>
        <v>223343.30520163168</v>
      </c>
      <c r="G11" s="113">
        <f t="shared" si="4"/>
        <v>223343.30520163165</v>
      </c>
      <c r="H11" s="120">
        <f t="shared" si="4"/>
        <v>223343.30520163165</v>
      </c>
    </row>
    <row r="12" spans="1:11" x14ac:dyDescent="0.2">
      <c r="A12" s="108" t="s">
        <v>267</v>
      </c>
      <c r="B12" s="109" t="s">
        <v>251</v>
      </c>
      <c r="C12" s="121"/>
      <c r="D12" s="122">
        <f>SUM(D7:D11)</f>
        <v>9678209.8920707069</v>
      </c>
      <c r="E12" s="122">
        <f t="shared" ref="E12:H12" si="5">SUM(E7:E11)</f>
        <v>8003135.1030584695</v>
      </c>
      <c r="F12" s="122">
        <f t="shared" si="5"/>
        <v>5630112.4852911327</v>
      </c>
      <c r="G12" s="122">
        <f t="shared" si="5"/>
        <v>3943405.2324663098</v>
      </c>
      <c r="H12" s="123">
        <f t="shared" si="5"/>
        <v>3236733.055851772</v>
      </c>
    </row>
    <row r="13" spans="1:11" x14ac:dyDescent="0.2">
      <c r="K13" s="1">
        <f>2233433*(1/3)</f>
        <v>744477.66666666663</v>
      </c>
    </row>
    <row r="14" spans="1:11" x14ac:dyDescent="0.2">
      <c r="A14" s="89" t="s">
        <v>72</v>
      </c>
      <c r="B14" s="1" t="s">
        <v>251</v>
      </c>
      <c r="D14" s="95">
        <f>_Constructions_Select*_PIBPNB_Select</f>
        <v>17867464.416130535</v>
      </c>
    </row>
    <row r="15" spans="1:11" x14ac:dyDescent="0.2">
      <c r="A15" s="1" t="s">
        <v>90</v>
      </c>
      <c r="B15" s="1" t="s">
        <v>259</v>
      </c>
      <c r="D15" s="94">
        <f>_Constructions_DureeLineaire_Select</f>
        <v>20</v>
      </c>
    </row>
    <row r="16" spans="1:11" x14ac:dyDescent="0.2">
      <c r="A16" s="1" t="s">
        <v>107</v>
      </c>
      <c r="B16" s="1" t="s">
        <v>260</v>
      </c>
      <c r="D16" s="94">
        <f>_Constructions_CoefDegressif_Select</f>
        <v>1</v>
      </c>
    </row>
    <row r="18" spans="1:11" x14ac:dyDescent="0.2">
      <c r="A18" s="96" t="s">
        <v>261</v>
      </c>
      <c r="B18" s="97" t="s">
        <v>259</v>
      </c>
      <c r="C18" s="97"/>
      <c r="D18" s="98">
        <f>D15</f>
        <v>20</v>
      </c>
      <c r="E18" s="99">
        <f>IF(D18-1&gt;0,D18-1,0)</f>
        <v>19</v>
      </c>
      <c r="F18" s="99">
        <f t="shared" ref="F18:H18" si="6">IF(E18-1&gt;0,E18-1,0)</f>
        <v>18</v>
      </c>
      <c r="G18" s="99">
        <f t="shared" si="6"/>
        <v>17</v>
      </c>
      <c r="H18" s="100">
        <f t="shared" si="6"/>
        <v>16</v>
      </c>
      <c r="J18" s="1">
        <f>IF(E18=0,0,IF($D16*$D20&gt;100%,100%,IF($D16*$D20&gt;E20,$D16*$D20,E20)))*100</f>
        <v>5.2631578947368416</v>
      </c>
    </row>
    <row r="19" spans="1:11" x14ac:dyDescent="0.2">
      <c r="A19" s="101" t="s">
        <v>262</v>
      </c>
      <c r="B19" s="102" t="s">
        <v>251</v>
      </c>
      <c r="C19" s="102"/>
      <c r="D19" s="103">
        <f>D14</f>
        <v>17867464.416130535</v>
      </c>
      <c r="E19" s="104">
        <f>D19-D22</f>
        <v>16974091.195324007</v>
      </c>
      <c r="F19" s="104">
        <f t="shared" ref="F19:H19" si="7">E19-E22</f>
        <v>16080717.974517481</v>
      </c>
      <c r="G19" s="104">
        <f t="shared" si="7"/>
        <v>15187344.753710955</v>
      </c>
      <c r="H19" s="105">
        <f t="shared" si="7"/>
        <v>14293971.532904429</v>
      </c>
      <c r="J19" s="104">
        <f>IF(E18=0,0,IF($D16*$D20&gt;100%,100%,IF($D16*$D20&gt;E20,$D16*$D20,E20)))</f>
        <v>5.2631578947368418E-2</v>
      </c>
    </row>
    <row r="20" spans="1:11" x14ac:dyDescent="0.2">
      <c r="A20" s="101" t="s">
        <v>263</v>
      </c>
      <c r="B20" s="102" t="s">
        <v>264</v>
      </c>
      <c r="C20" s="102"/>
      <c r="D20" s="106">
        <f>IF(D18&gt;0,1/D18,0)</f>
        <v>0.05</v>
      </c>
      <c r="E20" s="106">
        <f t="shared" ref="E20:H20" si="8">IF(E18&gt;0,1/E18,0)</f>
        <v>5.2631578947368418E-2</v>
      </c>
      <c r="F20" s="106">
        <f t="shared" si="8"/>
        <v>5.5555555555555552E-2</v>
      </c>
      <c r="G20" s="106">
        <f t="shared" si="8"/>
        <v>5.8823529411764705E-2</v>
      </c>
      <c r="H20" s="107">
        <f t="shared" si="8"/>
        <v>6.25E-2</v>
      </c>
    </row>
    <row r="21" spans="1:11" x14ac:dyDescent="0.2">
      <c r="A21" s="101" t="s">
        <v>265</v>
      </c>
      <c r="B21" s="102" t="s">
        <v>264</v>
      </c>
      <c r="C21" s="102"/>
      <c r="D21" s="106">
        <f>IF(D18=0,0,IF($D16*$D20&gt;100%,100%,IF($D16*$D20&gt;D20,$D16*$D20,D20)))</f>
        <v>0.05</v>
      </c>
      <c r="E21" s="106">
        <f>IF(E18=0,0,IF($D16*$D20&gt;100%,100%,IF($D16*$D20&gt;E20,$D16*$D20,E20)))</f>
        <v>5.2631578947368418E-2</v>
      </c>
      <c r="F21" s="106">
        <f>IF(F18=0,0,IF($D16*$D20&gt;100%,100%,IF($D16*$D20&gt;F20,$D16*$D20,F20)))</f>
        <v>5.5555555555555552E-2</v>
      </c>
      <c r="G21" s="106">
        <f>IF(G18=0,0,IF($D16*$D20&gt;100%,100%,IF($D16*$D20&gt;G20,$D16*$D20,G20)))</f>
        <v>5.8823529411764705E-2</v>
      </c>
      <c r="H21" s="107">
        <f>IF(H18=0,0,IF($D16*$D20&gt;100%,100%,IF($D16*$D20&gt;H20,$D16*$D20,H20)))</f>
        <v>6.25E-2</v>
      </c>
    </row>
    <row r="22" spans="1:11" x14ac:dyDescent="0.2">
      <c r="A22" s="108" t="s">
        <v>266</v>
      </c>
      <c r="B22" s="109" t="s">
        <v>251</v>
      </c>
      <c r="C22" s="109"/>
      <c r="D22" s="110">
        <f>D19*D21</f>
        <v>893373.22080652684</v>
      </c>
      <c r="E22" s="110">
        <f t="shared" ref="E22:H22" si="9">E19*E21</f>
        <v>893373.2208065266</v>
      </c>
      <c r="F22" s="110">
        <f t="shared" si="9"/>
        <v>893373.22080652672</v>
      </c>
      <c r="G22" s="110">
        <f t="shared" si="9"/>
        <v>893373.22080652672</v>
      </c>
      <c r="H22" s="111">
        <f t="shared" si="9"/>
        <v>893373.22080652684</v>
      </c>
      <c r="K22" s="1">
        <f>E19*E21</f>
        <v>893373.2208065266</v>
      </c>
    </row>
    <row r="23" spans="1:11" x14ac:dyDescent="0.2">
      <c r="K23" s="1">
        <f>E19*0.0526</f>
        <v>892837.19687404286</v>
      </c>
    </row>
    <row r="24" spans="1:11" x14ac:dyDescent="0.2">
      <c r="A24" s="89" t="s">
        <v>73</v>
      </c>
      <c r="B24" s="1" t="s">
        <v>251</v>
      </c>
      <c r="D24" s="95">
        <f>_Equipement_Select*_PIBPNB_Select</f>
        <v>26801196.624195807</v>
      </c>
    </row>
    <row r="25" spans="1:11" x14ac:dyDescent="0.2">
      <c r="A25" s="1" t="s">
        <v>90</v>
      </c>
      <c r="B25" s="1" t="s">
        <v>259</v>
      </c>
      <c r="D25" s="94">
        <f>_Equipement_DureeLineaire_Select</f>
        <v>10</v>
      </c>
    </row>
    <row r="26" spans="1:11" x14ac:dyDescent="0.2">
      <c r="A26" s="1" t="s">
        <v>107</v>
      </c>
      <c r="B26" s="1" t="s">
        <v>260</v>
      </c>
      <c r="D26" s="94">
        <f>_Equipement_CoefDegressif_Select</f>
        <v>2.5</v>
      </c>
    </row>
    <row r="28" spans="1:11" x14ac:dyDescent="0.2">
      <c r="A28" s="96" t="s">
        <v>261</v>
      </c>
      <c r="B28" s="97" t="s">
        <v>259</v>
      </c>
      <c r="C28" s="97"/>
      <c r="D28" s="98">
        <f>D25</f>
        <v>10</v>
      </c>
      <c r="E28" s="99">
        <f>IF(D28-1&gt;0,D28-1,0)</f>
        <v>9</v>
      </c>
      <c r="F28" s="99">
        <f t="shared" ref="F28" si="10">IF(E28-1&gt;0,E28-1,0)</f>
        <v>8</v>
      </c>
      <c r="G28" s="99">
        <f t="shared" ref="G28" si="11">IF(F28-1&gt;0,F28-1,0)</f>
        <v>7</v>
      </c>
      <c r="H28" s="100">
        <f t="shared" ref="H28" si="12">IF(G28-1&gt;0,G28-1,0)</f>
        <v>6</v>
      </c>
    </row>
    <row r="29" spans="1:11" x14ac:dyDescent="0.2">
      <c r="A29" s="101" t="s">
        <v>262</v>
      </c>
      <c r="B29" s="102" t="s">
        <v>251</v>
      </c>
      <c r="C29" s="102"/>
      <c r="D29" s="103">
        <f>D24</f>
        <v>26801196.624195807</v>
      </c>
      <c r="E29" s="104">
        <f>D29-D32</f>
        <v>20100897.468146853</v>
      </c>
      <c r="F29" s="104">
        <f t="shared" ref="F29" si="13">E29-E32</f>
        <v>15075673.10111014</v>
      </c>
      <c r="G29" s="104">
        <f t="shared" ref="G29" si="14">F29-F32</f>
        <v>11306754.825832605</v>
      </c>
      <c r="H29" s="105">
        <f t="shared" ref="H29" si="15">G29-G32</f>
        <v>8480066.119374454</v>
      </c>
    </row>
    <row r="30" spans="1:11" x14ac:dyDescent="0.2">
      <c r="A30" s="101" t="s">
        <v>263</v>
      </c>
      <c r="B30" s="102" t="s">
        <v>264</v>
      </c>
      <c r="C30" s="102"/>
      <c r="D30" s="106">
        <f>IF(D28&gt;0,1/D28,0)</f>
        <v>0.1</v>
      </c>
      <c r="E30" s="106">
        <f t="shared" ref="E30:H30" si="16">IF(E28&gt;0,1/E28,0)</f>
        <v>0.1111111111111111</v>
      </c>
      <c r="F30" s="106">
        <f t="shared" si="16"/>
        <v>0.125</v>
      </c>
      <c r="G30" s="106">
        <f t="shared" si="16"/>
        <v>0.14285714285714285</v>
      </c>
      <c r="H30" s="107">
        <f t="shared" si="16"/>
        <v>0.16666666666666666</v>
      </c>
    </row>
    <row r="31" spans="1:11" x14ac:dyDescent="0.2">
      <c r="A31" s="101" t="s">
        <v>265</v>
      </c>
      <c r="B31" s="102" t="s">
        <v>264</v>
      </c>
      <c r="C31" s="102"/>
      <c r="D31" s="106">
        <f>IF(D28=0,0,IF($D26*$D30&gt;100%,100%,IF($D26*$D30&gt;D30,$D26*$D30,D30)))</f>
        <v>0.25</v>
      </c>
      <c r="E31" s="106">
        <f>IF(E28=0,0,IF($D26*$D30&gt;100%,100%,IF($D26*$D30&gt;E30,$D26*$D30,E30)))</f>
        <v>0.25</v>
      </c>
      <c r="F31" s="106">
        <f>IF(F28=0,0,IF($D26*$D30&gt;100%,100%,IF($D26*$D30&gt;F30,$D26*$D30,F30)))</f>
        <v>0.25</v>
      </c>
      <c r="G31" s="106">
        <f>IF(G28=0,0,IF($D26*$D30&gt;100%,100%,IF($D26*$D30&gt;G30,$D26*$D30,G30)))</f>
        <v>0.25</v>
      </c>
      <c r="H31" s="107">
        <f>IF(H28=0,0,IF($D26*$D30&gt;100%,100%,IF($D26*$D30&gt;H30,$D26*$D30,H30)))</f>
        <v>0.25</v>
      </c>
    </row>
    <row r="32" spans="1:11" x14ac:dyDescent="0.2">
      <c r="A32" s="108" t="s">
        <v>266</v>
      </c>
      <c r="B32" s="109" t="s">
        <v>251</v>
      </c>
      <c r="C32" s="109"/>
      <c r="D32" s="110">
        <f>D29*D31</f>
        <v>6700299.1560489517</v>
      </c>
      <c r="E32" s="110">
        <f t="shared" ref="E32:H32" si="17">E29*E31</f>
        <v>5025224.3670367133</v>
      </c>
      <c r="F32" s="110">
        <f t="shared" si="17"/>
        <v>3768918.275277535</v>
      </c>
      <c r="G32" s="110">
        <f t="shared" si="17"/>
        <v>2826688.7064581513</v>
      </c>
      <c r="H32" s="111">
        <f t="shared" si="17"/>
        <v>2120016.5298436135</v>
      </c>
    </row>
    <row r="34" spans="1:11" x14ac:dyDescent="0.2">
      <c r="A34" s="89" t="s">
        <v>74</v>
      </c>
      <c r="B34" s="1" t="s">
        <v>251</v>
      </c>
      <c r="D34" s="95">
        <f>_Camion_Select*_PIBPNB_Select</f>
        <v>2233433.0520163169</v>
      </c>
    </row>
    <row r="35" spans="1:11" x14ac:dyDescent="0.2">
      <c r="A35" s="1" t="s">
        <v>90</v>
      </c>
      <c r="B35" s="1" t="s">
        <v>259</v>
      </c>
      <c r="D35" s="94">
        <f>_Camion_DureeLineaire_Select</f>
        <v>3</v>
      </c>
    </row>
    <row r="36" spans="1:11" x14ac:dyDescent="0.2">
      <c r="A36" s="1" t="s">
        <v>107</v>
      </c>
      <c r="B36" s="1" t="s">
        <v>260</v>
      </c>
      <c r="D36" s="94">
        <f>_Camion_CoefDegressif_Select</f>
        <v>1</v>
      </c>
    </row>
    <row r="37" spans="1:11" x14ac:dyDescent="0.2">
      <c r="K37" s="1">
        <f>2233433*(1/3)</f>
        <v>744477.66666666663</v>
      </c>
    </row>
    <row r="38" spans="1:11" x14ac:dyDescent="0.2">
      <c r="A38" s="96" t="s">
        <v>261</v>
      </c>
      <c r="B38" s="97" t="s">
        <v>259</v>
      </c>
      <c r="C38" s="97"/>
      <c r="D38" s="98">
        <f>D35</f>
        <v>3</v>
      </c>
      <c r="E38" s="99">
        <f>IF(D38-1&gt;0,D38-1,0)</f>
        <v>2</v>
      </c>
      <c r="F38" s="99">
        <f t="shared" ref="F38" si="18">IF(E38-1&gt;0,E38-1,0)</f>
        <v>1</v>
      </c>
      <c r="G38" s="99">
        <f t="shared" ref="G38" si="19">IF(F38-1&gt;0,F38-1,0)</f>
        <v>0</v>
      </c>
      <c r="H38" s="100">
        <f t="shared" ref="H38" si="20">IF(G38-1&gt;0,G38-1,0)</f>
        <v>0</v>
      </c>
      <c r="K38" s="1">
        <f>2233433*0.3333</f>
        <v>744403.21889999998</v>
      </c>
    </row>
    <row r="39" spans="1:11" x14ac:dyDescent="0.2">
      <c r="A39" s="101" t="s">
        <v>262</v>
      </c>
      <c r="B39" s="102" t="s">
        <v>251</v>
      </c>
      <c r="C39" s="102"/>
      <c r="D39" s="103">
        <f>D34</f>
        <v>2233433.0520163169</v>
      </c>
      <c r="E39" s="104">
        <f>D39-D42</f>
        <v>1488955.3680108781</v>
      </c>
      <c r="F39" s="104">
        <f t="shared" ref="F39" si="21">E39-E42</f>
        <v>744477.68400543905</v>
      </c>
      <c r="G39" s="104">
        <f t="shared" ref="G39" si="22">F39-F42</f>
        <v>0</v>
      </c>
      <c r="H39" s="105">
        <f t="shared" ref="H39" si="23">G39-G42</f>
        <v>0</v>
      </c>
    </row>
    <row r="40" spans="1:11" x14ac:dyDescent="0.2">
      <c r="A40" s="101" t="s">
        <v>263</v>
      </c>
      <c r="B40" s="102" t="s">
        <v>264</v>
      </c>
      <c r="C40" s="102"/>
      <c r="D40" s="106">
        <f>IF(D38&gt;0,1/D38,0)</f>
        <v>0.33333333333333331</v>
      </c>
      <c r="E40" s="106">
        <f t="shared" ref="E40:H40" si="24">IF(E38&gt;0,1/E38,0)</f>
        <v>0.5</v>
      </c>
      <c r="F40" s="106">
        <f t="shared" si="24"/>
        <v>1</v>
      </c>
      <c r="G40" s="106">
        <f t="shared" si="24"/>
        <v>0</v>
      </c>
      <c r="H40" s="107">
        <f t="shared" si="24"/>
        <v>0</v>
      </c>
    </row>
    <row r="41" spans="1:11" x14ac:dyDescent="0.2">
      <c r="A41" s="101" t="s">
        <v>265</v>
      </c>
      <c r="B41" s="102" t="s">
        <v>264</v>
      </c>
      <c r="C41" s="102"/>
      <c r="D41" s="106">
        <f>IF(D38=0,0,IF($D36*$D40&gt;100%,100%,IF($D36*$D40&gt;D40,$D36*$D40,D40)))</f>
        <v>0.33333333333333331</v>
      </c>
      <c r="E41" s="106">
        <f>IF(E38=0,0,IF($D36*$D40&gt;100%,100%,IF($D36*$D40&gt;E40,$D36*$D40,E40)))</f>
        <v>0.5</v>
      </c>
      <c r="F41" s="106">
        <f>IF(F38=0,0,IF($D36*$D40&gt;100%,100%,IF($D36*$D40&gt;F40,$D36*$D40,F40)))</f>
        <v>1</v>
      </c>
      <c r="G41" s="106">
        <f>IF(G38=0,0,IF($D36*$D40&gt;100%,100%,IF($D36*$D40&gt;G40,$D36*$D40,G40)))</f>
        <v>0</v>
      </c>
      <c r="H41" s="107">
        <f>IF(H38=0,0,IF($D36*$D40&gt;100%,100%,IF($D36*$D40&gt;H40,$D36*$D40,H40)))</f>
        <v>0</v>
      </c>
    </row>
    <row r="42" spans="1:11" x14ac:dyDescent="0.2">
      <c r="A42" s="108" t="s">
        <v>266</v>
      </c>
      <c r="B42" s="109" t="s">
        <v>251</v>
      </c>
      <c r="C42" s="109"/>
      <c r="D42" s="110">
        <f>D39*D41</f>
        <v>744477.68400543893</v>
      </c>
      <c r="E42" s="110">
        <f t="shared" ref="E42:H42" si="25">E39*E41</f>
        <v>744477.68400543905</v>
      </c>
      <c r="F42" s="110">
        <f t="shared" si="25"/>
        <v>744477.68400543905</v>
      </c>
      <c r="G42" s="110">
        <f t="shared" si="25"/>
        <v>0</v>
      </c>
      <c r="H42" s="111">
        <f t="shared" si="25"/>
        <v>0</v>
      </c>
    </row>
    <row r="44" spans="1:11" x14ac:dyDescent="0.2">
      <c r="A44" s="89" t="s">
        <v>76</v>
      </c>
      <c r="B44" s="1" t="s">
        <v>251</v>
      </c>
      <c r="D44" s="95">
        <f>_Informatique_Select*_PIBPNB_Select</f>
        <v>2233433.0520163169</v>
      </c>
    </row>
    <row r="45" spans="1:11" x14ac:dyDescent="0.2">
      <c r="A45" s="1" t="s">
        <v>90</v>
      </c>
      <c r="B45" s="1" t="s">
        <v>259</v>
      </c>
      <c r="D45" s="94">
        <f>_Informatique_DureeLineaire_Select</f>
        <v>2</v>
      </c>
    </row>
    <row r="46" spans="1:11" x14ac:dyDescent="0.2">
      <c r="A46" s="1" t="s">
        <v>107</v>
      </c>
      <c r="B46" s="1" t="s">
        <v>260</v>
      </c>
      <c r="D46" s="94">
        <f>_Informatique_CoefDegressif_Select</f>
        <v>1</v>
      </c>
    </row>
    <row r="48" spans="1:11" x14ac:dyDescent="0.2">
      <c r="A48" s="96" t="s">
        <v>261</v>
      </c>
      <c r="B48" s="97" t="s">
        <v>259</v>
      </c>
      <c r="C48" s="97"/>
      <c r="D48" s="98">
        <f>D45</f>
        <v>2</v>
      </c>
      <c r="E48" s="99">
        <f>IF(D48-1&gt;0,D48-1,0)</f>
        <v>1</v>
      </c>
      <c r="F48" s="99">
        <f t="shared" ref="F48" si="26">IF(E48-1&gt;0,E48-1,0)</f>
        <v>0</v>
      </c>
      <c r="G48" s="99">
        <f t="shared" ref="G48" si="27">IF(F48-1&gt;0,F48-1,0)</f>
        <v>0</v>
      </c>
      <c r="H48" s="100">
        <f t="shared" ref="H48" si="28">IF(G48-1&gt;0,G48-1,0)</f>
        <v>0</v>
      </c>
    </row>
    <row r="49" spans="1:8" x14ac:dyDescent="0.2">
      <c r="A49" s="101" t="s">
        <v>262</v>
      </c>
      <c r="B49" s="102" t="s">
        <v>251</v>
      </c>
      <c r="C49" s="102"/>
      <c r="D49" s="103">
        <f>D44</f>
        <v>2233433.0520163169</v>
      </c>
      <c r="E49" s="104">
        <f>D49-D52</f>
        <v>1116716.5260081585</v>
      </c>
      <c r="F49" s="104">
        <f t="shared" ref="F49" si="29">E49-E52</f>
        <v>0</v>
      </c>
      <c r="G49" s="104">
        <f t="shared" ref="G49" si="30">F49-F52</f>
        <v>0</v>
      </c>
      <c r="H49" s="105">
        <f t="shared" ref="H49" si="31">G49-G52</f>
        <v>0</v>
      </c>
    </row>
    <row r="50" spans="1:8" x14ac:dyDescent="0.2">
      <c r="A50" s="101" t="s">
        <v>263</v>
      </c>
      <c r="B50" s="102" t="s">
        <v>264</v>
      </c>
      <c r="C50" s="102"/>
      <c r="D50" s="106">
        <f>IF(D48&gt;0,1/D48,0)</f>
        <v>0.5</v>
      </c>
      <c r="E50" s="106">
        <f t="shared" ref="E50:H50" si="32">IF(E48&gt;0,1/E48,0)</f>
        <v>1</v>
      </c>
      <c r="F50" s="106">
        <f t="shared" si="32"/>
        <v>0</v>
      </c>
      <c r="G50" s="106">
        <f t="shared" si="32"/>
        <v>0</v>
      </c>
      <c r="H50" s="107">
        <f t="shared" si="32"/>
        <v>0</v>
      </c>
    </row>
    <row r="51" spans="1:8" x14ac:dyDescent="0.2">
      <c r="A51" s="101" t="s">
        <v>265</v>
      </c>
      <c r="B51" s="102" t="s">
        <v>264</v>
      </c>
      <c r="C51" s="102"/>
      <c r="D51" s="106">
        <f>IF(D48=0,0,IF($D46*$D50&gt;100%,100%,IF($D46*$D50&gt;D50,$D46*$D50,D50)))</f>
        <v>0.5</v>
      </c>
      <c r="E51" s="106">
        <f>IF(E48=0,0,IF($D46*$D50&gt;100%,100%,IF($D46*$D50&gt;E50,$D46*$D50,E50)))</f>
        <v>1</v>
      </c>
      <c r="F51" s="106">
        <f>IF(F48=0,0,IF($D46*$D50&gt;100%,100%,IF($D46*$D50&gt;F50,$D46*$D50,F50)))</f>
        <v>0</v>
      </c>
      <c r="G51" s="106">
        <f>IF(G48=0,0,IF($D46*$D50&gt;100%,100%,IF($D46*$D50&gt;G50,$D46*$D50,G50)))</f>
        <v>0</v>
      </c>
      <c r="H51" s="107">
        <f>IF(H48=0,0,IF($D46*$D50&gt;100%,100%,IF($D46*$D50&gt;H50,$D46*$D50,H50)))</f>
        <v>0</v>
      </c>
    </row>
    <row r="52" spans="1:8" x14ac:dyDescent="0.2">
      <c r="A52" s="108" t="s">
        <v>266</v>
      </c>
      <c r="B52" s="109" t="s">
        <v>251</v>
      </c>
      <c r="C52" s="109"/>
      <c r="D52" s="110">
        <f>D49*D51</f>
        <v>1116716.5260081585</v>
      </c>
      <c r="E52" s="110">
        <f t="shared" ref="E52:H52" si="33">E49*E51</f>
        <v>1116716.5260081585</v>
      </c>
      <c r="F52" s="110">
        <f t="shared" si="33"/>
        <v>0</v>
      </c>
      <c r="G52" s="110">
        <f t="shared" si="33"/>
        <v>0</v>
      </c>
      <c r="H52" s="111">
        <f t="shared" si="33"/>
        <v>0</v>
      </c>
    </row>
    <row r="54" spans="1:8" x14ac:dyDescent="0.2">
      <c r="A54" s="89" t="s">
        <v>75</v>
      </c>
      <c r="B54" s="1" t="s">
        <v>251</v>
      </c>
      <c r="D54" s="95">
        <f>_Bureau_Select*_PIBPNB_Select</f>
        <v>2233433.0520163169</v>
      </c>
    </row>
    <row r="55" spans="1:8" x14ac:dyDescent="0.2">
      <c r="A55" s="1" t="s">
        <v>90</v>
      </c>
      <c r="B55" s="1" t="s">
        <v>259</v>
      </c>
      <c r="D55" s="94">
        <f>_Bureau_DureeLineaire_Select</f>
        <v>10</v>
      </c>
    </row>
    <row r="56" spans="1:8" x14ac:dyDescent="0.2">
      <c r="A56" s="1" t="s">
        <v>107</v>
      </c>
      <c r="B56" s="1" t="s">
        <v>260</v>
      </c>
      <c r="D56" s="94">
        <f>_Bureau_CoefDegressif_Select</f>
        <v>1</v>
      </c>
    </row>
    <row r="58" spans="1:8" x14ac:dyDescent="0.2">
      <c r="A58" s="96" t="s">
        <v>261</v>
      </c>
      <c r="B58" s="97" t="s">
        <v>259</v>
      </c>
      <c r="C58" s="97"/>
      <c r="D58" s="98">
        <f>D55</f>
        <v>10</v>
      </c>
      <c r="E58" s="99">
        <f>IF(D58-1&gt;0,D58-1,0)</f>
        <v>9</v>
      </c>
      <c r="F58" s="99">
        <f t="shared" ref="F58" si="34">IF(E58-1&gt;0,E58-1,0)</f>
        <v>8</v>
      </c>
      <c r="G58" s="99">
        <f t="shared" ref="G58" si="35">IF(F58-1&gt;0,F58-1,0)</f>
        <v>7</v>
      </c>
      <c r="H58" s="100">
        <f t="shared" ref="H58" si="36">IF(G58-1&gt;0,G58-1,0)</f>
        <v>6</v>
      </c>
    </row>
    <row r="59" spans="1:8" x14ac:dyDescent="0.2">
      <c r="A59" s="101" t="s">
        <v>262</v>
      </c>
      <c r="B59" s="102" t="s">
        <v>251</v>
      </c>
      <c r="C59" s="102"/>
      <c r="D59" s="103">
        <f>D54</f>
        <v>2233433.0520163169</v>
      </c>
      <c r="E59" s="104">
        <f>D59-D62</f>
        <v>2010089.7468146852</v>
      </c>
      <c r="F59" s="104">
        <f t="shared" ref="F59" si="37">E59-E62</f>
        <v>1786746.4416130534</v>
      </c>
      <c r="G59" s="104">
        <f t="shared" ref="G59" si="38">F59-F62</f>
        <v>1563403.1364114217</v>
      </c>
      <c r="H59" s="105">
        <f t="shared" ref="H59" si="39">G59-G62</f>
        <v>1340059.83120979</v>
      </c>
    </row>
    <row r="60" spans="1:8" x14ac:dyDescent="0.2">
      <c r="A60" s="101" t="s">
        <v>263</v>
      </c>
      <c r="B60" s="102" t="s">
        <v>264</v>
      </c>
      <c r="C60" s="102"/>
      <c r="D60" s="106">
        <f>IF(D58&gt;0,1/D58,0)</f>
        <v>0.1</v>
      </c>
      <c r="E60" s="106">
        <f t="shared" ref="E60:H60" si="40">IF(E58&gt;0,1/E58,0)</f>
        <v>0.1111111111111111</v>
      </c>
      <c r="F60" s="106">
        <f t="shared" si="40"/>
        <v>0.125</v>
      </c>
      <c r="G60" s="106">
        <f t="shared" si="40"/>
        <v>0.14285714285714285</v>
      </c>
      <c r="H60" s="107">
        <f t="shared" si="40"/>
        <v>0.16666666666666666</v>
      </c>
    </row>
    <row r="61" spans="1:8" x14ac:dyDescent="0.2">
      <c r="A61" s="101" t="s">
        <v>265</v>
      </c>
      <c r="B61" s="102" t="s">
        <v>264</v>
      </c>
      <c r="C61" s="102"/>
      <c r="D61" s="106">
        <f>IF(D58=0,0,IF($D56*$D60&gt;100%,100%,IF($D56*$D60&gt;D60,$D56*$D60,D60)))</f>
        <v>0.1</v>
      </c>
      <c r="E61" s="106">
        <f>IF(E58=0,0,IF($D56*$D60&gt;100%,100%,IF($D56*$D60&gt;E60,$D56*$D60,E60)))</f>
        <v>0.1111111111111111</v>
      </c>
      <c r="F61" s="106">
        <f>IF(F58=0,0,IF($D56*$D60&gt;100%,100%,IF($D56*$D60&gt;F60,$D56*$D60,F60)))</f>
        <v>0.125</v>
      </c>
      <c r="G61" s="106">
        <f>IF(G58=0,0,IF($D56*$D60&gt;100%,100%,IF($D56*$D60&gt;G60,$D56*$D60,G60)))</f>
        <v>0.14285714285714285</v>
      </c>
      <c r="H61" s="107">
        <f>IF(H58=0,0,IF($D56*$D60&gt;100%,100%,IF($D56*$D60&gt;H60,$D56*$D60,H60)))</f>
        <v>0.16666666666666666</v>
      </c>
    </row>
    <row r="62" spans="1:8" x14ac:dyDescent="0.2">
      <c r="A62" s="108" t="s">
        <v>266</v>
      </c>
      <c r="B62" s="109" t="s">
        <v>251</v>
      </c>
      <c r="C62" s="109"/>
      <c r="D62" s="110">
        <f>D59*D61</f>
        <v>223343.30520163171</v>
      </c>
      <c r="E62" s="110">
        <f t="shared" ref="E62:H62" si="41">E59*E61</f>
        <v>223343.30520163168</v>
      </c>
      <c r="F62" s="110">
        <f t="shared" si="41"/>
        <v>223343.30520163168</v>
      </c>
      <c r="G62" s="110">
        <f t="shared" si="41"/>
        <v>223343.30520163165</v>
      </c>
      <c r="H62" s="111">
        <f t="shared" si="41"/>
        <v>223343.30520163165</v>
      </c>
    </row>
    <row r="64" spans="1:8" x14ac:dyDescent="0.2">
      <c r="A64" s="152" t="s">
        <v>292</v>
      </c>
    </row>
    <row r="65" spans="1:8" x14ac:dyDescent="0.2">
      <c r="A65" s="89" t="s">
        <v>256</v>
      </c>
      <c r="B65" s="1" t="s">
        <v>251</v>
      </c>
      <c r="D65" s="95">
        <f>(_Terrain_Select+_Constructions_Select+_Equipement_Select+_Camion_Select+_Informatique_Select+_Bureau_Select)*_PIBPNB_Select</f>
        <v>64769558.508473195</v>
      </c>
      <c r="F65" s="6" t="str">
        <f>_Amortissement_TauxExceptionnel_Select</f>
        <v>_Gen</v>
      </c>
    </row>
    <row r="66" spans="1:8" x14ac:dyDescent="0.2">
      <c r="A66" s="1" t="s">
        <v>89</v>
      </c>
      <c r="B66" s="1" t="s">
        <v>270</v>
      </c>
      <c r="D66" s="124">
        <f>IF(ISNUMBER(_Amortissement_TauxExceptionnel_Select),_Amortissement_TauxExceptionnel_Select,0)</f>
        <v>0</v>
      </c>
    </row>
    <row r="67" spans="1:8" x14ac:dyDescent="0.2">
      <c r="A67" s="1" t="s">
        <v>111</v>
      </c>
      <c r="B67" s="1" t="s">
        <v>297</v>
      </c>
      <c r="D67" s="124">
        <f>IF(ISNUMBER(_Amortissement_Limitation_Select),_Amortissement_Limitation_Select,0)</f>
        <v>0</v>
      </c>
    </row>
    <row r="68" spans="1:8" x14ac:dyDescent="0.2">
      <c r="A68" s="145" t="s">
        <v>100</v>
      </c>
      <c r="B68" s="1" t="s">
        <v>259</v>
      </c>
      <c r="D68" s="146">
        <f>IF(ISNUMBER(_Amortissement_Duree_Select),_Amortissement_Duree_Select,0)</f>
        <v>0</v>
      </c>
    </row>
    <row r="70" spans="1:8" x14ac:dyDescent="0.2">
      <c r="A70" s="96" t="s">
        <v>261</v>
      </c>
      <c r="B70" s="97" t="s">
        <v>259</v>
      </c>
      <c r="C70" s="97"/>
      <c r="D70" s="98">
        <f>D68</f>
        <v>0</v>
      </c>
      <c r="E70" s="99">
        <f>IF(D70-1&gt;0,D70-1,0)</f>
        <v>0</v>
      </c>
      <c r="F70" s="99">
        <f t="shared" ref="F70" si="42">IF(E70-1&gt;0,E70-1,0)</f>
        <v>0</v>
      </c>
      <c r="G70" s="99">
        <f t="shared" ref="G70" si="43">IF(F70-1&gt;0,F70-1,0)</f>
        <v>0</v>
      </c>
      <c r="H70" s="100">
        <f t="shared" ref="H70" si="44">IF(G70-1&gt;0,G70-1,0)</f>
        <v>0</v>
      </c>
    </row>
    <row r="71" spans="1:8" x14ac:dyDescent="0.2">
      <c r="A71" s="101" t="s">
        <v>262</v>
      </c>
      <c r="B71" s="145" t="s">
        <v>251</v>
      </c>
      <c r="C71" s="119"/>
      <c r="D71" s="148">
        <f>D65*D66</f>
        <v>0</v>
      </c>
      <c r="E71" s="114">
        <f>D71-D72</f>
        <v>0</v>
      </c>
      <c r="F71" s="114">
        <f t="shared" ref="F71:H71" si="45">E71-E72</f>
        <v>0</v>
      </c>
      <c r="G71" s="114">
        <f t="shared" si="45"/>
        <v>0</v>
      </c>
      <c r="H71" s="131">
        <f t="shared" si="45"/>
        <v>0</v>
      </c>
    </row>
    <row r="72" spans="1:8" x14ac:dyDescent="0.2">
      <c r="A72" s="149" t="s">
        <v>266</v>
      </c>
      <c r="B72" s="109" t="s">
        <v>251</v>
      </c>
      <c r="C72" s="121"/>
      <c r="D72" s="150">
        <f>IF(D70&lt;=0,0,IF(D$106&lt;=0,0,IF($D67*D$106&gt;D71,D71,$D67*D$106)))</f>
        <v>0</v>
      </c>
      <c r="E72" s="150">
        <f>IF(E70&lt;=0,0,IF(E$106&lt;=0,0,IF($D67*E$106&gt;E71,E71,$D67*E$106)))</f>
        <v>0</v>
      </c>
      <c r="F72" s="150">
        <f>IF(F70&lt;=0,0,IF(F$106&lt;=0,0,IF($D67*F$106&gt;F71,F71,$D67*F$106)))</f>
        <v>0</v>
      </c>
      <c r="G72" s="150">
        <f>IF(G70&lt;=0,0,IF(G$106&lt;=0,0,IF($D67*G$106&gt;G71,G71,$D67*G$106)))</f>
        <v>0</v>
      </c>
      <c r="H72" s="151">
        <f>IF(H70&lt;=0,0,IF(H$106&lt;=0,0,IF($D67*H$106&gt;H71,H71,$D67*H$106)))</f>
        <v>0</v>
      </c>
    </row>
    <row r="74" spans="1:8" x14ac:dyDescent="0.2">
      <c r="A74" s="89" t="s">
        <v>268</v>
      </c>
    </row>
    <row r="75" spans="1:8" x14ac:dyDescent="0.2">
      <c r="A75" s="115" t="s">
        <v>174</v>
      </c>
      <c r="B75" s="97" t="s">
        <v>251</v>
      </c>
      <c r="C75" s="116"/>
      <c r="D75" s="127">
        <f>_Petrole_Select*_PIBPNB_Select</f>
        <v>0</v>
      </c>
      <c r="E75" s="127">
        <f>_Petrole_Select*_PIBPNB_Select</f>
        <v>0</v>
      </c>
      <c r="F75" s="127">
        <f>_Petrole_Select*_PIBPNB_Select</f>
        <v>0</v>
      </c>
      <c r="G75" s="127">
        <f>_Petrole_Select*_PIBPNB_Select</f>
        <v>0</v>
      </c>
      <c r="H75" s="128">
        <f>_Petrole_Select*_PIBPNB_Select</f>
        <v>0</v>
      </c>
    </row>
    <row r="76" spans="1:8" x14ac:dyDescent="0.2">
      <c r="A76" s="101" t="s">
        <v>89</v>
      </c>
      <c r="B76" s="102" t="s">
        <v>269</v>
      </c>
      <c r="C76" s="119"/>
      <c r="D76" s="125">
        <f>_TVApetrole_Taux_Select1</f>
        <v>0.18</v>
      </c>
      <c r="E76" s="125">
        <f>_TVApetrole_Taux_Select2</f>
        <v>0.18</v>
      </c>
      <c r="F76" s="125">
        <f>_TVApetrole_Taux_Select3</f>
        <v>0.18</v>
      </c>
      <c r="G76" s="125">
        <f>_TVApetrole_Taux_Select4</f>
        <v>0.18</v>
      </c>
      <c r="H76" s="126">
        <f>_TVApetrole_Taux_Select5</f>
        <v>0.18</v>
      </c>
    </row>
    <row r="77" spans="1:8" x14ac:dyDescent="0.2">
      <c r="A77" s="108" t="s">
        <v>61</v>
      </c>
      <c r="B77" s="109" t="s">
        <v>251</v>
      </c>
      <c r="C77" s="121"/>
      <c r="D77" s="110">
        <f>D75*D76</f>
        <v>0</v>
      </c>
      <c r="E77" s="110">
        <f t="shared" ref="E77:H77" si="46">E75*E76</f>
        <v>0</v>
      </c>
      <c r="F77" s="110">
        <f t="shared" si="46"/>
        <v>0</v>
      </c>
      <c r="G77" s="110">
        <f t="shared" si="46"/>
        <v>0</v>
      </c>
      <c r="H77" s="111">
        <f t="shared" si="46"/>
        <v>0</v>
      </c>
    </row>
    <row r="79" spans="1:8" x14ac:dyDescent="0.2">
      <c r="A79" s="89" t="s">
        <v>271</v>
      </c>
    </row>
    <row r="80" spans="1:8" x14ac:dyDescent="0.2">
      <c r="A80" s="115" t="s">
        <v>272</v>
      </c>
      <c r="B80" s="97" t="s">
        <v>251</v>
      </c>
      <c r="C80" s="116"/>
      <c r="D80" s="127">
        <f>_Nombre_Cadres_Select*_Indice_Cadres_Select*_PIBPNB_Select</f>
        <v>4020179.4936293708</v>
      </c>
      <c r="E80" s="127">
        <f>_Nombre_Cadres_Select*_Indice_Cadres_Select*_PIBPNB_Select</f>
        <v>4020179.4936293708</v>
      </c>
      <c r="F80" s="127">
        <f>_Nombre_Cadres_Select*_Indice_Cadres_Select*_PIBPNB_Select</f>
        <v>4020179.4936293708</v>
      </c>
      <c r="G80" s="127">
        <f>_Nombre_Cadres_Select*_Indice_Cadres_Select*_PIBPNB_Select</f>
        <v>4020179.4936293708</v>
      </c>
      <c r="H80" s="128">
        <f>_Nombre_Cadres_Select*_Indice_Cadres_Select*_PIBPNB_Select</f>
        <v>4020179.4936293708</v>
      </c>
    </row>
    <row r="81" spans="1:8" x14ac:dyDescent="0.2">
      <c r="A81" s="101" t="s">
        <v>273</v>
      </c>
      <c r="B81" s="102" t="s">
        <v>251</v>
      </c>
      <c r="C81" s="119"/>
      <c r="D81" s="129">
        <f>_Nombre_Secretaires_Select*_Indice_Secretaires_Select*_PIBPNB_Select</f>
        <v>4466866.1040326338</v>
      </c>
      <c r="E81" s="129">
        <f>_Nombre_Secretaires_Select*_Indice_Secretaires_Select*_PIBPNB_Select</f>
        <v>4466866.1040326338</v>
      </c>
      <c r="F81" s="129">
        <f>_Nombre_Secretaires_Select*_Indice_Secretaires_Select*_PIBPNB_Select</f>
        <v>4466866.1040326338</v>
      </c>
      <c r="G81" s="129">
        <f>_Nombre_Secretaires_Select*_Indice_Secretaires_Select*_PIBPNB_Select</f>
        <v>4466866.1040326338</v>
      </c>
      <c r="H81" s="130">
        <f>_Nombre_Secretaires_Select*_Indice_Secretaires_Select*_PIBPNB_Select</f>
        <v>4466866.1040326338</v>
      </c>
    </row>
    <row r="82" spans="1:8" x14ac:dyDescent="0.2">
      <c r="A82" s="101" t="s">
        <v>274</v>
      </c>
      <c r="B82" s="102" t="s">
        <v>251</v>
      </c>
      <c r="C82" s="119"/>
      <c r="D82" s="129">
        <f>_Nombre_Ouvriers_Select*_Indice_Ouvriers_Select*_PIBPNB_Select</f>
        <v>21440957.299356643</v>
      </c>
      <c r="E82" s="129">
        <f>_Nombre_Ouvriers_Select*_Indice_Ouvriers_Select*_PIBPNB_Select</f>
        <v>21440957.299356643</v>
      </c>
      <c r="F82" s="129">
        <f>_Nombre_Ouvriers_Select*_Indice_Ouvriers_Select*_PIBPNB_Select</f>
        <v>21440957.299356643</v>
      </c>
      <c r="G82" s="129">
        <f>_Nombre_Ouvriers_Select*_Indice_Ouvriers_Select*_PIBPNB_Select</f>
        <v>21440957.299356643</v>
      </c>
      <c r="H82" s="130">
        <f>_Nombre_Ouvriers_Select*_Indice_Ouvriers_Select*_PIBPNB_Select</f>
        <v>21440957.299356643</v>
      </c>
    </row>
    <row r="83" spans="1:8" x14ac:dyDescent="0.2">
      <c r="A83" s="101" t="s">
        <v>205</v>
      </c>
      <c r="B83" s="102" t="s">
        <v>251</v>
      </c>
      <c r="C83" s="119"/>
      <c r="D83" s="114">
        <f>SUM(D80:D82)</f>
        <v>29928002.897018649</v>
      </c>
      <c r="E83" s="114">
        <f t="shared" ref="E83:H83" si="47">SUM(E80:E82)</f>
        <v>29928002.897018649</v>
      </c>
      <c r="F83" s="114">
        <f t="shared" si="47"/>
        <v>29928002.897018649</v>
      </c>
      <c r="G83" s="114">
        <f t="shared" si="47"/>
        <v>29928002.897018649</v>
      </c>
      <c r="H83" s="131">
        <f t="shared" si="47"/>
        <v>29928002.897018649</v>
      </c>
    </row>
    <row r="84" spans="1:8" x14ac:dyDescent="0.2">
      <c r="A84" s="101" t="s">
        <v>89</v>
      </c>
      <c r="B84" s="102" t="s">
        <v>275</v>
      </c>
      <c r="C84" s="119"/>
      <c r="D84" s="125">
        <f>_CFE_Taux_Select1</f>
        <v>0.04</v>
      </c>
      <c r="E84" s="125">
        <f>_CFE_Taux_Select2</f>
        <v>0.04</v>
      </c>
      <c r="F84" s="125">
        <f>_CFE_Taux_Select3</f>
        <v>0.04</v>
      </c>
      <c r="G84" s="125">
        <f>_CFE_Taux_Select4</f>
        <v>0.04</v>
      </c>
      <c r="H84" s="126">
        <f>_CFE_Taux_Select5</f>
        <v>0.04</v>
      </c>
    </row>
    <row r="85" spans="1:8" x14ac:dyDescent="0.2">
      <c r="A85" s="108" t="s">
        <v>54</v>
      </c>
      <c r="B85" s="109" t="s">
        <v>251</v>
      </c>
      <c r="C85" s="121"/>
      <c r="D85" s="110">
        <f>D83*D84</f>
        <v>1197120.1158807459</v>
      </c>
      <c r="E85" s="110">
        <f t="shared" ref="E85:H85" si="48">E83*E84</f>
        <v>1197120.1158807459</v>
      </c>
      <c r="F85" s="110">
        <f t="shared" si="48"/>
        <v>1197120.1158807459</v>
      </c>
      <c r="G85" s="110">
        <f t="shared" si="48"/>
        <v>1197120.1158807459</v>
      </c>
      <c r="H85" s="111">
        <f t="shared" si="48"/>
        <v>1197120.1158807459</v>
      </c>
    </row>
    <row r="87" spans="1:8" x14ac:dyDescent="0.2">
      <c r="A87" s="89" t="s">
        <v>276</v>
      </c>
    </row>
    <row r="88" spans="1:8" x14ac:dyDescent="0.2">
      <c r="A88" s="115" t="s">
        <v>179</v>
      </c>
      <c r="B88" s="97" t="s">
        <v>251</v>
      </c>
      <c r="C88" s="116"/>
      <c r="D88" s="127">
        <f>_ChargesFinancieres_Select*_PIBPNB_Select</f>
        <v>2456776.3572179489</v>
      </c>
      <c r="E88" s="127">
        <f>_ChargesFinancieres_Select*_PIBPNB_Select</f>
        <v>2456776.3572179489</v>
      </c>
      <c r="F88" s="127">
        <f>_ChargesFinancieres_Select*_PIBPNB_Select</f>
        <v>2456776.3572179489</v>
      </c>
      <c r="G88" s="127">
        <f>_ChargesFinancieres_Select*_PIBPNB_Select</f>
        <v>2456776.3572179489</v>
      </c>
      <c r="H88" s="128">
        <f>_ChargesFinancieres_Select*_PIBPNB_Select</f>
        <v>2456776.3572179489</v>
      </c>
    </row>
    <row r="89" spans="1:8" x14ac:dyDescent="0.2">
      <c r="A89" s="101" t="s">
        <v>89</v>
      </c>
      <c r="B89" s="102" t="s">
        <v>277</v>
      </c>
      <c r="C89" s="119"/>
      <c r="D89" s="125">
        <f>_IRC_Taux_Select1</f>
        <v>0.15</v>
      </c>
      <c r="E89" s="125">
        <f>_IRC_Taux_Select2</f>
        <v>0.15</v>
      </c>
      <c r="F89" s="125">
        <f>_IRC_Taux_Select3</f>
        <v>0.15</v>
      </c>
      <c r="G89" s="125">
        <f>_IRC_Taux_Select4</f>
        <v>0.15</v>
      </c>
      <c r="H89" s="126">
        <f>_IRC_Taux_Select5</f>
        <v>0.15</v>
      </c>
    </row>
    <row r="90" spans="1:8" x14ac:dyDescent="0.2">
      <c r="A90" s="108" t="s">
        <v>60</v>
      </c>
      <c r="B90" s="109" t="s">
        <v>251</v>
      </c>
      <c r="C90" s="121"/>
      <c r="D90" s="110">
        <f>D88*D89</f>
        <v>368516.45358269231</v>
      </c>
      <c r="E90" s="110">
        <f t="shared" ref="E90" si="49">E88*E89</f>
        <v>368516.45358269231</v>
      </c>
      <c r="F90" s="110">
        <f t="shared" ref="F90" si="50">F88*F89</f>
        <v>368516.45358269231</v>
      </c>
      <c r="G90" s="110">
        <f t="shared" ref="G90" si="51">G88*G89</f>
        <v>368516.45358269231</v>
      </c>
      <c r="H90" s="111">
        <f t="shared" ref="H90" si="52">H88*H89</f>
        <v>368516.45358269231</v>
      </c>
    </row>
    <row r="92" spans="1:8" x14ac:dyDescent="0.2">
      <c r="A92" s="89" t="s">
        <v>278</v>
      </c>
    </row>
    <row r="93" spans="1:8" x14ac:dyDescent="0.2">
      <c r="A93" s="90" t="s">
        <v>173</v>
      </c>
      <c r="B93" s="79" t="s">
        <v>251</v>
      </c>
      <c r="C93" s="91"/>
      <c r="D93" s="93">
        <f>_Ventes_Select*_PIBPNB_Select</f>
        <v>469020940.92342657</v>
      </c>
      <c r="E93" s="93">
        <f>_Ventes_Select*_PIBPNB_Select</f>
        <v>469020940.92342657</v>
      </c>
      <c r="F93" s="93">
        <f>_Ventes_Select*_PIBPNB_Select</f>
        <v>469020940.92342657</v>
      </c>
      <c r="G93" s="93">
        <f>_Ventes_Select*_PIBPNB_Select</f>
        <v>469020940.92342657</v>
      </c>
      <c r="H93" s="137">
        <f>_Ventes_Select*_PIBPNB_Select</f>
        <v>469020940.92342657</v>
      </c>
    </row>
    <row r="94" spans="1:8" x14ac:dyDescent="0.2">
      <c r="A94" s="101" t="s">
        <v>167</v>
      </c>
      <c r="B94" s="102" t="s">
        <v>251</v>
      </c>
      <c r="C94" s="119"/>
      <c r="D94" s="129">
        <f>_Achats_Select*_PIBPNB_Select</f>
        <v>390850784.1028555</v>
      </c>
      <c r="E94" s="129">
        <f>_Achats_Select*_PIBPNB_Select</f>
        <v>390850784.1028555</v>
      </c>
      <c r="F94" s="129">
        <f>_Achats_Select*_PIBPNB_Select</f>
        <v>390850784.1028555</v>
      </c>
      <c r="G94" s="129">
        <f>_Achats_Select*_PIBPNB_Select</f>
        <v>390850784.1028555</v>
      </c>
      <c r="H94" s="130">
        <f>_Achats_Select*_PIBPNB_Select</f>
        <v>390850784.1028555</v>
      </c>
    </row>
    <row r="95" spans="1:8" x14ac:dyDescent="0.2">
      <c r="A95" s="101" t="s">
        <v>174</v>
      </c>
      <c r="B95" s="102" t="s">
        <v>251</v>
      </c>
      <c r="C95" s="119"/>
      <c r="D95" s="129">
        <f>_Petrole_Select*_PIBPNB_Select</f>
        <v>0</v>
      </c>
      <c r="E95" s="129">
        <f>_Petrole_Select*_PIBPNB_Select</f>
        <v>0</v>
      </c>
      <c r="F95" s="129">
        <f>_Petrole_Select*_PIBPNB_Select</f>
        <v>0</v>
      </c>
      <c r="G95" s="129">
        <f>_Petrole_Select*_PIBPNB_Select</f>
        <v>0</v>
      </c>
      <c r="H95" s="130">
        <f>_Petrole_Select*_PIBPNB_Select</f>
        <v>0</v>
      </c>
    </row>
    <row r="96" spans="1:8" x14ac:dyDescent="0.2">
      <c r="A96" s="101" t="s">
        <v>61</v>
      </c>
      <c r="B96" s="102" t="s">
        <v>251</v>
      </c>
      <c r="C96" s="119"/>
      <c r="D96" s="113">
        <f>D$77</f>
        <v>0</v>
      </c>
      <c r="E96" s="113">
        <f t="shared" ref="E96:H96" si="53">E$77</f>
        <v>0</v>
      </c>
      <c r="F96" s="113">
        <f t="shared" si="53"/>
        <v>0</v>
      </c>
      <c r="G96" s="113">
        <f t="shared" si="53"/>
        <v>0</v>
      </c>
      <c r="H96" s="120">
        <f t="shared" si="53"/>
        <v>0</v>
      </c>
    </row>
    <row r="97" spans="1:8" x14ac:dyDescent="0.2">
      <c r="A97" s="101" t="s">
        <v>175</v>
      </c>
      <c r="B97" s="102" t="s">
        <v>251</v>
      </c>
      <c r="C97" s="119"/>
      <c r="D97" s="129">
        <f>_DepensesAdministratives_Select*_PIBPNB_Select</f>
        <v>4466866.1040326338</v>
      </c>
      <c r="E97" s="129">
        <f>_DepensesAdministratives_Select*_PIBPNB_Select</f>
        <v>4466866.1040326338</v>
      </c>
      <c r="F97" s="129">
        <f>_DepensesAdministratives_Select*_PIBPNB_Select</f>
        <v>4466866.1040326338</v>
      </c>
      <c r="G97" s="129">
        <f>_DepensesAdministratives_Select*_PIBPNB_Select</f>
        <v>4466866.1040326338</v>
      </c>
      <c r="H97" s="130">
        <f>_DepensesAdministratives_Select*_PIBPNB_Select</f>
        <v>4466866.1040326338</v>
      </c>
    </row>
    <row r="98" spans="1:8" x14ac:dyDescent="0.2">
      <c r="A98" s="101" t="s">
        <v>176</v>
      </c>
      <c r="B98" s="102" t="s">
        <v>251</v>
      </c>
      <c r="C98" s="119"/>
      <c r="D98" s="129">
        <f>_DepensesPublicitaires_Select*_PIBPNB_Select</f>
        <v>4690209.4092342658</v>
      </c>
      <c r="E98" s="129">
        <f>_DepensesPublicitaires_Select*_PIBPNB_Select</f>
        <v>4690209.4092342658</v>
      </c>
      <c r="F98" s="129">
        <f>_DepensesPublicitaires_Select*_PIBPNB_Select</f>
        <v>4690209.4092342658</v>
      </c>
      <c r="G98" s="129">
        <f>_DepensesPublicitaires_Select*_PIBPNB_Select</f>
        <v>4690209.4092342658</v>
      </c>
      <c r="H98" s="130">
        <f>_DepensesPublicitaires_Select*_PIBPNB_Select</f>
        <v>4690209.4092342658</v>
      </c>
    </row>
    <row r="99" spans="1:8" x14ac:dyDescent="0.2">
      <c r="A99" s="101" t="s">
        <v>177</v>
      </c>
      <c r="B99" s="102" t="s">
        <v>251</v>
      </c>
      <c r="C99" s="119"/>
      <c r="D99" s="129">
        <f>_DepensesDEntretien_Select*_PIBPNB_Select</f>
        <v>1340059.8312097902</v>
      </c>
      <c r="E99" s="129">
        <f>_DepensesDEntretien_Select*_PIBPNB_Select</f>
        <v>1340059.8312097902</v>
      </c>
      <c r="F99" s="129">
        <f>_DepensesDEntretien_Select*_PIBPNB_Select</f>
        <v>1340059.8312097902</v>
      </c>
      <c r="G99" s="129">
        <f>_DepensesDEntretien_Select*_PIBPNB_Select</f>
        <v>1340059.8312097902</v>
      </c>
      <c r="H99" s="130">
        <f>_DepensesDEntretien_Select*_PIBPNB_Select</f>
        <v>1340059.8312097902</v>
      </c>
    </row>
    <row r="100" spans="1:8" x14ac:dyDescent="0.2">
      <c r="A100" s="115" t="s">
        <v>272</v>
      </c>
      <c r="B100" s="97" t="s">
        <v>251</v>
      </c>
      <c r="C100" s="116"/>
      <c r="D100" s="127">
        <f>_Nombre_Cadres_Select*_Indice_Cadres_Select*_PIBPNB_Select</f>
        <v>4020179.4936293708</v>
      </c>
      <c r="E100" s="127">
        <f>_Nombre_Cadres_Select*_Indice_Cadres_Select*_PIBPNB_Select</f>
        <v>4020179.4936293708</v>
      </c>
      <c r="F100" s="127">
        <f>_Nombre_Cadres_Select*_Indice_Cadres_Select*_PIBPNB_Select</f>
        <v>4020179.4936293708</v>
      </c>
      <c r="G100" s="127">
        <f>_Nombre_Cadres_Select*_Indice_Cadres_Select*_PIBPNB_Select</f>
        <v>4020179.4936293708</v>
      </c>
      <c r="H100" s="128">
        <f>_Nombre_Cadres_Select*_Indice_Cadres_Select*_PIBPNB_Select</f>
        <v>4020179.4936293708</v>
      </c>
    </row>
    <row r="101" spans="1:8" x14ac:dyDescent="0.2">
      <c r="A101" s="101" t="s">
        <v>273</v>
      </c>
      <c r="B101" s="102" t="s">
        <v>251</v>
      </c>
      <c r="C101" s="119"/>
      <c r="D101" s="129">
        <f>_Nombre_Secretaires_Select*_Indice_Secretaires_Select*_PIBPNB_Select</f>
        <v>4466866.1040326338</v>
      </c>
      <c r="E101" s="129">
        <f>_Nombre_Secretaires_Select*_Indice_Secretaires_Select*_PIBPNB_Select</f>
        <v>4466866.1040326338</v>
      </c>
      <c r="F101" s="129">
        <f>_Nombre_Secretaires_Select*_Indice_Secretaires_Select*_PIBPNB_Select</f>
        <v>4466866.1040326338</v>
      </c>
      <c r="G101" s="129">
        <f>_Nombre_Secretaires_Select*_Indice_Secretaires_Select*_PIBPNB_Select</f>
        <v>4466866.1040326338</v>
      </c>
      <c r="H101" s="130">
        <f>_Nombre_Secretaires_Select*_Indice_Secretaires_Select*_PIBPNB_Select</f>
        <v>4466866.1040326338</v>
      </c>
    </row>
    <row r="102" spans="1:8" x14ac:dyDescent="0.2">
      <c r="A102" s="101" t="s">
        <v>274</v>
      </c>
      <c r="B102" s="102" t="s">
        <v>251</v>
      </c>
      <c r="C102" s="119"/>
      <c r="D102" s="129">
        <f>_Nombre_Ouvriers_Select*_Indice_Ouvriers_Select*_PIBPNB_Select</f>
        <v>21440957.299356643</v>
      </c>
      <c r="E102" s="129">
        <f>_Nombre_Ouvriers_Select*_Indice_Ouvriers_Select*_PIBPNB_Select</f>
        <v>21440957.299356643</v>
      </c>
      <c r="F102" s="129">
        <f>_Nombre_Ouvriers_Select*_Indice_Ouvriers_Select*_PIBPNB_Select</f>
        <v>21440957.299356643</v>
      </c>
      <c r="G102" s="129">
        <f>_Nombre_Ouvriers_Select*_Indice_Ouvriers_Select*_PIBPNB_Select</f>
        <v>21440957.299356643</v>
      </c>
      <c r="H102" s="130">
        <f>_Nombre_Ouvriers_Select*_Indice_Ouvriers_Select*_PIBPNB_Select</f>
        <v>21440957.299356643</v>
      </c>
    </row>
    <row r="103" spans="1:8" x14ac:dyDescent="0.2">
      <c r="A103" s="108" t="s">
        <v>54</v>
      </c>
      <c r="B103" s="109" t="s">
        <v>251</v>
      </c>
      <c r="C103" s="121"/>
      <c r="D103" s="135">
        <f>D$85</f>
        <v>1197120.1158807459</v>
      </c>
      <c r="E103" s="135">
        <f t="shared" ref="E103:H103" si="54">E$85</f>
        <v>1197120.1158807459</v>
      </c>
      <c r="F103" s="135">
        <f t="shared" si="54"/>
        <v>1197120.1158807459</v>
      </c>
      <c r="G103" s="135">
        <f t="shared" si="54"/>
        <v>1197120.1158807459</v>
      </c>
      <c r="H103" s="136">
        <f t="shared" si="54"/>
        <v>1197120.1158807459</v>
      </c>
    </row>
    <row r="104" spans="1:8" x14ac:dyDescent="0.2">
      <c r="A104" s="101" t="s">
        <v>179</v>
      </c>
      <c r="B104" s="102" t="s">
        <v>251</v>
      </c>
      <c r="C104" s="119"/>
      <c r="D104" s="129">
        <f>_ChargesFinancieres_Select*_PIBPNB_Select</f>
        <v>2456776.3572179489</v>
      </c>
      <c r="E104" s="129">
        <f>_ChargesFinancieres_Select*_PIBPNB_Select</f>
        <v>2456776.3572179489</v>
      </c>
      <c r="F104" s="129">
        <f>_ChargesFinancieres_Select*_PIBPNB_Select</f>
        <v>2456776.3572179489</v>
      </c>
      <c r="G104" s="129">
        <f>_ChargesFinancieres_Select*_PIBPNB_Select</f>
        <v>2456776.3572179489</v>
      </c>
      <c r="H104" s="130">
        <f>_ChargesFinancieres_Select*_PIBPNB_Select</f>
        <v>2456776.3572179489</v>
      </c>
    </row>
    <row r="105" spans="1:8" x14ac:dyDescent="0.2">
      <c r="A105" s="90" t="s">
        <v>279</v>
      </c>
      <c r="B105" s="79" t="s">
        <v>251</v>
      </c>
      <c r="C105" s="91"/>
      <c r="D105" s="112">
        <f>D$12</f>
        <v>9678209.8920707069</v>
      </c>
      <c r="E105" s="112">
        <f t="shared" ref="E105:H105" si="55">E$12</f>
        <v>8003135.1030584695</v>
      </c>
      <c r="F105" s="112">
        <f t="shared" si="55"/>
        <v>5630112.4852911327</v>
      </c>
      <c r="G105" s="112">
        <f t="shared" si="55"/>
        <v>3943405.2324663098</v>
      </c>
      <c r="H105" s="134">
        <f t="shared" si="55"/>
        <v>3236733.055851772</v>
      </c>
    </row>
    <row r="106" spans="1:8" x14ac:dyDescent="0.2">
      <c r="A106" s="115" t="s">
        <v>280</v>
      </c>
      <c r="B106" s="97" t="s">
        <v>251</v>
      </c>
      <c r="C106" s="116"/>
      <c r="D106" s="153">
        <f>D93-SUM(D94:D105)</f>
        <v>24412912.213906288</v>
      </c>
      <c r="E106" s="153">
        <f>E93-SUM(E94:E105)</f>
        <v>26087987.002918541</v>
      </c>
      <c r="F106" s="153">
        <f>F93-SUM(F94:F105)</f>
        <v>28461009.620685875</v>
      </c>
      <c r="G106" s="153">
        <f>G93-SUM(G94:G105)</f>
        <v>30147716.873510718</v>
      </c>
      <c r="H106" s="154">
        <f>H93-SUM(H94:H105)</f>
        <v>30854389.050125241</v>
      </c>
    </row>
    <row r="107" spans="1:8" x14ac:dyDescent="0.2">
      <c r="A107" s="108" t="s">
        <v>294</v>
      </c>
      <c r="B107" s="109" t="s">
        <v>281</v>
      </c>
      <c r="C107" s="121"/>
      <c r="D107" s="132">
        <f>D106/D$93</f>
        <v>5.2050793650793507E-2</v>
      </c>
      <c r="E107" s="132">
        <f t="shared" ref="E107:H107" si="56">E106/E$93</f>
        <v>5.5622222222222115E-2</v>
      </c>
      <c r="F107" s="132">
        <f t="shared" si="56"/>
        <v>6.0681746031745913E-2</v>
      </c>
      <c r="G107" s="132">
        <f t="shared" si="56"/>
        <v>6.4277976190476122E-2</v>
      </c>
      <c r="H107" s="133">
        <f t="shared" si="56"/>
        <v>6.578467261904751E-2</v>
      </c>
    </row>
    <row r="109" spans="1:8" x14ac:dyDescent="0.2">
      <c r="A109" s="152" t="s">
        <v>283</v>
      </c>
    </row>
    <row r="110" spans="1:8" x14ac:dyDescent="0.2">
      <c r="A110" s="96" t="s">
        <v>280</v>
      </c>
      <c r="B110" s="97" t="s">
        <v>251</v>
      </c>
      <c r="C110" s="116"/>
      <c r="D110" s="117">
        <f>D106</f>
        <v>24412912.213906288</v>
      </c>
      <c r="E110" s="117">
        <f t="shared" ref="E110:H110" si="57">E106</f>
        <v>26087987.002918541</v>
      </c>
      <c r="F110" s="117">
        <f t="shared" si="57"/>
        <v>28461009.620685875</v>
      </c>
      <c r="G110" s="117">
        <f t="shared" si="57"/>
        <v>30147716.873510718</v>
      </c>
      <c r="H110" s="118">
        <f t="shared" si="57"/>
        <v>30854389.050125241</v>
      </c>
    </row>
    <row r="111" spans="1:8" x14ac:dyDescent="0.2">
      <c r="A111" s="147" t="s">
        <v>246</v>
      </c>
      <c r="B111" s="102" t="s">
        <v>251</v>
      </c>
      <c r="C111" s="119"/>
      <c r="D111" s="113">
        <f>D72</f>
        <v>0</v>
      </c>
      <c r="E111" s="113">
        <f>E72</f>
        <v>0</v>
      </c>
      <c r="F111" s="113">
        <f>F72</f>
        <v>0</v>
      </c>
      <c r="G111" s="113">
        <f>G72</f>
        <v>0</v>
      </c>
      <c r="H111" s="120">
        <f>H72</f>
        <v>0</v>
      </c>
    </row>
    <row r="112" spans="1:8" x14ac:dyDescent="0.2">
      <c r="A112" s="149" t="s">
        <v>284</v>
      </c>
      <c r="B112" s="109" t="s">
        <v>251</v>
      </c>
      <c r="C112" s="121"/>
      <c r="D112" s="122">
        <f>D110-D111</f>
        <v>24412912.213906288</v>
      </c>
      <c r="E112" s="122">
        <f t="shared" ref="E112:H112" si="58">E110-E111</f>
        <v>26087987.002918541</v>
      </c>
      <c r="F112" s="122">
        <f t="shared" si="58"/>
        <v>28461009.620685875</v>
      </c>
      <c r="G112" s="122">
        <f t="shared" si="58"/>
        <v>30147716.873510718</v>
      </c>
      <c r="H112" s="123">
        <f t="shared" si="58"/>
        <v>30854389.050125241</v>
      </c>
    </row>
    <row r="114" spans="1:13" x14ac:dyDescent="0.2">
      <c r="A114" s="89" t="s">
        <v>285</v>
      </c>
    </row>
    <row r="115" spans="1:13" x14ac:dyDescent="0.2">
      <c r="A115" s="115" t="s">
        <v>284</v>
      </c>
      <c r="B115" s="97" t="s">
        <v>251</v>
      </c>
      <c r="C115" s="116"/>
      <c r="D115" s="117">
        <f>D$112</f>
        <v>24412912.213906288</v>
      </c>
      <c r="E115" s="117">
        <f t="shared" ref="E115:H115" si="59">E$112</f>
        <v>26087987.002918541</v>
      </c>
      <c r="F115" s="117">
        <f t="shared" si="59"/>
        <v>28461009.620685875</v>
      </c>
      <c r="G115" s="117">
        <f t="shared" si="59"/>
        <v>30147716.873510718</v>
      </c>
      <c r="H115" s="118">
        <f t="shared" si="59"/>
        <v>30854389.050125241</v>
      </c>
    </row>
    <row r="116" spans="1:13" x14ac:dyDescent="0.2">
      <c r="A116" s="101" t="s">
        <v>89</v>
      </c>
      <c r="B116" s="102" t="s">
        <v>286</v>
      </c>
      <c r="C116" s="119"/>
      <c r="D116" s="125">
        <f>_IS_Taux_Select1</f>
        <v>0.3</v>
      </c>
      <c r="E116" s="125">
        <f>_IS_Taux_Select2</f>
        <v>0.3</v>
      </c>
      <c r="F116" s="125">
        <f>_IS_Taux_Select3</f>
        <v>0.3</v>
      </c>
      <c r="G116" s="125">
        <f>_IS_Taux_Select4</f>
        <v>0.3</v>
      </c>
      <c r="H116" s="126">
        <f>_IS_Taux_Select5</f>
        <v>0.3</v>
      </c>
    </row>
    <row r="117" spans="1:13" x14ac:dyDescent="0.2">
      <c r="A117" s="108" t="s">
        <v>57</v>
      </c>
      <c r="B117" s="109" t="s">
        <v>251</v>
      </c>
      <c r="C117" s="121"/>
      <c r="D117" s="110">
        <f>D115*D116</f>
        <v>7323873.6641718866</v>
      </c>
      <c r="E117" s="110">
        <f t="shared" ref="E117:H117" si="60">E115*E116</f>
        <v>7826396.1008755621</v>
      </c>
      <c r="F117" s="110">
        <f t="shared" si="60"/>
        <v>8538302.8862057626</v>
      </c>
      <c r="G117" s="110">
        <f t="shared" si="60"/>
        <v>9044315.0620532148</v>
      </c>
      <c r="H117" s="111">
        <f t="shared" si="60"/>
        <v>9256316.7150375713</v>
      </c>
    </row>
    <row r="119" spans="1:13" x14ac:dyDescent="0.2">
      <c r="A119" s="89" t="s">
        <v>287</v>
      </c>
    </row>
    <row r="120" spans="1:13" x14ac:dyDescent="0.2">
      <c r="A120" s="115" t="s">
        <v>173</v>
      </c>
      <c r="B120" s="97" t="s">
        <v>251</v>
      </c>
      <c r="C120" s="116"/>
      <c r="D120" s="117">
        <f>D$93</f>
        <v>469020940.92342657</v>
      </c>
      <c r="E120" s="117">
        <f t="shared" ref="E120:H120" si="61">E$93</f>
        <v>469020940.92342657</v>
      </c>
      <c r="F120" s="117">
        <f t="shared" si="61"/>
        <v>469020940.92342657</v>
      </c>
      <c r="G120" s="117">
        <f t="shared" si="61"/>
        <v>469020940.92342657</v>
      </c>
      <c r="H120" s="118">
        <f t="shared" si="61"/>
        <v>469020940.92342657</v>
      </c>
    </row>
    <row r="121" spans="1:13" x14ac:dyDescent="0.2">
      <c r="A121" s="101" t="s">
        <v>89</v>
      </c>
      <c r="B121" s="102" t="s">
        <v>281</v>
      </c>
      <c r="C121" s="119"/>
      <c r="D121" s="125">
        <f>_IMF_Taux_Select1</f>
        <v>7.4999999999999997E-3</v>
      </c>
      <c r="E121" s="125">
        <f>_IMF_Taux_Select2</f>
        <v>7.4999999999999997E-3</v>
      </c>
      <c r="F121" s="125">
        <f>_IMF_Taux_Select3</f>
        <v>7.4999999999999997E-3</v>
      </c>
      <c r="G121" s="125">
        <f>_IMF_Taux_Select4</f>
        <v>7.4999999999999997E-3</v>
      </c>
      <c r="H121" s="126">
        <f>_IMF_Taux_Select5</f>
        <v>7.4999999999999997E-3</v>
      </c>
    </row>
    <row r="122" spans="1:13" x14ac:dyDescent="0.2">
      <c r="A122" s="108" t="s">
        <v>58</v>
      </c>
      <c r="B122" s="109" t="s">
        <v>251</v>
      </c>
      <c r="C122" s="121"/>
      <c r="D122" s="110">
        <f>D120*D121</f>
        <v>3517657.0569256991</v>
      </c>
      <c r="E122" s="110">
        <f t="shared" ref="E122" si="62">E120*E121</f>
        <v>3517657.0569256991</v>
      </c>
      <c r="F122" s="110">
        <f t="shared" ref="F122" si="63">F120*F121</f>
        <v>3517657.0569256991</v>
      </c>
      <c r="G122" s="110">
        <f t="shared" ref="G122" si="64">G120*G121</f>
        <v>3517657.0569256991</v>
      </c>
      <c r="H122" s="111">
        <f t="shared" ref="H122" si="65">H120*H121</f>
        <v>3517657.0569256991</v>
      </c>
    </row>
    <row r="124" spans="1:13" x14ac:dyDescent="0.2">
      <c r="A124" s="152" t="s">
        <v>288</v>
      </c>
    </row>
    <row r="125" spans="1:13" x14ac:dyDescent="0.2">
      <c r="A125" s="175" t="s">
        <v>288</v>
      </c>
      <c r="B125" s="97"/>
      <c r="C125" s="116"/>
      <c r="D125" s="155">
        <f>IF(D$117&gt;D$122,D$117,D$122)</f>
        <v>7323873.6641718866</v>
      </c>
      <c r="E125" s="155">
        <f>IF(E$117&gt;E$122,E$117,E$122)</f>
        <v>7826396.1008755621</v>
      </c>
      <c r="F125" s="155">
        <f>IF(F$117&gt;F$122,F$117,F$122)</f>
        <v>8538302.8862057626</v>
      </c>
      <c r="G125" s="155">
        <f>IF(G$117&gt;G$122,G$117,G$122)</f>
        <v>9044315.0620532148</v>
      </c>
      <c r="H125" s="156">
        <f>IF(H$117&gt;H$122,H$117,H$122)</f>
        <v>9256316.7150375713</v>
      </c>
      <c r="M125" s="1">
        <v>0.1</v>
      </c>
    </row>
    <row r="126" spans="1:13" x14ac:dyDescent="0.2">
      <c r="A126" s="101" t="s">
        <v>295</v>
      </c>
      <c r="B126" s="102" t="s">
        <v>251</v>
      </c>
      <c r="C126" s="119"/>
      <c r="D126" s="113">
        <f>D$106</f>
        <v>24412912.213906288</v>
      </c>
      <c r="E126" s="113">
        <f t="shared" ref="E126:H126" si="66">E$106</f>
        <v>26087987.002918541</v>
      </c>
      <c r="F126" s="113">
        <f t="shared" si="66"/>
        <v>28461009.620685875</v>
      </c>
      <c r="G126" s="113">
        <f t="shared" si="66"/>
        <v>30147716.873510718</v>
      </c>
      <c r="H126" s="120">
        <f t="shared" si="66"/>
        <v>30854389.050125241</v>
      </c>
      <c r="M126" s="1">
        <v>-10000</v>
      </c>
    </row>
    <row r="127" spans="1:13" x14ac:dyDescent="0.2">
      <c r="A127" s="108" t="s">
        <v>293</v>
      </c>
      <c r="B127" s="109" t="s">
        <v>281</v>
      </c>
      <c r="C127" s="121"/>
      <c r="D127" s="132">
        <f>D126/D$93</f>
        <v>5.2050793650793507E-2</v>
      </c>
      <c r="E127" s="132">
        <f t="shared" ref="E127:H127" si="67">E126/E$93</f>
        <v>5.5622222222222115E-2</v>
      </c>
      <c r="F127" s="132">
        <f t="shared" si="67"/>
        <v>6.0681746031745913E-2</v>
      </c>
      <c r="G127" s="132">
        <f t="shared" si="67"/>
        <v>6.4277976190476122E-2</v>
      </c>
      <c r="H127" s="133">
        <f t="shared" si="67"/>
        <v>6.578467261904751E-2</v>
      </c>
      <c r="M127" s="1">
        <v>3000</v>
      </c>
    </row>
    <row r="128" spans="1:13" x14ac:dyDescent="0.2">
      <c r="M128" s="1">
        <v>4200</v>
      </c>
    </row>
    <row r="129" spans="1:13" x14ac:dyDescent="0.2">
      <c r="A129" s="89" t="s">
        <v>289</v>
      </c>
      <c r="M129" s="1">
        <v>68000</v>
      </c>
    </row>
    <row r="130" spans="1:13" x14ac:dyDescent="0.2">
      <c r="A130" s="115" t="s">
        <v>295</v>
      </c>
      <c r="B130" s="97" t="s">
        <v>251</v>
      </c>
      <c r="C130" s="116"/>
      <c r="D130" s="117">
        <f>D126</f>
        <v>24412912.213906288</v>
      </c>
      <c r="E130" s="117">
        <f t="shared" ref="E130:H130" si="68">E126</f>
        <v>26087987.002918541</v>
      </c>
      <c r="F130" s="117">
        <f t="shared" si="68"/>
        <v>28461009.620685875</v>
      </c>
      <c r="G130" s="117">
        <f t="shared" si="68"/>
        <v>30147716.873510718</v>
      </c>
      <c r="H130" s="118">
        <f t="shared" si="68"/>
        <v>30854389.050125241</v>
      </c>
    </row>
    <row r="131" spans="1:13" x14ac:dyDescent="0.2">
      <c r="A131" s="101" t="s">
        <v>225</v>
      </c>
      <c r="B131" s="102" t="s">
        <v>296</v>
      </c>
      <c r="C131" s="119"/>
      <c r="D131" s="157">
        <f>_DividendesDistribues_Select</f>
        <v>0.5</v>
      </c>
      <c r="E131" s="157">
        <f>_DividendesDistribues_Select</f>
        <v>0.5</v>
      </c>
      <c r="F131" s="157">
        <f>_DividendesDistribues_Select</f>
        <v>0.5</v>
      </c>
      <c r="G131" s="157">
        <f>_DividendesDistribues_Select</f>
        <v>0.5</v>
      </c>
      <c r="H131" s="158">
        <f>_DividendesDistribues_Select</f>
        <v>0.5</v>
      </c>
    </row>
    <row r="132" spans="1:13" x14ac:dyDescent="0.2">
      <c r="A132" s="101" t="s">
        <v>89</v>
      </c>
      <c r="B132" s="102" t="s">
        <v>296</v>
      </c>
      <c r="C132" s="119"/>
      <c r="D132" s="125">
        <f>_IRVM_Taux_Select1</f>
        <v>0.1</v>
      </c>
      <c r="E132" s="125">
        <f>_IRVM_Taux_Select2</f>
        <v>0.1</v>
      </c>
      <c r="F132" s="125">
        <f>_IRVM_Taux_Select3</f>
        <v>0.1</v>
      </c>
      <c r="G132" s="125">
        <f>_IRVM_Taux_Select4</f>
        <v>0.1</v>
      </c>
      <c r="H132" s="126">
        <f>_IRVM_Taux_Select5</f>
        <v>0.1</v>
      </c>
      <c r="K132" s="213">
        <f>NPV(M125,M126,M127,M128,M129)</f>
        <v>42988.866880677524</v>
      </c>
    </row>
    <row r="133" spans="1:13" x14ac:dyDescent="0.2">
      <c r="A133" s="108" t="s">
        <v>59</v>
      </c>
      <c r="B133" s="109" t="s">
        <v>251</v>
      </c>
      <c r="C133" s="121"/>
      <c r="D133" s="110">
        <f>D130*D131*D132</f>
        <v>1220645.6106953144</v>
      </c>
      <c r="E133" s="110">
        <f t="shared" ref="E133:H133" si="69">E130*E131*E132</f>
        <v>1304399.3501459272</v>
      </c>
      <c r="F133" s="110">
        <f t="shared" si="69"/>
        <v>1423050.4810342938</v>
      </c>
      <c r="G133" s="110">
        <f t="shared" si="69"/>
        <v>1507385.8436755361</v>
      </c>
      <c r="H133" s="111">
        <f t="shared" si="69"/>
        <v>1542719.4525062621</v>
      </c>
    </row>
    <row r="134" spans="1:13" x14ac:dyDescent="0.2">
      <c r="J134" s="212"/>
      <c r="L134" s="1">
        <f>(D141/1.08^0)+(E141/1.08^1)+(F141/1.08^2)+(G141/1.08^3)+(H141/1.08^4)</f>
        <v>35874093.251070701</v>
      </c>
      <c r="M134" s="1">
        <f>L134/1.08</f>
        <v>33216753.010250647</v>
      </c>
    </row>
    <row r="135" spans="1:13" x14ac:dyDescent="0.2">
      <c r="A135" s="152" t="s">
        <v>298</v>
      </c>
    </row>
    <row r="136" spans="1:13" x14ac:dyDescent="0.2">
      <c r="A136" s="159" t="s">
        <v>299</v>
      </c>
      <c r="B136" s="79"/>
      <c r="C136" s="91"/>
      <c r="D136" s="160">
        <f>1/POWER((1+_TauxDActualisation_Select),0)</f>
        <v>1</v>
      </c>
      <c r="E136" s="160">
        <f>1/POWER((1+_TauxDActualisation_Select),1)</f>
        <v>0.92592592592592582</v>
      </c>
      <c r="F136" s="160">
        <f>1/POWER((1+_TauxDActualisation_Select),2)</f>
        <v>0.85733882030178321</v>
      </c>
      <c r="G136" s="160">
        <f>1/POWER((1+_TauxDActualisation_Select),3)</f>
        <v>0.79383224102016958</v>
      </c>
      <c r="H136" s="161">
        <f>1/POWER((1+_TauxDActualisation_Select),4)</f>
        <v>0.73502985279645328</v>
      </c>
    </row>
    <row r="138" spans="1:13" x14ac:dyDescent="0.2">
      <c r="A138" s="89" t="s">
        <v>290</v>
      </c>
      <c r="L138" s="212">
        <v>43101</v>
      </c>
    </row>
    <row r="139" spans="1:13" x14ac:dyDescent="0.2">
      <c r="A139" s="17" t="s">
        <v>291</v>
      </c>
      <c r="I139" s="6" t="s">
        <v>302</v>
      </c>
    </row>
    <row r="140" spans="1:13" x14ac:dyDescent="0.2">
      <c r="A140" s="115" t="s">
        <v>54</v>
      </c>
      <c r="B140" s="97" t="s">
        <v>251</v>
      </c>
      <c r="C140" s="116"/>
      <c r="D140" s="117">
        <f>D$85</f>
        <v>1197120.1158807459</v>
      </c>
      <c r="E140" s="117">
        <f t="shared" ref="E140:H140" si="70">E$85</f>
        <v>1197120.1158807459</v>
      </c>
      <c r="F140" s="117">
        <f t="shared" si="70"/>
        <v>1197120.1158807459</v>
      </c>
      <c r="G140" s="117">
        <f t="shared" si="70"/>
        <v>1197120.1158807459</v>
      </c>
      <c r="H140" s="117">
        <f t="shared" si="70"/>
        <v>1197120.1158807459</v>
      </c>
      <c r="I140" s="162">
        <f>NPV(_TauxDActualisation_Select,D140:H140)</f>
        <v>4779753.502265133</v>
      </c>
      <c r="K140" s="182">
        <f>(D140/(1.08))+(D140/(1.08*2))+(D140/(1.08*3))+(D140/(1.08*4))+(D140/(1.08*5))</f>
        <v>2530948.3931429344</v>
      </c>
    </row>
    <row r="141" spans="1:13" x14ac:dyDescent="0.2">
      <c r="A141" s="101" t="s">
        <v>288</v>
      </c>
      <c r="B141" s="102" t="s">
        <v>251</v>
      </c>
      <c r="C141" s="119"/>
      <c r="D141" s="113">
        <f>D125</f>
        <v>7323873.6641718866</v>
      </c>
      <c r="E141" s="113">
        <f>E125</f>
        <v>7826396.1008755621</v>
      </c>
      <c r="F141" s="113">
        <f>F125</f>
        <v>8538302.8862057626</v>
      </c>
      <c r="G141" s="113">
        <f>G125</f>
        <v>9044315.0620532148</v>
      </c>
      <c r="H141" s="113">
        <f>H125</f>
        <v>9256316.7150375713</v>
      </c>
      <c r="I141" s="163">
        <f t="shared" ref="I141:I145" si="71">NPV(_TauxDActualisation_Select,D141:H141)</f>
        <v>33216753.010250647</v>
      </c>
    </row>
    <row r="142" spans="1:13" x14ac:dyDescent="0.2">
      <c r="A142" s="101" t="s">
        <v>59</v>
      </c>
      <c r="B142" s="102" t="s">
        <v>251</v>
      </c>
      <c r="C142" s="119"/>
      <c r="D142" s="113">
        <f>D$133</f>
        <v>1220645.6106953144</v>
      </c>
      <c r="E142" s="113">
        <f>E$133</f>
        <v>1304399.3501459272</v>
      </c>
      <c r="F142" s="113">
        <f t="shared" ref="F142:H142" si="72">F$133</f>
        <v>1423050.4810342938</v>
      </c>
      <c r="G142" s="113">
        <f t="shared" si="72"/>
        <v>1507385.8436755361</v>
      </c>
      <c r="H142" s="113">
        <f t="shared" si="72"/>
        <v>1542719.4525062621</v>
      </c>
      <c r="I142" s="163">
        <f t="shared" si="71"/>
        <v>5536125.5017084414</v>
      </c>
    </row>
    <row r="143" spans="1:13" x14ac:dyDescent="0.2">
      <c r="A143" s="101" t="s">
        <v>60</v>
      </c>
      <c r="B143" s="102" t="s">
        <v>251</v>
      </c>
      <c r="C143" s="119"/>
      <c r="D143" s="113">
        <f>D$90</f>
        <v>368516.45358269231</v>
      </c>
      <c r="E143" s="113">
        <f t="shared" ref="E143:H143" si="73">E$90</f>
        <v>368516.45358269231</v>
      </c>
      <c r="F143" s="113">
        <f t="shared" si="73"/>
        <v>368516.45358269231</v>
      </c>
      <c r="G143" s="113">
        <f t="shared" si="73"/>
        <v>368516.45358269231</v>
      </c>
      <c r="H143" s="113">
        <f t="shared" si="73"/>
        <v>368516.45358269231</v>
      </c>
      <c r="I143" s="163">
        <f t="shared" si="71"/>
        <v>1471379.3430480356</v>
      </c>
    </row>
    <row r="144" spans="1:13" x14ac:dyDescent="0.2">
      <c r="A144" s="101" t="s">
        <v>61</v>
      </c>
      <c r="B144" s="102" t="s">
        <v>251</v>
      </c>
      <c r="C144" s="119"/>
      <c r="D144" s="113">
        <f>D$77</f>
        <v>0</v>
      </c>
      <c r="E144" s="113">
        <f t="shared" ref="E144:H144" si="74">E$77</f>
        <v>0</v>
      </c>
      <c r="F144" s="113">
        <f t="shared" si="74"/>
        <v>0</v>
      </c>
      <c r="G144" s="113">
        <f t="shared" si="74"/>
        <v>0</v>
      </c>
      <c r="H144" s="113">
        <f t="shared" si="74"/>
        <v>0</v>
      </c>
      <c r="I144" s="163">
        <f t="shared" si="71"/>
        <v>0</v>
      </c>
    </row>
    <row r="145" spans="1:9" x14ac:dyDescent="0.2">
      <c r="A145" s="108" t="s">
        <v>267</v>
      </c>
      <c r="B145" s="109" t="s">
        <v>251</v>
      </c>
      <c r="C145" s="121"/>
      <c r="D145" s="122">
        <f>SUM(D140:D144)</f>
        <v>10110155.844330639</v>
      </c>
      <c r="E145" s="122">
        <f>SUM(E140:E144)</f>
        <v>10696432.020484928</v>
      </c>
      <c r="F145" s="122">
        <f>SUM(F140:F144)</f>
        <v>11526989.936703496</v>
      </c>
      <c r="G145" s="122">
        <f>SUM(G140:G144)</f>
        <v>12117337.475192189</v>
      </c>
      <c r="H145" s="122">
        <f>SUM(H140:H144)</f>
        <v>12364672.737007273</v>
      </c>
      <c r="I145" s="165">
        <f t="shared" si="71"/>
        <v>45004011.35727226</v>
      </c>
    </row>
    <row r="146" spans="1:9" x14ac:dyDescent="0.2">
      <c r="A146" s="147" t="s">
        <v>300</v>
      </c>
      <c r="I146" s="6" t="s">
        <v>303</v>
      </c>
    </row>
    <row r="147" spans="1:9" x14ac:dyDescent="0.2">
      <c r="A147" s="115" t="s">
        <v>54</v>
      </c>
      <c r="B147" s="97" t="s">
        <v>251</v>
      </c>
      <c r="C147" s="116"/>
      <c r="D147" s="117">
        <f t="shared" ref="D147:H148" si="75">D140*D$136</f>
        <v>1197120.1158807459</v>
      </c>
      <c r="E147" s="117">
        <f t="shared" si="75"/>
        <v>1108444.5517414312</v>
      </c>
      <c r="F147" s="117">
        <f t="shared" si="75"/>
        <v>1026337.5479087328</v>
      </c>
      <c r="G147" s="117">
        <f t="shared" si="75"/>
        <v>950312.54435993766</v>
      </c>
      <c r="H147" s="117">
        <f t="shared" si="75"/>
        <v>879919.02255549782</v>
      </c>
      <c r="I147" s="162">
        <f>SUM(D147:H147)</f>
        <v>5162133.7824463444</v>
      </c>
    </row>
    <row r="148" spans="1:9" x14ac:dyDescent="0.2">
      <c r="A148" s="101" t="s">
        <v>288</v>
      </c>
      <c r="B148" s="102" t="s">
        <v>251</v>
      </c>
      <c r="C148" s="119"/>
      <c r="D148" s="113">
        <f t="shared" si="75"/>
        <v>7323873.6641718866</v>
      </c>
      <c r="E148" s="113">
        <f t="shared" si="75"/>
        <v>7246663.0563662602</v>
      </c>
      <c r="F148" s="113">
        <f t="shared" si="75"/>
        <v>7320218.5238389596</v>
      </c>
      <c r="G148" s="113">
        <f t="shared" si="75"/>
        <v>7179668.8942021774</v>
      </c>
      <c r="H148" s="113">
        <f t="shared" si="75"/>
        <v>6803669.1124914158</v>
      </c>
      <c r="I148" s="163">
        <f t="shared" ref="I148:I152" si="76">SUM(D148:H148)</f>
        <v>35874093.251070701</v>
      </c>
    </row>
    <row r="149" spans="1:9" x14ac:dyDescent="0.2">
      <c r="A149" s="101" t="s">
        <v>59</v>
      </c>
      <c r="B149" s="102" t="s">
        <v>251</v>
      </c>
      <c r="C149" s="119"/>
      <c r="D149" s="113">
        <f t="shared" ref="D149:H149" si="77">D142*D$136</f>
        <v>1220645.6106953144</v>
      </c>
      <c r="E149" s="113">
        <f>E142*E$136</f>
        <v>1207777.1760610435</v>
      </c>
      <c r="F149" s="113">
        <f t="shared" si="77"/>
        <v>1220036.4206398265</v>
      </c>
      <c r="G149" s="113">
        <f t="shared" si="77"/>
        <v>1196611.4823670299</v>
      </c>
      <c r="H149" s="113">
        <f t="shared" si="77"/>
        <v>1133944.8520819028</v>
      </c>
      <c r="I149" s="163">
        <f t="shared" si="76"/>
        <v>5979015.5418451168</v>
      </c>
    </row>
    <row r="150" spans="1:9" x14ac:dyDescent="0.2">
      <c r="A150" s="101" t="s">
        <v>60</v>
      </c>
      <c r="B150" s="102" t="s">
        <v>251</v>
      </c>
      <c r="C150" s="119"/>
      <c r="D150" s="113">
        <f t="shared" ref="D150:H150" si="78">D143*D$136</f>
        <v>368516.45358269231</v>
      </c>
      <c r="E150" s="113">
        <f t="shared" si="78"/>
        <v>341218.93850249285</v>
      </c>
      <c r="F150" s="113">
        <f t="shared" si="78"/>
        <v>315943.46157638228</v>
      </c>
      <c r="G150" s="113">
        <f t="shared" si="78"/>
        <v>292540.24220035394</v>
      </c>
      <c r="H150" s="113">
        <f t="shared" si="78"/>
        <v>270870.59462995734</v>
      </c>
      <c r="I150" s="163">
        <f t="shared" si="76"/>
        <v>1589089.6904918787</v>
      </c>
    </row>
    <row r="151" spans="1:9" x14ac:dyDescent="0.2">
      <c r="A151" s="101" t="s">
        <v>61</v>
      </c>
      <c r="B151" s="102" t="s">
        <v>251</v>
      </c>
      <c r="C151" s="119"/>
      <c r="D151" s="113">
        <f t="shared" ref="D151:H151" si="79">D144*D$136</f>
        <v>0</v>
      </c>
      <c r="E151" s="113">
        <f t="shared" si="79"/>
        <v>0</v>
      </c>
      <c r="F151" s="113">
        <f t="shared" si="79"/>
        <v>0</v>
      </c>
      <c r="G151" s="113">
        <f t="shared" si="79"/>
        <v>0</v>
      </c>
      <c r="H151" s="113">
        <f t="shared" si="79"/>
        <v>0</v>
      </c>
      <c r="I151" s="163">
        <f t="shared" si="76"/>
        <v>0</v>
      </c>
    </row>
    <row r="152" spans="1:9" x14ac:dyDescent="0.2">
      <c r="A152" s="108" t="s">
        <v>267</v>
      </c>
      <c r="B152" s="109" t="s">
        <v>251</v>
      </c>
      <c r="C152" s="121"/>
      <c r="D152" s="122">
        <f>SUM(D147:D151)</f>
        <v>10110155.844330639</v>
      </c>
      <c r="E152" s="122">
        <f t="shared" ref="E152" si="80">SUM(E147:E151)</f>
        <v>9904103.7226712275</v>
      </c>
      <c r="F152" s="122">
        <f t="shared" ref="F152" si="81">SUM(F147:F151)</f>
        <v>9882535.9539639</v>
      </c>
      <c r="G152" s="122">
        <f t="shared" ref="G152" si="82">SUM(G147:G151)</f>
        <v>9619133.1631294992</v>
      </c>
      <c r="H152" s="122">
        <f t="shared" ref="H152" si="83">SUM(H147:H151)</f>
        <v>9088403.5817587748</v>
      </c>
      <c r="I152" s="165">
        <f t="shared" si="76"/>
        <v>48604332.265854038</v>
      </c>
    </row>
    <row r="154" spans="1:9" x14ac:dyDescent="0.2">
      <c r="A154" s="152" t="s">
        <v>304</v>
      </c>
    </row>
    <row r="155" spans="1:9" x14ac:dyDescent="0.2">
      <c r="A155" s="17" t="s">
        <v>291</v>
      </c>
    </row>
    <row r="156" spans="1:9" x14ac:dyDescent="0.2">
      <c r="A156" s="115" t="s">
        <v>54</v>
      </c>
      <c r="B156" s="97" t="s">
        <v>305</v>
      </c>
      <c r="C156" s="116"/>
      <c r="D156" s="166">
        <f t="shared" ref="D156:I161" si="84">D140/D$171</f>
        <v>3.3924050632911443E-2</v>
      </c>
      <c r="E156" s="166">
        <f t="shared" si="84"/>
        <v>3.3924050632911443E-2</v>
      </c>
      <c r="F156" s="166">
        <f t="shared" si="84"/>
        <v>3.3924050632911443E-2</v>
      </c>
      <c r="G156" s="166">
        <f t="shared" si="84"/>
        <v>3.3924050632911443E-2</v>
      </c>
      <c r="H156" s="166">
        <f t="shared" si="84"/>
        <v>3.3924050632911443E-2</v>
      </c>
      <c r="I156" s="168">
        <f t="shared" si="84"/>
        <v>3.3924050632911429E-2</v>
      </c>
    </row>
    <row r="157" spans="1:9" x14ac:dyDescent="0.2">
      <c r="A157" s="101" t="s">
        <v>288</v>
      </c>
      <c r="B157" s="102" t="s">
        <v>305</v>
      </c>
      <c r="C157" s="119"/>
      <c r="D157" s="167">
        <f t="shared" si="84"/>
        <v>0.2075443037974681</v>
      </c>
      <c r="E157" s="167">
        <f t="shared" si="84"/>
        <v>0.22178481012658216</v>
      </c>
      <c r="F157" s="167">
        <f t="shared" si="84"/>
        <v>0.24195886075949355</v>
      </c>
      <c r="G157" s="167">
        <f t="shared" si="84"/>
        <v>0.25629825949367097</v>
      </c>
      <c r="H157" s="167">
        <f t="shared" si="84"/>
        <v>0.26230597310126574</v>
      </c>
      <c r="I157" s="169">
        <f>I141/I$171</f>
        <v>0.23575416816926678</v>
      </c>
    </row>
    <row r="158" spans="1:9" x14ac:dyDescent="0.2">
      <c r="A158" s="101" t="s">
        <v>59</v>
      </c>
      <c r="B158" s="102" t="s">
        <v>305</v>
      </c>
      <c r="C158" s="119"/>
      <c r="D158" s="167">
        <f t="shared" si="84"/>
        <v>3.4590717299578015E-2</v>
      </c>
      <c r="E158" s="167">
        <f t="shared" si="84"/>
        <v>3.6964135021097029E-2</v>
      </c>
      <c r="F158" s="167">
        <f t="shared" si="84"/>
        <v>4.0326476793248925E-2</v>
      </c>
      <c r="G158" s="167">
        <f t="shared" si="84"/>
        <v>4.2716376582278504E-2</v>
      </c>
      <c r="H158" s="167">
        <f t="shared" si="84"/>
        <v>4.3717662183544302E-2</v>
      </c>
      <c r="I158" s="169">
        <f t="shared" si="84"/>
        <v>3.9292361361544466E-2</v>
      </c>
    </row>
    <row r="159" spans="1:9" x14ac:dyDescent="0.2">
      <c r="A159" s="101" t="s">
        <v>60</v>
      </c>
      <c r="B159" s="102" t="s">
        <v>305</v>
      </c>
      <c r="C159" s="119"/>
      <c r="D159" s="167">
        <f t="shared" si="84"/>
        <v>1.044303797468356E-2</v>
      </c>
      <c r="E159" s="167">
        <f t="shared" si="84"/>
        <v>1.044303797468356E-2</v>
      </c>
      <c r="F159" s="167">
        <f t="shared" si="84"/>
        <v>1.044303797468356E-2</v>
      </c>
      <c r="G159" s="167">
        <f t="shared" si="84"/>
        <v>1.044303797468356E-2</v>
      </c>
      <c r="H159" s="167">
        <f t="shared" si="84"/>
        <v>1.044303797468356E-2</v>
      </c>
      <c r="I159" s="169">
        <f t="shared" si="84"/>
        <v>1.0443037974683557E-2</v>
      </c>
    </row>
    <row r="160" spans="1:9" x14ac:dyDescent="0.2">
      <c r="A160" s="101" t="s">
        <v>61</v>
      </c>
      <c r="B160" s="102" t="s">
        <v>305</v>
      </c>
      <c r="C160" s="119"/>
      <c r="D160" s="167">
        <f t="shared" si="84"/>
        <v>0</v>
      </c>
      <c r="E160" s="167">
        <f t="shared" si="84"/>
        <v>0</v>
      </c>
      <c r="F160" s="167">
        <f t="shared" si="84"/>
        <v>0</v>
      </c>
      <c r="G160" s="167">
        <f t="shared" si="84"/>
        <v>0</v>
      </c>
      <c r="H160" s="167">
        <f t="shared" si="84"/>
        <v>0</v>
      </c>
      <c r="I160" s="169">
        <f t="shared" si="84"/>
        <v>0</v>
      </c>
    </row>
    <row r="161" spans="1:10" x14ac:dyDescent="0.2">
      <c r="A161" s="108" t="s">
        <v>267</v>
      </c>
      <c r="B161" s="109" t="s">
        <v>305</v>
      </c>
      <c r="C161" s="121"/>
      <c r="D161" s="170">
        <f t="shared" si="84"/>
        <v>0.28650210970464107</v>
      </c>
      <c r="E161" s="170">
        <f t="shared" si="84"/>
        <v>0.30311603375527418</v>
      </c>
      <c r="F161" s="170">
        <f t="shared" si="84"/>
        <v>0.32665242616033752</v>
      </c>
      <c r="G161" s="170">
        <f t="shared" si="84"/>
        <v>0.34338172468354444</v>
      </c>
      <c r="H161" s="170">
        <f t="shared" si="84"/>
        <v>0.35039072389240511</v>
      </c>
      <c r="I161" s="171">
        <f t="shared" si="84"/>
        <v>0.31941361813840624</v>
      </c>
    </row>
    <row r="162" spans="1:10" x14ac:dyDescent="0.2">
      <c r="A162" s="147" t="s">
        <v>300</v>
      </c>
    </row>
    <row r="163" spans="1:10" x14ac:dyDescent="0.2">
      <c r="A163" s="115" t="s">
        <v>54</v>
      </c>
      <c r="B163" s="97" t="s">
        <v>305</v>
      </c>
      <c r="C163" s="116"/>
      <c r="D163" s="166">
        <f t="shared" ref="D163:I168" si="85">D147/D$172</f>
        <v>3.3924050632911443E-2</v>
      </c>
      <c r="E163" s="166">
        <f t="shared" si="85"/>
        <v>3.3924050632911443E-2</v>
      </c>
      <c r="F163" s="166">
        <f t="shared" si="85"/>
        <v>3.3924050632911443E-2</v>
      </c>
      <c r="G163" s="166">
        <f t="shared" si="85"/>
        <v>3.3924050632911443E-2</v>
      </c>
      <c r="H163" s="166">
        <f t="shared" si="85"/>
        <v>3.3924050632911443E-2</v>
      </c>
      <c r="I163" s="168">
        <f t="shared" si="85"/>
        <v>3.3924050632911436E-2</v>
      </c>
    </row>
    <row r="164" spans="1:10" x14ac:dyDescent="0.2">
      <c r="A164" s="101" t="s">
        <v>288</v>
      </c>
      <c r="B164" s="102" t="s">
        <v>305</v>
      </c>
      <c r="C164" s="119"/>
      <c r="D164" s="167">
        <f t="shared" si="85"/>
        <v>0.2075443037974681</v>
      </c>
      <c r="E164" s="167">
        <f t="shared" si="85"/>
        <v>0.22178481012658216</v>
      </c>
      <c r="F164" s="167">
        <f t="shared" si="85"/>
        <v>0.24195886075949358</v>
      </c>
      <c r="G164" s="167">
        <f t="shared" si="85"/>
        <v>0.25629825949367097</v>
      </c>
      <c r="H164" s="167">
        <f t="shared" si="85"/>
        <v>0.26230597310126574</v>
      </c>
      <c r="I164" s="169">
        <f t="shared" si="85"/>
        <v>0.23575416816926681</v>
      </c>
    </row>
    <row r="165" spans="1:10" x14ac:dyDescent="0.2">
      <c r="A165" s="101" t="s">
        <v>59</v>
      </c>
      <c r="B165" s="102" t="s">
        <v>305</v>
      </c>
      <c r="C165" s="119"/>
      <c r="D165" s="167">
        <f t="shared" si="85"/>
        <v>3.4590717299578015E-2</v>
      </c>
      <c r="E165" s="167">
        <f t="shared" si="85"/>
        <v>3.6964135021097029E-2</v>
      </c>
      <c r="F165" s="167">
        <f t="shared" si="85"/>
        <v>4.0326476793248925E-2</v>
      </c>
      <c r="G165" s="167">
        <f t="shared" si="85"/>
        <v>4.2716376582278504E-2</v>
      </c>
      <c r="H165" s="167">
        <f t="shared" si="85"/>
        <v>4.3717662183544295E-2</v>
      </c>
      <c r="I165" s="169">
        <f t="shared" si="85"/>
        <v>3.9292361361544466E-2</v>
      </c>
    </row>
    <row r="166" spans="1:10" x14ac:dyDescent="0.2">
      <c r="A166" s="101" t="s">
        <v>60</v>
      </c>
      <c r="B166" s="102" t="s">
        <v>305</v>
      </c>
      <c r="C166" s="119"/>
      <c r="D166" s="167">
        <f t="shared" si="85"/>
        <v>1.044303797468356E-2</v>
      </c>
      <c r="E166" s="167">
        <f t="shared" si="85"/>
        <v>1.044303797468356E-2</v>
      </c>
      <c r="F166" s="167">
        <f t="shared" si="85"/>
        <v>1.044303797468356E-2</v>
      </c>
      <c r="G166" s="167">
        <f t="shared" si="85"/>
        <v>1.044303797468356E-2</v>
      </c>
      <c r="H166" s="167">
        <f t="shared" si="85"/>
        <v>1.044303797468356E-2</v>
      </c>
      <c r="I166" s="169">
        <f t="shared" si="85"/>
        <v>1.0443037974683558E-2</v>
      </c>
    </row>
    <row r="167" spans="1:10" x14ac:dyDescent="0.2">
      <c r="A167" s="101" t="s">
        <v>61</v>
      </c>
      <c r="B167" s="102" t="s">
        <v>305</v>
      </c>
      <c r="C167" s="119"/>
      <c r="D167" s="167">
        <f t="shared" si="85"/>
        <v>0</v>
      </c>
      <c r="E167" s="167">
        <f t="shared" si="85"/>
        <v>0</v>
      </c>
      <c r="F167" s="167">
        <f t="shared" si="85"/>
        <v>0</v>
      </c>
      <c r="G167" s="167">
        <f t="shared" si="85"/>
        <v>0</v>
      </c>
      <c r="H167" s="167">
        <f t="shared" si="85"/>
        <v>0</v>
      </c>
      <c r="I167" s="169">
        <f t="shared" si="85"/>
        <v>0</v>
      </c>
    </row>
    <row r="168" spans="1:10" x14ac:dyDescent="0.2">
      <c r="A168" s="108" t="s">
        <v>267</v>
      </c>
      <c r="B168" s="109" t="s">
        <v>305</v>
      </c>
      <c r="C168" s="121"/>
      <c r="D168" s="170">
        <f t="shared" si="85"/>
        <v>0.28650210970464107</v>
      </c>
      <c r="E168" s="170">
        <f t="shared" si="85"/>
        <v>0.30311603375527418</v>
      </c>
      <c r="F168" s="170">
        <f t="shared" si="85"/>
        <v>0.32665242616033746</v>
      </c>
      <c r="G168" s="170">
        <f t="shared" si="85"/>
        <v>0.34338172468354444</v>
      </c>
      <c r="H168" s="170">
        <f t="shared" si="85"/>
        <v>0.35039072389240511</v>
      </c>
      <c r="I168" s="171">
        <f t="shared" si="85"/>
        <v>0.31941361813840624</v>
      </c>
    </row>
    <row r="170" spans="1:10" x14ac:dyDescent="0.2">
      <c r="A170" s="152" t="s">
        <v>301</v>
      </c>
      <c r="I170" s="6" t="s">
        <v>302</v>
      </c>
    </row>
    <row r="171" spans="1:10" x14ac:dyDescent="0.2">
      <c r="A171" s="96" t="s">
        <v>291</v>
      </c>
      <c r="B171" s="97" t="s">
        <v>251</v>
      </c>
      <c r="C171" s="177">
        <f>-(_CapitalSocial_Select+_DettesLT_Select+_DettesCT_Select+_DettesFournisseurs_Select)*_PIBPNB_Select</f>
        <v>-111671652.60081585</v>
      </c>
      <c r="D171" s="117">
        <f>D$93-D$94-D$95-D$97-D$98-D$99-D$100-D$101-D$102-D$104</f>
        <v>35288242.221857756</v>
      </c>
      <c r="E171" s="117">
        <f t="shared" ref="E171:G171" si="86">E$93-E$94-E$95-E$97-E$98-E$99-E$100-E$101-E$102-E$104</f>
        <v>35288242.221857756</v>
      </c>
      <c r="F171" s="117">
        <f t="shared" si="86"/>
        <v>35288242.221857756</v>
      </c>
      <c r="G171" s="117">
        <f t="shared" si="86"/>
        <v>35288242.221857756</v>
      </c>
      <c r="H171" s="117">
        <f>H$93-H$94-H$95-H$97-H$98-H$99-H$100-H$101-H$102-H$104</f>
        <v>35288242.221857756</v>
      </c>
      <c r="I171" s="162">
        <f>NPV(_TauxDActualisation_Select,D171:H171)</f>
        <v>140895718.91005415</v>
      </c>
      <c r="J171" s="182"/>
    </row>
    <row r="172" spans="1:10" x14ac:dyDescent="0.2">
      <c r="A172" s="149" t="s">
        <v>300</v>
      </c>
      <c r="B172" s="109" t="s">
        <v>251</v>
      </c>
      <c r="C172" s="178">
        <f>-(_CapitalSocial_Select+_DettesLT_Select+_DettesCT_Select+_DettesFournisseurs_Select)*_PIBPNB_Select</f>
        <v>-111671652.60081585</v>
      </c>
      <c r="D172" s="135">
        <f>D171*D$136</f>
        <v>35288242.221857756</v>
      </c>
      <c r="E172" s="135">
        <f>E171*E$136</f>
        <v>32674298.353571992</v>
      </c>
      <c r="F172" s="135">
        <f>F171*F$136</f>
        <v>30253979.957011107</v>
      </c>
      <c r="G172" s="135">
        <f>G171*G$136</f>
        <v>28012944.404639911</v>
      </c>
      <c r="H172" s="135">
        <f>H171*H$136</f>
        <v>25937911.485777695</v>
      </c>
      <c r="I172" s="164">
        <f t="shared" ref="I172" si="87">SUM(D172:H172)</f>
        <v>152167376.42285848</v>
      </c>
    </row>
    <row r="173" spans="1:10" x14ac:dyDescent="0.2">
      <c r="I173" s="6" t="s">
        <v>303</v>
      </c>
    </row>
    <row r="174" spans="1:10" x14ac:dyDescent="0.2">
      <c r="A174" s="152" t="s">
        <v>314</v>
      </c>
      <c r="I174" s="6" t="s">
        <v>302</v>
      </c>
    </row>
    <row r="175" spans="1:10" x14ac:dyDescent="0.2">
      <c r="A175" s="96" t="s">
        <v>291</v>
      </c>
      <c r="B175" s="97" t="s">
        <v>251</v>
      </c>
      <c r="C175" s="127">
        <f>-(_CapitalSocial_Select+_DettesLT_Select+_DettesCT_Select+_DettesFournisseurs_Select)*_PIBPNB_Select</f>
        <v>-111671652.60081585</v>
      </c>
      <c r="D175" s="117">
        <f>D$171-D141</f>
        <v>27964368.557685871</v>
      </c>
      <c r="E175" s="117">
        <f t="shared" ref="E175:H175" si="88">E$171-E141</f>
        <v>27461846.120982192</v>
      </c>
      <c r="F175" s="117">
        <f t="shared" si="88"/>
        <v>26749939.335651994</v>
      </c>
      <c r="G175" s="117">
        <f t="shared" si="88"/>
        <v>26243927.159804542</v>
      </c>
      <c r="H175" s="117">
        <f t="shared" si="88"/>
        <v>26031925.506820187</v>
      </c>
      <c r="I175" s="162">
        <f>NPV(_TauxDActualisation_Select,C175:H175)</f>
        <v>-3696932.1305670151</v>
      </c>
    </row>
    <row r="176" spans="1:10" x14ac:dyDescent="0.2">
      <c r="A176" s="149" t="s">
        <v>300</v>
      </c>
      <c r="B176" s="109" t="s">
        <v>251</v>
      </c>
      <c r="C176" s="176">
        <f>-(_CapitalSocial_Select+_DettesLT_Select+_DettesCT_Select+_DettesFournisseurs_Select)*_PIBPNB_Select</f>
        <v>-111671652.60081585</v>
      </c>
      <c r="D176" s="135">
        <f>D$172-D148</f>
        <v>27964368.557685871</v>
      </c>
      <c r="E176" s="135">
        <f t="shared" ref="E176:H176" si="89">E$172-E148</f>
        <v>25427635.297205731</v>
      </c>
      <c r="F176" s="135">
        <f t="shared" si="89"/>
        <v>22933761.433172148</v>
      </c>
      <c r="G176" s="135">
        <f t="shared" si="89"/>
        <v>20833275.510437734</v>
      </c>
      <c r="H176" s="135">
        <f t="shared" si="89"/>
        <v>19134242.373286277</v>
      </c>
      <c r="I176" s="164">
        <f>SUM(C176:H176)</f>
        <v>4621630.5709719136</v>
      </c>
    </row>
    <row r="177" spans="1:9" x14ac:dyDescent="0.2">
      <c r="I177" s="6" t="s">
        <v>303</v>
      </c>
    </row>
    <row r="178" spans="1:9" x14ac:dyDescent="0.2">
      <c r="A178" s="152" t="s">
        <v>309</v>
      </c>
      <c r="I178" s="6" t="s">
        <v>302</v>
      </c>
    </row>
    <row r="179" spans="1:9" x14ac:dyDescent="0.2">
      <c r="A179" s="96" t="s">
        <v>291</v>
      </c>
      <c r="B179" s="97" t="s">
        <v>251</v>
      </c>
      <c r="C179" s="127">
        <f>-(_CapitalSocial_Select+_DettesLT_Select+_DettesCT_Select+_DettesFournisseurs_Select)*_PIBPNB_Select</f>
        <v>-111671652.60081585</v>
      </c>
      <c r="D179" s="117">
        <f>D$171-D$145</f>
        <v>25178086.377527118</v>
      </c>
      <c r="E179" s="117">
        <f>E$171-E$145</f>
        <v>24591810.201372828</v>
      </c>
      <c r="F179" s="117">
        <f>F$171-F$145</f>
        <v>23761252.285154261</v>
      </c>
      <c r="G179" s="117">
        <f>G$171-G$145</f>
        <v>23170904.746665567</v>
      </c>
      <c r="H179" s="117">
        <f>H$171-H$145</f>
        <v>22923569.484850481</v>
      </c>
      <c r="I179" s="162">
        <f>NPV(_TauxDActualisation_Select,C179:H179)</f>
        <v>-14611060.229661105</v>
      </c>
    </row>
    <row r="180" spans="1:9" x14ac:dyDescent="0.2">
      <c r="A180" s="149" t="s">
        <v>300</v>
      </c>
      <c r="B180" s="109" t="s">
        <v>251</v>
      </c>
      <c r="C180" s="176">
        <f>-(_CapitalSocial_Select+_DettesLT_Select+_DettesCT_Select+_DettesFournisseurs_Select)*_PIBPNB_Select</f>
        <v>-111671652.60081585</v>
      </c>
      <c r="D180" s="135">
        <f>D$172-D$152</f>
        <v>25178086.377527118</v>
      </c>
      <c r="E180" s="135">
        <f>E$172-E$152</f>
        <v>22770194.630900763</v>
      </c>
      <c r="F180" s="135">
        <f>F$172-F$152</f>
        <v>20371444.003047206</v>
      </c>
      <c r="G180" s="135">
        <f>G$172-G$152</f>
        <v>18393811.241510414</v>
      </c>
      <c r="H180" s="135">
        <f>H$172-H$152</f>
        <v>16849507.90401892</v>
      </c>
      <c r="I180" s="164">
        <f>SUM(C180:H180)</f>
        <v>-8108608.4438114278</v>
      </c>
    </row>
    <row r="181" spans="1:9" x14ac:dyDescent="0.2">
      <c r="I181" s="6" t="s">
        <v>303</v>
      </c>
    </row>
    <row r="182" spans="1:9" x14ac:dyDescent="0.2">
      <c r="A182" s="152" t="s">
        <v>310</v>
      </c>
    </row>
    <row r="183" spans="1:9" x14ac:dyDescent="0.2">
      <c r="A183" s="159" t="s">
        <v>291</v>
      </c>
      <c r="B183" s="79" t="s">
        <v>264</v>
      </c>
      <c r="C183" s="181"/>
      <c r="D183" s="179">
        <f>MAX(0,IRR($C171:D171))</f>
        <v>0</v>
      </c>
      <c r="E183" s="179">
        <f>MAX(0,IRR($C171:E171))</f>
        <v>0</v>
      </c>
      <c r="F183" s="179">
        <f>MAX(0,IRR($C171:F171))</f>
        <v>0</v>
      </c>
      <c r="G183" s="179">
        <f>MAX(0,IRR($C171:G171))</f>
        <v>0.10077469154361873</v>
      </c>
      <c r="H183" s="180">
        <f>MAX(0,IRR($C171:H171))</f>
        <v>0.17477335350611312</v>
      </c>
    </row>
    <row r="185" spans="1:9" x14ac:dyDescent="0.2">
      <c r="A185" s="152" t="s">
        <v>315</v>
      </c>
    </row>
    <row r="186" spans="1:9" x14ac:dyDescent="0.2">
      <c r="A186" s="159" t="s">
        <v>291</v>
      </c>
      <c r="B186" s="79" t="s">
        <v>264</v>
      </c>
      <c r="C186" s="181"/>
      <c r="D186" s="179">
        <f>MAX(0,IRR($C175:D175))</f>
        <v>0</v>
      </c>
      <c r="E186" s="179">
        <f>MAX(0,IRR($C175:E175))</f>
        <v>0</v>
      </c>
      <c r="F186" s="179">
        <f>MAX(0,IRR($C175:F175))</f>
        <v>0</v>
      </c>
      <c r="G186" s="179">
        <f>MAX(0,IRR($C175:G175))</f>
        <v>0</v>
      </c>
      <c r="H186" s="180">
        <f>MAX(0,IRR($C175:H175))</f>
        <v>6.6152872107589467E-2</v>
      </c>
    </row>
    <row r="188" spans="1:9" x14ac:dyDescent="0.2">
      <c r="A188" s="152" t="s">
        <v>311</v>
      </c>
    </row>
    <row r="189" spans="1:9" x14ac:dyDescent="0.2">
      <c r="A189" s="159" t="s">
        <v>291</v>
      </c>
      <c r="B189" s="79" t="s">
        <v>264</v>
      </c>
      <c r="C189" s="181"/>
      <c r="D189" s="179">
        <f>MAX(0,IRR($C179:D179))</f>
        <v>0</v>
      </c>
      <c r="E189" s="179">
        <f>MAX(0,IRR($C179:E179))</f>
        <v>0</v>
      </c>
      <c r="F189" s="179">
        <f>MAX(0,IRR($C179:F179))</f>
        <v>0</v>
      </c>
      <c r="G189" s="179">
        <f>MAX(0,IRR($C179:G179))</f>
        <v>0</v>
      </c>
      <c r="H189" s="180">
        <f>MAX(0,IRR($C179:H179))</f>
        <v>2.3786203374374537E-2</v>
      </c>
    </row>
    <row r="191" spans="1:9" x14ac:dyDescent="0.2">
      <c r="A191" s="152" t="s">
        <v>313</v>
      </c>
    </row>
    <row r="192" spans="1:9" x14ac:dyDescent="0.2">
      <c r="A192" s="159" t="s">
        <v>291</v>
      </c>
      <c r="B192" s="79" t="s">
        <v>264</v>
      </c>
      <c r="C192" s="181"/>
      <c r="D192" s="179">
        <f>IF(D$183&gt;0,(D$183-D186)/D$183,0)</f>
        <v>0</v>
      </c>
      <c r="E192" s="179">
        <f t="shared" ref="E192:H192" si="90">IF(E$183&gt;0,(E$183-E186)/E$183,0)</f>
        <v>0</v>
      </c>
      <c r="F192" s="179">
        <f t="shared" si="90"/>
        <v>0</v>
      </c>
      <c r="G192" s="179">
        <f t="shared" si="90"/>
        <v>1</v>
      </c>
      <c r="H192" s="180">
        <f t="shared" si="90"/>
        <v>0.62149337538873961</v>
      </c>
    </row>
    <row r="194" spans="1:8" x14ac:dyDescent="0.2">
      <c r="A194" s="152" t="s">
        <v>312</v>
      </c>
    </row>
    <row r="195" spans="1:8" x14ac:dyDescent="0.2">
      <c r="A195" s="159" t="s">
        <v>291</v>
      </c>
      <c r="B195" s="79" t="s">
        <v>264</v>
      </c>
      <c r="C195" s="181"/>
      <c r="D195" s="179">
        <f>IF(D$183&gt;0,(D$183-D189)/D$183,0)</f>
        <v>0</v>
      </c>
      <c r="E195" s="179">
        <f t="shared" ref="E195:G195" si="91">IF(E$183&gt;0,(E$183-E189)/E$183,0)</f>
        <v>0</v>
      </c>
      <c r="F195" s="179">
        <f t="shared" si="91"/>
        <v>0</v>
      </c>
      <c r="G195" s="179">
        <f t="shared" si="91"/>
        <v>1</v>
      </c>
      <c r="H195" s="180">
        <f>IF(H$183&gt;0,(H$183-H189)/H$183,0)</f>
        <v>0.86390257497952883</v>
      </c>
    </row>
  </sheetData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5"/>
  <sheetViews>
    <sheetView zoomScaleNormal="100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C1" sqref="C1"/>
    </sheetView>
  </sheetViews>
  <sheetFormatPr baseColWidth="10" defaultColWidth="10.83203125" defaultRowHeight="12.75" x14ac:dyDescent="0.2"/>
  <cols>
    <col min="1" max="16384" width="10.83203125" style="1"/>
  </cols>
  <sheetData>
    <row r="1" spans="1:16" x14ac:dyDescent="0.2">
      <c r="A1" s="1" t="s">
        <v>50</v>
      </c>
      <c r="B1" s="1" t="s">
        <v>322</v>
      </c>
      <c r="C1" s="1" t="s">
        <v>89</v>
      </c>
      <c r="D1" s="1" t="s">
        <v>53</v>
      </c>
      <c r="E1" s="6" t="s">
        <v>0</v>
      </c>
      <c r="F1" s="6" t="s">
        <v>2</v>
      </c>
      <c r="G1" s="6" t="s">
        <v>4</v>
      </c>
      <c r="H1" s="6" t="s">
        <v>19</v>
      </c>
      <c r="I1" s="6" t="s">
        <v>6</v>
      </c>
      <c r="J1" s="6" t="s">
        <v>7</v>
      </c>
      <c r="K1" s="6" t="s">
        <v>9</v>
      </c>
      <c r="L1" s="6" t="s">
        <v>15</v>
      </c>
      <c r="M1" s="6" t="s">
        <v>17</v>
      </c>
      <c r="N1" s="6" t="s">
        <v>21</v>
      </c>
      <c r="O1" s="6" t="s">
        <v>23</v>
      </c>
      <c r="P1" s="6" t="s">
        <v>25</v>
      </c>
    </row>
    <row r="2" spans="1:16" x14ac:dyDescent="0.2">
      <c r="A2" s="186" t="s">
        <v>42</v>
      </c>
      <c r="B2" s="186"/>
      <c r="C2" s="186" t="s">
        <v>321</v>
      </c>
      <c r="D2" s="186" t="s">
        <v>54</v>
      </c>
      <c r="E2" s="187">
        <v>0.04</v>
      </c>
      <c r="F2" s="187">
        <v>0.03</v>
      </c>
      <c r="G2" s="187">
        <v>2.5000000000000001E-2</v>
      </c>
      <c r="H2" s="187">
        <v>0</v>
      </c>
      <c r="I2" s="187">
        <v>7.4999999999999997E-2</v>
      </c>
      <c r="J2" s="187">
        <v>2.8000000000000001E-2</v>
      </c>
      <c r="K2" s="187">
        <v>0.05</v>
      </c>
      <c r="L2" s="187">
        <v>7.4999999999999997E-2</v>
      </c>
      <c r="M2" s="187">
        <v>0.03</v>
      </c>
      <c r="N2" s="187">
        <v>0.03</v>
      </c>
      <c r="O2" s="187">
        <v>8.6999999999999994E-2</v>
      </c>
      <c r="P2" s="187">
        <v>0.03</v>
      </c>
    </row>
    <row r="3" spans="1:16" x14ac:dyDescent="0.2">
      <c r="A3" s="186" t="s">
        <v>42</v>
      </c>
      <c r="B3" s="186"/>
      <c r="C3" s="186" t="s">
        <v>321</v>
      </c>
      <c r="D3" s="186" t="s">
        <v>57</v>
      </c>
      <c r="E3" s="187">
        <v>0.3</v>
      </c>
      <c r="F3" s="187">
        <v>0.27500000000000002</v>
      </c>
      <c r="G3" s="187">
        <v>0.33</v>
      </c>
      <c r="H3" s="187">
        <v>0.3</v>
      </c>
      <c r="I3" s="187">
        <v>0.3</v>
      </c>
      <c r="J3" s="187">
        <v>0.25</v>
      </c>
      <c r="K3" s="187">
        <v>0.3</v>
      </c>
      <c r="L3" s="187">
        <v>0.3</v>
      </c>
      <c r="M3" s="187">
        <v>0.3</v>
      </c>
      <c r="N3" s="187">
        <v>0.3</v>
      </c>
      <c r="O3" s="187">
        <v>0.35</v>
      </c>
      <c r="P3" s="187">
        <v>0.28999999999999998</v>
      </c>
    </row>
    <row r="4" spans="1:16" x14ac:dyDescent="0.2">
      <c r="A4" s="186" t="s">
        <v>42</v>
      </c>
      <c r="B4" s="186"/>
      <c r="C4" s="186" t="s">
        <v>321</v>
      </c>
      <c r="D4" s="186" t="s">
        <v>58</v>
      </c>
      <c r="E4" s="187">
        <v>7.4999999999999997E-3</v>
      </c>
      <c r="F4" s="187">
        <v>5.0000000000000001E-3</v>
      </c>
      <c r="G4" s="187">
        <v>2.1999999999999999E-2</v>
      </c>
      <c r="H4" s="187">
        <v>1.8499999999999999E-2</v>
      </c>
      <c r="I4" s="187">
        <v>0.01</v>
      </c>
      <c r="J4" s="187">
        <v>5.0000000000000001E-3</v>
      </c>
      <c r="K4" s="187">
        <v>0.01</v>
      </c>
      <c r="L4" s="187">
        <v>0.01</v>
      </c>
      <c r="M4" s="187">
        <v>1.4999999999999999E-2</v>
      </c>
      <c r="N4" s="187">
        <v>5.0000000000000001E-3</v>
      </c>
      <c r="O4" s="187">
        <v>1.4999999999999999E-2</v>
      </c>
      <c r="P4" s="187">
        <v>0.01</v>
      </c>
    </row>
    <row r="5" spans="1:16" x14ac:dyDescent="0.2">
      <c r="A5" s="186" t="s">
        <v>42</v>
      </c>
      <c r="B5" s="186"/>
      <c r="C5" s="186" t="s">
        <v>321</v>
      </c>
      <c r="D5" s="186" t="s">
        <v>59</v>
      </c>
      <c r="E5" s="187">
        <v>0.1</v>
      </c>
      <c r="F5" s="187">
        <v>0.125</v>
      </c>
      <c r="G5" s="187">
        <v>0.16500000000000001</v>
      </c>
      <c r="H5" s="187">
        <v>0.15</v>
      </c>
      <c r="I5" s="187">
        <v>0.15</v>
      </c>
      <c r="J5" s="187">
        <v>0.15</v>
      </c>
      <c r="K5" s="187">
        <v>0.2</v>
      </c>
      <c r="L5" s="187">
        <v>0.1</v>
      </c>
      <c r="M5" s="187">
        <v>0.1</v>
      </c>
      <c r="N5" s="187">
        <v>0.1</v>
      </c>
      <c r="O5" s="187">
        <v>0.2</v>
      </c>
      <c r="P5" s="187">
        <v>0.13</v>
      </c>
    </row>
    <row r="6" spans="1:16" x14ac:dyDescent="0.2">
      <c r="A6" s="186" t="s">
        <v>42</v>
      </c>
      <c r="B6" s="186"/>
      <c r="C6" s="186" t="s">
        <v>321</v>
      </c>
      <c r="D6" s="186" t="s">
        <v>60</v>
      </c>
      <c r="E6" s="187">
        <v>0.15</v>
      </c>
      <c r="F6" s="187">
        <v>0.25</v>
      </c>
      <c r="G6" s="187">
        <v>0.16500000000000001</v>
      </c>
      <c r="H6" s="187">
        <v>0.15</v>
      </c>
      <c r="I6" s="187">
        <v>0.15</v>
      </c>
      <c r="J6" s="187">
        <v>0.18</v>
      </c>
      <c r="K6" s="187">
        <v>0.2</v>
      </c>
      <c r="L6" s="187">
        <v>0.13</v>
      </c>
      <c r="M6" s="187">
        <v>0.2</v>
      </c>
      <c r="N6" s="187">
        <v>0.16</v>
      </c>
      <c r="O6" s="187">
        <v>0.2</v>
      </c>
      <c r="P6" s="187">
        <v>0.06</v>
      </c>
    </row>
    <row r="7" spans="1:16" x14ac:dyDescent="0.2">
      <c r="A7" s="186" t="s">
        <v>42</v>
      </c>
      <c r="B7" s="186"/>
      <c r="C7" s="186" t="s">
        <v>321</v>
      </c>
      <c r="D7" s="186" t="s">
        <v>61</v>
      </c>
      <c r="E7" s="187">
        <v>0.18</v>
      </c>
      <c r="F7" s="187">
        <v>0.18</v>
      </c>
      <c r="G7" s="187">
        <v>0.1925</v>
      </c>
      <c r="H7" s="187">
        <v>0.19</v>
      </c>
      <c r="I7" s="187">
        <v>0.189</v>
      </c>
      <c r="J7" s="187">
        <v>0.09</v>
      </c>
      <c r="K7" s="187">
        <v>0.18</v>
      </c>
      <c r="L7" s="187">
        <v>0.18</v>
      </c>
      <c r="M7" s="187">
        <v>0.19</v>
      </c>
      <c r="N7" s="187">
        <v>0.18</v>
      </c>
      <c r="O7" s="187">
        <v>0.18</v>
      </c>
      <c r="P7" s="187">
        <v>0.18</v>
      </c>
    </row>
    <row r="8" spans="1:16" x14ac:dyDescent="0.2">
      <c r="A8" s="2" t="s">
        <v>42</v>
      </c>
      <c r="B8" s="2" t="s">
        <v>306</v>
      </c>
      <c r="C8" s="2" t="s">
        <v>323</v>
      </c>
      <c r="D8" s="2" t="s">
        <v>54</v>
      </c>
      <c r="E8" s="11">
        <v>3.3924050632911387E-2</v>
      </c>
      <c r="F8" s="11">
        <v>2.5443037974683561E-2</v>
      </c>
      <c r="G8" s="11">
        <v>2.1202531645569605E-2</v>
      </c>
      <c r="H8" s="11">
        <v>0</v>
      </c>
      <c r="I8" s="11">
        <v>6.3607594936708867E-2</v>
      </c>
      <c r="J8" s="11">
        <v>2.3746835443037958E-2</v>
      </c>
      <c r="K8" s="11">
        <v>4.240506329113921E-2</v>
      </c>
      <c r="L8" s="11">
        <v>6.3607594936708867E-2</v>
      </c>
      <c r="M8" s="11">
        <v>2.5443037974683554E-2</v>
      </c>
      <c r="N8" s="11">
        <v>2.544303797468352E-2</v>
      </c>
      <c r="O8" s="11">
        <v>7.3784810126582348E-2</v>
      </c>
      <c r="P8" s="11">
        <v>2.5443037974683513E-2</v>
      </c>
    </row>
    <row r="9" spans="1:16" x14ac:dyDescent="0.2">
      <c r="A9" s="2" t="s">
        <v>42</v>
      </c>
      <c r="B9" s="2" t="s">
        <v>306</v>
      </c>
      <c r="C9" s="2" t="s">
        <v>323</v>
      </c>
      <c r="D9" s="2" t="s">
        <v>288</v>
      </c>
      <c r="E9" s="205">
        <v>0.20754430379746824</v>
      </c>
      <c r="F9" s="205">
        <v>0.19258122362869246</v>
      </c>
      <c r="G9" s="205">
        <v>0.29240506329113902</v>
      </c>
      <c r="H9" s="205">
        <v>0.25664556962025281</v>
      </c>
      <c r="I9" s="205">
        <v>0.23756329113924068</v>
      </c>
      <c r="J9" s="205">
        <v>0.14701687763713098</v>
      </c>
      <c r="K9" s="205">
        <v>0.24392405063291051</v>
      </c>
      <c r="L9" s="205">
        <v>0.19863924050632889</v>
      </c>
      <c r="M9" s="205">
        <v>0.2458481012658231</v>
      </c>
      <c r="N9" s="205">
        <v>0.21008860759493553</v>
      </c>
      <c r="O9" s="205">
        <v>0.27174915611814454</v>
      </c>
      <c r="P9" s="205">
        <v>0.203085654008439</v>
      </c>
    </row>
    <row r="10" spans="1:16" x14ac:dyDescent="0.2">
      <c r="A10" s="2" t="s">
        <v>42</v>
      </c>
      <c r="B10" s="2" t="s">
        <v>306</v>
      </c>
      <c r="C10" s="2" t="s">
        <v>323</v>
      </c>
      <c r="D10" s="2" t="s">
        <v>59</v>
      </c>
      <c r="E10" s="11">
        <v>3.4590717299578043E-2</v>
      </c>
      <c r="F10" s="11">
        <v>4.3768459915611922E-2</v>
      </c>
      <c r="G10" s="11">
        <v>6.8828322784810173E-2</v>
      </c>
      <c r="H10" s="11">
        <v>6.4161392405063203E-2</v>
      </c>
      <c r="I10" s="11">
        <v>5.9390822784810171E-2</v>
      </c>
      <c r="J10" s="11">
        <v>4.4105063291139286E-2</v>
      </c>
      <c r="K10" s="11">
        <v>8.1308016877636835E-2</v>
      </c>
      <c r="L10" s="11">
        <v>3.3106540084388153E-2</v>
      </c>
      <c r="M10" s="11">
        <v>4.097468354430385E-2</v>
      </c>
      <c r="N10" s="11">
        <v>3.5014767932489262E-2</v>
      </c>
      <c r="O10" s="11">
        <v>7.7642616033755579E-2</v>
      </c>
      <c r="P10" s="11">
        <v>4.5519198312236331E-2</v>
      </c>
    </row>
    <row r="11" spans="1:16" x14ac:dyDescent="0.2">
      <c r="A11" s="2" t="s">
        <v>42</v>
      </c>
      <c r="B11" s="2" t="s">
        <v>306</v>
      </c>
      <c r="C11" s="2" t="s">
        <v>323</v>
      </c>
      <c r="D11" s="2" t="s">
        <v>60</v>
      </c>
      <c r="E11" s="11">
        <v>1.0443037974683543E-2</v>
      </c>
      <c r="F11" s="11">
        <v>1.740506329113925E-2</v>
      </c>
      <c r="G11" s="11">
        <v>1.1487341772151889E-2</v>
      </c>
      <c r="H11" s="11">
        <v>1.0443037974683529E-2</v>
      </c>
      <c r="I11" s="11">
        <v>1.0443037974683541E-2</v>
      </c>
      <c r="J11" s="11">
        <v>1.2531645569620241E-2</v>
      </c>
      <c r="K11" s="11">
        <v>1.392405063291138E-2</v>
      </c>
      <c r="L11" s="11">
        <v>9.0506329113924072E-3</v>
      </c>
      <c r="M11" s="11">
        <v>1.3924050632911401E-2</v>
      </c>
      <c r="N11" s="11">
        <v>1.1139240506329105E-2</v>
      </c>
      <c r="O11" s="11">
        <v>1.3924050632911409E-2</v>
      </c>
      <c r="P11" s="11">
        <v>4.1772151898734127E-3</v>
      </c>
    </row>
    <row r="12" spans="1:16" x14ac:dyDescent="0.2">
      <c r="A12" s="2" t="s">
        <v>42</v>
      </c>
      <c r="B12" s="2" t="s">
        <v>306</v>
      </c>
      <c r="C12" s="2" t="s">
        <v>323</v>
      </c>
      <c r="D12" s="2" t="s">
        <v>61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</row>
    <row r="13" spans="1:16" x14ac:dyDescent="0.2">
      <c r="A13" s="3" t="s">
        <v>42</v>
      </c>
      <c r="B13" s="3" t="s">
        <v>306</v>
      </c>
      <c r="C13" s="3" t="s">
        <v>323</v>
      </c>
      <c r="D13" s="3" t="s">
        <v>267</v>
      </c>
      <c r="E13" s="184">
        <v>0.28650210970464124</v>
      </c>
      <c r="F13" s="184">
        <v>0.27919778481012719</v>
      </c>
      <c r="G13" s="184">
        <v>0.39392325949367069</v>
      </c>
      <c r="H13" s="184">
        <v>0.33124999999999954</v>
      </c>
      <c r="I13" s="184">
        <v>0.37100474683544327</v>
      </c>
      <c r="J13" s="184">
        <v>0.22740042194092847</v>
      </c>
      <c r="K13" s="184">
        <v>0.38156118143459788</v>
      </c>
      <c r="L13" s="184">
        <v>0.30440400843881832</v>
      </c>
      <c r="M13" s="184">
        <v>0.32618987341772193</v>
      </c>
      <c r="N13" s="184">
        <v>0.28168565400843737</v>
      </c>
      <c r="O13" s="184">
        <v>0.43710063291139389</v>
      </c>
      <c r="P13" s="184">
        <v>0.27822510548523222</v>
      </c>
    </row>
    <row r="14" spans="1:16" x14ac:dyDescent="0.2">
      <c r="A14" s="2" t="s">
        <v>42</v>
      </c>
      <c r="B14" s="2" t="s">
        <v>307</v>
      </c>
      <c r="C14" s="2" t="s">
        <v>323</v>
      </c>
      <c r="D14" s="2" t="s">
        <v>54</v>
      </c>
      <c r="E14" s="11">
        <v>3.3924050632911394E-2</v>
      </c>
      <c r="F14" s="11">
        <v>2.5443037974683558E-2</v>
      </c>
      <c r="G14" s="11">
        <v>2.1202531645569605E-2</v>
      </c>
      <c r="H14" s="11">
        <v>0</v>
      </c>
      <c r="I14" s="11">
        <v>6.3607594936708853E-2</v>
      </c>
      <c r="J14" s="11">
        <v>2.3746835443037954E-2</v>
      </c>
      <c r="K14" s="11">
        <v>4.2405063291139203E-2</v>
      </c>
      <c r="L14" s="11">
        <v>6.3607594936708881E-2</v>
      </c>
      <c r="M14" s="11">
        <v>2.5443037974683554E-2</v>
      </c>
      <c r="N14" s="11">
        <v>2.5443037974683516E-2</v>
      </c>
      <c r="O14" s="11">
        <v>7.3784810126582362E-2</v>
      </c>
      <c r="P14" s="11">
        <v>2.5443037974683516E-2</v>
      </c>
    </row>
    <row r="15" spans="1:16" x14ac:dyDescent="0.2">
      <c r="A15" s="2" t="s">
        <v>42</v>
      </c>
      <c r="B15" s="2" t="s">
        <v>307</v>
      </c>
      <c r="C15" s="2" t="s">
        <v>323</v>
      </c>
      <c r="D15" s="2" t="s">
        <v>288</v>
      </c>
      <c r="E15" s="205">
        <v>0.23575416816926686</v>
      </c>
      <c r="F15" s="205">
        <v>0.2184402659695078</v>
      </c>
      <c r="G15" s="205">
        <v>0.29240506329113897</v>
      </c>
      <c r="H15" s="205">
        <v>0.25969868206597535</v>
      </c>
      <c r="I15" s="205">
        <v>0.24061640358496295</v>
      </c>
      <c r="J15" s="205">
        <v>0.1891095918833556</v>
      </c>
      <c r="K15" s="205">
        <v>0.24697716307863307</v>
      </c>
      <c r="L15" s="205">
        <v>0.22684910487812726</v>
      </c>
      <c r="M15" s="205">
        <v>0.2519107410891383</v>
      </c>
      <c r="N15" s="205">
        <v>0.23829847196673409</v>
      </c>
      <c r="O15" s="205">
        <v>0.2769851180980879</v>
      </c>
      <c r="P15" s="205">
        <v>0.23035518956784398</v>
      </c>
    </row>
    <row r="16" spans="1:16" x14ac:dyDescent="0.2">
      <c r="A16" s="2" t="s">
        <v>42</v>
      </c>
      <c r="B16" s="2" t="s">
        <v>307</v>
      </c>
      <c r="C16" s="2" t="s">
        <v>323</v>
      </c>
      <c r="D16" s="2" t="s">
        <v>59</v>
      </c>
      <c r="E16" s="11">
        <v>3.9292361361544473E-2</v>
      </c>
      <c r="F16" s="11">
        <v>4.9645514993069947E-2</v>
      </c>
      <c r="G16" s="11">
        <v>6.9667928707383836E-2</v>
      </c>
      <c r="H16" s="11">
        <v>6.4924670516493838E-2</v>
      </c>
      <c r="I16" s="11">
        <v>6.0154100896240736E-2</v>
      </c>
      <c r="J16" s="11">
        <v>5.6732877565006674E-2</v>
      </c>
      <c r="K16" s="11">
        <v>8.2325721026211024E-2</v>
      </c>
      <c r="L16" s="11">
        <v>3.7808184146354548E-2</v>
      </c>
      <c r="M16" s="11">
        <v>4.1985123514856393E-2</v>
      </c>
      <c r="N16" s="11">
        <v>3.9716411994455678E-2</v>
      </c>
      <c r="O16" s="11">
        <v>7.9138605170882254E-2</v>
      </c>
      <c r="P16" s="11">
        <v>5.1631335592792628E-2</v>
      </c>
    </row>
    <row r="17" spans="1:16" x14ac:dyDescent="0.2">
      <c r="A17" s="2" t="s">
        <v>42</v>
      </c>
      <c r="B17" s="2" t="s">
        <v>307</v>
      </c>
      <c r="C17" s="2" t="s">
        <v>323</v>
      </c>
      <c r="D17" s="2" t="s">
        <v>60</v>
      </c>
      <c r="E17" s="11">
        <v>1.0443037974683541E-2</v>
      </c>
      <c r="F17" s="11">
        <v>1.7405063291139247E-2</v>
      </c>
      <c r="G17" s="11">
        <v>1.1487341772151889E-2</v>
      </c>
      <c r="H17" s="11">
        <v>1.0443037974683531E-2</v>
      </c>
      <c r="I17" s="11">
        <v>1.0443037974683539E-2</v>
      </c>
      <c r="J17" s="11">
        <v>1.2531645569620239E-2</v>
      </c>
      <c r="K17" s="11">
        <v>1.3924050632911376E-2</v>
      </c>
      <c r="L17" s="11">
        <v>9.0506329113924072E-3</v>
      </c>
      <c r="M17" s="11">
        <v>1.3924050632911404E-2</v>
      </c>
      <c r="N17" s="11">
        <v>1.1139240506329104E-2</v>
      </c>
      <c r="O17" s="11">
        <v>1.3924050632911409E-2</v>
      </c>
      <c r="P17" s="11">
        <v>4.1772151898734136E-3</v>
      </c>
    </row>
    <row r="18" spans="1:16" x14ac:dyDescent="0.2">
      <c r="A18" s="2" t="s">
        <v>42</v>
      </c>
      <c r="B18" s="2" t="s">
        <v>307</v>
      </c>
      <c r="C18" s="2" t="s">
        <v>323</v>
      </c>
      <c r="D18" s="2" t="s">
        <v>61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</row>
    <row r="19" spans="1:16" x14ac:dyDescent="0.2">
      <c r="A19" s="3" t="s">
        <v>42</v>
      </c>
      <c r="B19" s="3" t="s">
        <v>307</v>
      </c>
      <c r="C19" s="3" t="s">
        <v>323</v>
      </c>
      <c r="D19" s="3" t="s">
        <v>267</v>
      </c>
      <c r="E19" s="184">
        <v>0.31941361813840624</v>
      </c>
      <c r="F19" s="184">
        <v>0.31093388222840057</v>
      </c>
      <c r="G19" s="184">
        <v>0.39476286541624439</v>
      </c>
      <c r="H19" s="184">
        <v>0.33506639055715276</v>
      </c>
      <c r="I19" s="184">
        <v>0.37482113739259615</v>
      </c>
      <c r="J19" s="184">
        <v>0.28212095046102048</v>
      </c>
      <c r="K19" s="184">
        <v>0.38563199802889464</v>
      </c>
      <c r="L19" s="184">
        <v>0.33731551687258304</v>
      </c>
      <c r="M19" s="184">
        <v>0.33326295321158972</v>
      </c>
      <c r="N19" s="184">
        <v>0.31459716244220237</v>
      </c>
      <c r="O19" s="184">
        <v>0.44383258402846387</v>
      </c>
      <c r="P19" s="184">
        <v>0.31160677832519357</v>
      </c>
    </row>
    <row r="20" spans="1:16" x14ac:dyDescent="0.2">
      <c r="A20" s="4" t="s">
        <v>42</v>
      </c>
      <c r="B20" s="4" t="s">
        <v>307</v>
      </c>
      <c r="C20" s="4" t="s">
        <v>324</v>
      </c>
      <c r="D20" s="4" t="s">
        <v>288</v>
      </c>
      <c r="E20" s="185">
        <v>0.62149337538873817</v>
      </c>
      <c r="F20" s="185">
        <v>0.57290789899944261</v>
      </c>
      <c r="G20" s="185">
        <v>0.78045426210729052</v>
      </c>
      <c r="H20" s="185">
        <v>0.68782301501064302</v>
      </c>
      <c r="I20" s="185">
        <v>0.63421741658927888</v>
      </c>
      <c r="J20" s="185">
        <v>0.49155379875148386</v>
      </c>
      <c r="K20" s="185">
        <v>0.65202278168064998</v>
      </c>
      <c r="L20" s="185">
        <v>0.59646395449103629</v>
      </c>
      <c r="M20" s="185">
        <v>0.66599553894501717</v>
      </c>
      <c r="N20" s="185">
        <v>0.62866743335951836</v>
      </c>
      <c r="O20" s="185">
        <v>0.73717564368863964</v>
      </c>
      <c r="P20" s="185">
        <v>0.60627557330012938</v>
      </c>
    </row>
    <row r="21" spans="1:16" x14ac:dyDescent="0.2">
      <c r="A21" s="4" t="s">
        <v>42</v>
      </c>
      <c r="B21" s="4" t="s">
        <v>307</v>
      </c>
      <c r="C21" s="4" t="s">
        <v>324</v>
      </c>
      <c r="D21" s="4" t="s">
        <v>267</v>
      </c>
      <c r="E21" s="185">
        <v>0.86390257497952716</v>
      </c>
      <c r="F21" s="185">
        <v>0.83859312941341935</v>
      </c>
      <c r="G21" s="185">
        <v>1</v>
      </c>
      <c r="H21" s="185">
        <v>0.90579198906635472</v>
      </c>
      <c r="I21" s="185">
        <v>1</v>
      </c>
      <c r="J21" s="185">
        <v>0.7556928260890986</v>
      </c>
      <c r="K21" s="185">
        <v>1</v>
      </c>
      <c r="L21" s="185">
        <v>0.91743683709483292</v>
      </c>
      <c r="M21" s="185">
        <v>0.90079604431444893</v>
      </c>
      <c r="N21" s="185">
        <v>0.84960908051693551</v>
      </c>
      <c r="O21" s="185">
        <v>1</v>
      </c>
      <c r="P21" s="185">
        <v>0.84082815780529729</v>
      </c>
    </row>
    <row r="22" spans="1:16" x14ac:dyDescent="0.2">
      <c r="A22" s="2" t="s">
        <v>256</v>
      </c>
      <c r="B22" s="2" t="s">
        <v>306</v>
      </c>
      <c r="C22" s="2" t="s">
        <v>323</v>
      </c>
      <c r="D22" s="2" t="s">
        <v>54</v>
      </c>
      <c r="E22" s="11">
        <v>3.3924050632911387E-2</v>
      </c>
      <c r="F22" s="11">
        <v>0</v>
      </c>
      <c r="G22" s="11">
        <v>2.1202531645569605E-2</v>
      </c>
      <c r="H22" s="11">
        <v>0</v>
      </c>
      <c r="I22" s="11">
        <v>6.3607594936708867E-2</v>
      </c>
      <c r="J22" s="11">
        <v>1.8658227848101248E-2</v>
      </c>
      <c r="K22" s="11">
        <v>4.240506329113921E-2</v>
      </c>
      <c r="L22" s="11">
        <v>6.3607594936708867E-2</v>
      </c>
      <c r="M22" s="11">
        <v>2.5443037974683554E-2</v>
      </c>
      <c r="N22" s="11">
        <v>0</v>
      </c>
      <c r="O22" s="11">
        <v>7.3784810126582348E-2</v>
      </c>
      <c r="P22" s="11">
        <v>1.6962025316455676E-2</v>
      </c>
    </row>
    <row r="23" spans="1:16" x14ac:dyDescent="0.2">
      <c r="A23" s="2" t="s">
        <v>256</v>
      </c>
      <c r="B23" s="2" t="s">
        <v>306</v>
      </c>
      <c r="C23" s="2" t="s">
        <v>323</v>
      </c>
      <c r="D23" s="2" t="s">
        <v>288</v>
      </c>
      <c r="E23" s="205">
        <v>9.9683544303797444E-2</v>
      </c>
      <c r="F23" s="205">
        <v>9.9789029535865173E-2</v>
      </c>
      <c r="G23" s="205">
        <v>0.29240506329113902</v>
      </c>
      <c r="H23" s="205">
        <v>0.24588607594936671</v>
      </c>
      <c r="I23" s="205">
        <v>0.13291139240506328</v>
      </c>
      <c r="J23" s="205">
        <v>6.6455696202531583E-2</v>
      </c>
      <c r="K23" s="205">
        <v>0.13291139240506319</v>
      </c>
      <c r="L23" s="205">
        <v>0.16553270042194074</v>
      </c>
      <c r="M23" s="205">
        <v>0.2458481012658231</v>
      </c>
      <c r="N23" s="205">
        <v>0.1088607594936703</v>
      </c>
      <c r="O23" s="205">
        <v>0</v>
      </c>
      <c r="P23" s="205">
        <v>0.13291139240506317</v>
      </c>
    </row>
    <row r="24" spans="1:16" x14ac:dyDescent="0.2">
      <c r="A24" s="2" t="s">
        <v>256</v>
      </c>
      <c r="B24" s="2" t="s">
        <v>306</v>
      </c>
      <c r="C24" s="2" t="s">
        <v>323</v>
      </c>
      <c r="D24" s="2" t="s">
        <v>59</v>
      </c>
      <c r="E24" s="11">
        <v>3.4590717299578043E-2</v>
      </c>
      <c r="F24" s="11">
        <v>4.535864978902962E-2</v>
      </c>
      <c r="G24" s="11">
        <v>3.4414161392405086E-2</v>
      </c>
      <c r="H24" s="11">
        <v>6.4161392405063203E-2</v>
      </c>
      <c r="I24" s="11">
        <v>5.9390822784810171E-2</v>
      </c>
      <c r="J24" s="11">
        <v>4.4486708860759616E-2</v>
      </c>
      <c r="K24" s="11">
        <v>8.1308016877636835E-2</v>
      </c>
      <c r="L24" s="11">
        <v>3.3106540084388153E-2</v>
      </c>
      <c r="M24" s="11">
        <v>4.097468354430385E-2</v>
      </c>
      <c r="N24" s="11">
        <v>3.6286919831223438E-2</v>
      </c>
      <c r="O24" s="11">
        <v>7.7642616033755579E-2</v>
      </c>
      <c r="P24" s="11">
        <v>5.3475527426160269E-2</v>
      </c>
    </row>
    <row r="25" spans="1:16" x14ac:dyDescent="0.2">
      <c r="A25" s="2" t="s">
        <v>256</v>
      </c>
      <c r="B25" s="2" t="s">
        <v>306</v>
      </c>
      <c r="C25" s="2" t="s">
        <v>323</v>
      </c>
      <c r="D25" s="2" t="s">
        <v>60</v>
      </c>
      <c r="E25" s="11">
        <v>1.0443037974683543E-2</v>
      </c>
      <c r="F25" s="11">
        <v>1.740506329113925E-2</v>
      </c>
      <c r="G25" s="11">
        <v>1.1487341772151889E-2</v>
      </c>
      <c r="H25" s="11">
        <v>1.0443037974683529E-2</v>
      </c>
      <c r="I25" s="11">
        <v>1.0443037974683541E-2</v>
      </c>
      <c r="J25" s="11">
        <v>1.2531645569620241E-2</v>
      </c>
      <c r="K25" s="11">
        <v>1.392405063291138E-2</v>
      </c>
      <c r="L25" s="11">
        <v>9.0506329113924072E-3</v>
      </c>
      <c r="M25" s="11">
        <v>1.3924050632911401E-2</v>
      </c>
      <c r="N25" s="11">
        <v>1.1139240506329105E-2</v>
      </c>
      <c r="O25" s="11">
        <v>1.3924050632911409E-2</v>
      </c>
      <c r="P25" s="11">
        <v>4.1772151898734127E-3</v>
      </c>
    </row>
    <row r="26" spans="1:16" x14ac:dyDescent="0.2">
      <c r="A26" s="2" t="s">
        <v>256</v>
      </c>
      <c r="B26" s="2" t="s">
        <v>306</v>
      </c>
      <c r="C26" s="2" t="s">
        <v>323</v>
      </c>
      <c r="D26" s="2" t="s">
        <v>61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</row>
    <row r="27" spans="1:16" x14ac:dyDescent="0.2">
      <c r="A27" s="3" t="s">
        <v>256</v>
      </c>
      <c r="B27" s="3" t="s">
        <v>306</v>
      </c>
      <c r="C27" s="3" t="s">
        <v>323</v>
      </c>
      <c r="D27" s="3" t="s">
        <v>267</v>
      </c>
      <c r="E27" s="184">
        <v>0.17864135021097041</v>
      </c>
      <c r="F27" s="184">
        <v>0.16255274261603406</v>
      </c>
      <c r="G27" s="184">
        <v>0.35950909810126558</v>
      </c>
      <c r="H27" s="184">
        <v>0.32049050632911341</v>
      </c>
      <c r="I27" s="184">
        <v>0.26635284810126586</v>
      </c>
      <c r="J27" s="184">
        <v>0.1421322784810127</v>
      </c>
      <c r="K27" s="184">
        <v>0.27054852320675066</v>
      </c>
      <c r="L27" s="184">
        <v>0.27129746835443014</v>
      </c>
      <c r="M27" s="184">
        <v>0.32618987341772193</v>
      </c>
      <c r="N27" s="184">
        <v>0.15628691983122284</v>
      </c>
      <c r="O27" s="184">
        <v>0.16535147679324935</v>
      </c>
      <c r="P27" s="184">
        <v>0.20752616033755253</v>
      </c>
    </row>
    <row r="28" spans="1:16" x14ac:dyDescent="0.2">
      <c r="A28" s="2" t="s">
        <v>256</v>
      </c>
      <c r="B28" s="2" t="s">
        <v>307</v>
      </c>
      <c r="C28" s="2" t="s">
        <v>323</v>
      </c>
      <c r="D28" s="2" t="s">
        <v>54</v>
      </c>
      <c r="E28" s="11">
        <v>3.3924050632911394E-2</v>
      </c>
      <c r="F28" s="11">
        <v>0</v>
      </c>
      <c r="G28" s="11">
        <v>2.1202531645569605E-2</v>
      </c>
      <c r="H28" s="11">
        <v>0</v>
      </c>
      <c r="I28" s="11">
        <v>6.3607594936708853E-2</v>
      </c>
      <c r="J28" s="11">
        <v>1.8658227848101248E-2</v>
      </c>
      <c r="K28" s="11">
        <v>4.2405063291139203E-2</v>
      </c>
      <c r="L28" s="11">
        <v>6.3607594936708881E-2</v>
      </c>
      <c r="M28" s="11">
        <v>2.5443037974683554E-2</v>
      </c>
      <c r="N28" s="11">
        <v>0</v>
      </c>
      <c r="O28" s="11">
        <v>7.3784810126582362E-2</v>
      </c>
      <c r="P28" s="11">
        <v>1.6962025316455676E-2</v>
      </c>
    </row>
    <row r="29" spans="1:16" x14ac:dyDescent="0.2">
      <c r="A29" s="2" t="s">
        <v>256</v>
      </c>
      <c r="B29" s="2" t="s">
        <v>307</v>
      </c>
      <c r="C29" s="2" t="s">
        <v>323</v>
      </c>
      <c r="D29" s="2" t="s">
        <v>288</v>
      </c>
      <c r="E29" s="205">
        <v>9.9683544303797431E-2</v>
      </c>
      <c r="F29" s="205">
        <v>0.17026770136336633</v>
      </c>
      <c r="G29" s="205">
        <v>0.29240506329113897</v>
      </c>
      <c r="H29" s="205">
        <v>0.25275396069476225</v>
      </c>
      <c r="I29" s="205">
        <v>0.1730687754243698</v>
      </c>
      <c r="J29" s="205">
        <v>6.6455696202531583E-2</v>
      </c>
      <c r="K29" s="205">
        <v>0.13291139240506317</v>
      </c>
      <c r="L29" s="205">
        <v>0.18904092073177273</v>
      </c>
      <c r="M29" s="205">
        <v>0.2519107410891383</v>
      </c>
      <c r="N29" s="205">
        <v>0.19676727405598265</v>
      </c>
      <c r="O29" s="205">
        <v>0</v>
      </c>
      <c r="P29" s="205">
        <v>0.19781438138721619</v>
      </c>
    </row>
    <row r="30" spans="1:16" x14ac:dyDescent="0.2">
      <c r="A30" s="2" t="s">
        <v>256</v>
      </c>
      <c r="B30" s="2" t="s">
        <v>307</v>
      </c>
      <c r="C30" s="2" t="s">
        <v>323</v>
      </c>
      <c r="D30" s="2" t="s">
        <v>59</v>
      </c>
      <c r="E30" s="11">
        <v>3.9292361361544473E-2</v>
      </c>
      <c r="F30" s="11">
        <v>5.1235704866487645E-2</v>
      </c>
      <c r="G30" s="11">
        <v>3.4833964353691918E-2</v>
      </c>
      <c r="H30" s="11">
        <v>6.4924670516493838E-2</v>
      </c>
      <c r="I30" s="11">
        <v>6.0154100896240736E-2</v>
      </c>
      <c r="J30" s="11">
        <v>5.7114523134627011E-2</v>
      </c>
      <c r="K30" s="11">
        <v>8.2325721026211024E-2</v>
      </c>
      <c r="L30" s="11">
        <v>3.7808184146354548E-2</v>
      </c>
      <c r="M30" s="11">
        <v>4.1985123514856393E-2</v>
      </c>
      <c r="N30" s="11">
        <v>4.0988563893189854E-2</v>
      </c>
      <c r="O30" s="11">
        <v>7.9138605170882254E-2</v>
      </c>
      <c r="P30" s="11">
        <v>5.5099984630437693E-2</v>
      </c>
    </row>
    <row r="31" spans="1:16" x14ac:dyDescent="0.2">
      <c r="A31" s="2" t="s">
        <v>256</v>
      </c>
      <c r="B31" s="2" t="s">
        <v>307</v>
      </c>
      <c r="C31" s="2" t="s">
        <v>323</v>
      </c>
      <c r="D31" s="2" t="s">
        <v>60</v>
      </c>
      <c r="E31" s="11">
        <v>1.0443037974683541E-2</v>
      </c>
      <c r="F31" s="11">
        <v>1.7405063291139247E-2</v>
      </c>
      <c r="G31" s="11">
        <v>1.1487341772151889E-2</v>
      </c>
      <c r="H31" s="11">
        <v>1.0443037974683531E-2</v>
      </c>
      <c r="I31" s="11">
        <v>1.0443037974683539E-2</v>
      </c>
      <c r="J31" s="11">
        <v>1.2531645569620239E-2</v>
      </c>
      <c r="K31" s="11">
        <v>1.3924050632911376E-2</v>
      </c>
      <c r="L31" s="11">
        <v>9.0506329113924072E-3</v>
      </c>
      <c r="M31" s="11">
        <v>1.3924050632911404E-2</v>
      </c>
      <c r="N31" s="11">
        <v>1.1139240506329104E-2</v>
      </c>
      <c r="O31" s="11">
        <v>1.3924050632911409E-2</v>
      </c>
      <c r="P31" s="11">
        <v>4.1772151898734136E-3</v>
      </c>
    </row>
    <row r="32" spans="1:16" x14ac:dyDescent="0.2">
      <c r="A32" s="2" t="s">
        <v>256</v>
      </c>
      <c r="B32" s="2" t="s">
        <v>307</v>
      </c>
      <c r="C32" s="2" t="s">
        <v>323</v>
      </c>
      <c r="D32" s="2" t="s">
        <v>61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</row>
    <row r="33" spans="1:16" x14ac:dyDescent="0.2">
      <c r="A33" s="3" t="s">
        <v>256</v>
      </c>
      <c r="B33" s="3" t="s">
        <v>307</v>
      </c>
      <c r="C33" s="3" t="s">
        <v>323</v>
      </c>
      <c r="D33" s="3" t="s">
        <v>267</v>
      </c>
      <c r="E33" s="184">
        <v>0.18334299427293685</v>
      </c>
      <c r="F33" s="184">
        <v>0.23890846952099326</v>
      </c>
      <c r="G33" s="184">
        <v>0.35992890106255243</v>
      </c>
      <c r="H33" s="184">
        <v>0.3281216691859396</v>
      </c>
      <c r="I33" s="184">
        <v>0.30727350923200297</v>
      </c>
      <c r="J33" s="184">
        <v>0.15476009275488006</v>
      </c>
      <c r="K33" s="184">
        <v>0.27156622735532482</v>
      </c>
      <c r="L33" s="184">
        <v>0.29950733272622859</v>
      </c>
      <c r="M33" s="184">
        <v>0.33326295321158972</v>
      </c>
      <c r="N33" s="184">
        <v>0.24889507845550163</v>
      </c>
      <c r="O33" s="184">
        <v>0.16684746593037603</v>
      </c>
      <c r="P33" s="184">
        <v>0.27405360652398303</v>
      </c>
    </row>
    <row r="34" spans="1:16" x14ac:dyDescent="0.2">
      <c r="A34" s="4" t="s">
        <v>256</v>
      </c>
      <c r="B34" s="4" t="s">
        <v>307</v>
      </c>
      <c r="C34" s="4" t="s">
        <v>324</v>
      </c>
      <c r="D34" s="4" t="s">
        <v>288</v>
      </c>
      <c r="E34" s="185">
        <v>0.25465006876582147</v>
      </c>
      <c r="F34" s="185">
        <v>0.43751691249105412</v>
      </c>
      <c r="G34" s="185">
        <v>0.78045426210729052</v>
      </c>
      <c r="H34" s="185">
        <v>0.66861231797107223</v>
      </c>
      <c r="I34" s="185">
        <v>0.44625816613544478</v>
      </c>
      <c r="J34" s="185">
        <v>0.1686598398054508</v>
      </c>
      <c r="K34" s="185">
        <v>0.34185247025847187</v>
      </c>
      <c r="L34" s="185">
        <v>0.49163236308125474</v>
      </c>
      <c r="M34" s="185">
        <v>0.66599553894501717</v>
      </c>
      <c r="N34" s="185">
        <v>0.51189564896015272</v>
      </c>
      <c r="O34" s="185">
        <v>0</v>
      </c>
      <c r="P34" s="185">
        <v>0.51520836256828129</v>
      </c>
    </row>
    <row r="35" spans="1:16" x14ac:dyDescent="0.2">
      <c r="A35" s="4" t="s">
        <v>256</v>
      </c>
      <c r="B35" s="4" t="s">
        <v>307</v>
      </c>
      <c r="C35" s="4" t="s">
        <v>324</v>
      </c>
      <c r="D35" s="4" t="s">
        <v>267</v>
      </c>
      <c r="E35" s="185">
        <v>0.47658582778881309</v>
      </c>
      <c r="F35" s="185">
        <v>0.63307904280888128</v>
      </c>
      <c r="G35" s="185">
        <v>0.97864629571091599</v>
      </c>
      <c r="H35" s="185">
        <v>0.88635045706487103</v>
      </c>
      <c r="I35" s="185">
        <v>0.83287149577580333</v>
      </c>
      <c r="J35" s="185">
        <v>0.39923450226787949</v>
      </c>
      <c r="K35" s="185">
        <v>0.72114920546441108</v>
      </c>
      <c r="L35" s="185">
        <v>0.80450539572424207</v>
      </c>
      <c r="M35" s="185">
        <v>0.90079604431444893</v>
      </c>
      <c r="N35" s="185">
        <v>0.66265857950223728</v>
      </c>
      <c r="O35" s="185">
        <v>0.43214257560891528</v>
      </c>
      <c r="P35" s="185">
        <v>0.73440729020607365</v>
      </c>
    </row>
  </sheetData>
  <autoFilter ref="A1:D1" xr:uid="{00000000-0009-0000-0000-000006000000}"/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186</vt:i4>
      </vt:variant>
    </vt:vector>
  </HeadingPairs>
  <TitlesOfParts>
    <vt:vector size="193" baseType="lpstr">
      <vt:lpstr>Accueil</vt:lpstr>
      <vt:lpstr>Select</vt:lpstr>
      <vt:lpstr>Tables</vt:lpstr>
      <vt:lpstr>BaseFisc</vt:lpstr>
      <vt:lpstr>BaseEco</vt:lpstr>
      <vt:lpstr>Modèle</vt:lpstr>
      <vt:lpstr>Résultats</vt:lpstr>
      <vt:lpstr>_Achats</vt:lpstr>
      <vt:lpstr>_Achats_Select</vt:lpstr>
      <vt:lpstr>_AchatsBetS</vt:lpstr>
      <vt:lpstr>_Actif</vt:lpstr>
      <vt:lpstr>_ActifCirculant</vt:lpstr>
      <vt:lpstr>_ActifImmo</vt:lpstr>
      <vt:lpstr>_Actualisation</vt:lpstr>
      <vt:lpstr>_Amortissement</vt:lpstr>
      <vt:lpstr>_Amortissement_Bureau</vt:lpstr>
      <vt:lpstr>_Amortissement_Camion</vt:lpstr>
      <vt:lpstr>_Amortissement_Constructions</vt:lpstr>
      <vt:lpstr>_Amortissement_Duree_Select</vt:lpstr>
      <vt:lpstr>_Amortissement_Equipement</vt:lpstr>
      <vt:lpstr>_Amortissement_Informatique</vt:lpstr>
      <vt:lpstr>_Amortissement_Limitation_Select</vt:lpstr>
      <vt:lpstr>_Amortissement_TauxExceptionnel_Select</vt:lpstr>
      <vt:lpstr>_Auto</vt:lpstr>
      <vt:lpstr>_BaseEco</vt:lpstr>
      <vt:lpstr>_BaseFisc</vt:lpstr>
      <vt:lpstr>_Bilan</vt:lpstr>
      <vt:lpstr>_Bureau</vt:lpstr>
      <vt:lpstr>_Bureau_CoefDegressif_Select</vt:lpstr>
      <vt:lpstr>_Bureau_DureeLineaire_Select</vt:lpstr>
      <vt:lpstr>_Bureau_Select</vt:lpstr>
      <vt:lpstr>_Cadres</vt:lpstr>
      <vt:lpstr>_Camion</vt:lpstr>
      <vt:lpstr>_Camion_CoefDegressif_Select</vt:lpstr>
      <vt:lpstr>_Camion_DureeLineaire_Select</vt:lpstr>
      <vt:lpstr>_Camion_Select</vt:lpstr>
      <vt:lpstr>_CapitalSocial</vt:lpstr>
      <vt:lpstr>_CapitalSocial_Select</vt:lpstr>
      <vt:lpstr>_CapitauxPropres</vt:lpstr>
      <vt:lpstr>_CFE_Taux_Select1</vt:lpstr>
      <vt:lpstr>_CFE_Taux_Select2</vt:lpstr>
      <vt:lpstr>_CFE_Taux_Select3</vt:lpstr>
      <vt:lpstr>_CFE_Taux_Select4</vt:lpstr>
      <vt:lpstr>_CFE_Taux_Select5</vt:lpstr>
      <vt:lpstr>_Charges</vt:lpstr>
      <vt:lpstr>_ChargesFinancieres</vt:lpstr>
      <vt:lpstr>_ChargesFinancieres_Select</vt:lpstr>
      <vt:lpstr>_Colonne</vt:lpstr>
      <vt:lpstr>_ColonneEco_Select</vt:lpstr>
      <vt:lpstr>_ColonneFisc_Select</vt:lpstr>
      <vt:lpstr>_CompteDeResultat</vt:lpstr>
      <vt:lpstr>_Constructions</vt:lpstr>
      <vt:lpstr>_Constructions_CoefDegressif_Select</vt:lpstr>
      <vt:lpstr>_Constructions_DureeLineaire_Select</vt:lpstr>
      <vt:lpstr>_Constructions_Select</vt:lpstr>
      <vt:lpstr>_CreancesClients</vt:lpstr>
      <vt:lpstr>_CreancesClients_Select</vt:lpstr>
      <vt:lpstr>_DepensesAdministratives</vt:lpstr>
      <vt:lpstr>_DepensesAdministratives_Select</vt:lpstr>
      <vt:lpstr>_DepensesDEntretien</vt:lpstr>
      <vt:lpstr>_DepensesDEntretien_Select</vt:lpstr>
      <vt:lpstr>_DepensesPublicitaires</vt:lpstr>
      <vt:lpstr>_DepensesPublicitaires_Select</vt:lpstr>
      <vt:lpstr>_Dettes</vt:lpstr>
      <vt:lpstr>_DettesCT</vt:lpstr>
      <vt:lpstr>_DettesCT_Select</vt:lpstr>
      <vt:lpstr>_DettesFournisseurs</vt:lpstr>
      <vt:lpstr>_DettesFournisseurs_Select</vt:lpstr>
      <vt:lpstr>_DettesLT</vt:lpstr>
      <vt:lpstr>_DettesLT_Select</vt:lpstr>
      <vt:lpstr>_DisponibilitesBancaires</vt:lpstr>
      <vt:lpstr>_DisponibilitesBancaires_Select</vt:lpstr>
      <vt:lpstr>_Dividendes</vt:lpstr>
      <vt:lpstr>_DividendesDistribues</vt:lpstr>
      <vt:lpstr>_DividendesDistribues_Select</vt:lpstr>
      <vt:lpstr>_Djankov</vt:lpstr>
      <vt:lpstr>_Donnee</vt:lpstr>
      <vt:lpstr>_Donnee_Liste</vt:lpstr>
      <vt:lpstr>_Donnee_Select</vt:lpstr>
      <vt:lpstr>_Equipement</vt:lpstr>
      <vt:lpstr>_Equipement_CoefDegressif_Select</vt:lpstr>
      <vt:lpstr>_Equipement_DureeLineaire_Select</vt:lpstr>
      <vt:lpstr>_Equipement_Select</vt:lpstr>
      <vt:lpstr>_Error</vt:lpstr>
      <vt:lpstr>_IMF_Taux_Select1</vt:lpstr>
      <vt:lpstr>_IMF_Taux_Select2</vt:lpstr>
      <vt:lpstr>_IMF_Taux_Select3</vt:lpstr>
      <vt:lpstr>_IMF_Taux_Select4</vt:lpstr>
      <vt:lpstr>_IMF_Taux_Select5</vt:lpstr>
      <vt:lpstr>_Impot</vt:lpstr>
      <vt:lpstr>_Impot_CFE</vt:lpstr>
      <vt:lpstr>_Impot_IMF</vt:lpstr>
      <vt:lpstr>_Impot_IRC</vt:lpstr>
      <vt:lpstr>_Impot_IRVM</vt:lpstr>
      <vt:lpstr>_Impot_IS</vt:lpstr>
      <vt:lpstr>_Impot_ISIMF</vt:lpstr>
      <vt:lpstr>_Impot_TVApetrole</vt:lpstr>
      <vt:lpstr>_ImpotsEtTaxes</vt:lpstr>
      <vt:lpstr>_Indice</vt:lpstr>
      <vt:lpstr>_Indice_Cadres</vt:lpstr>
      <vt:lpstr>_Indice_Cadres_Select</vt:lpstr>
      <vt:lpstr>_Indice_Ouvriers</vt:lpstr>
      <vt:lpstr>_Indice_Ouvriers_Select</vt:lpstr>
      <vt:lpstr>_Indice_Secretaires</vt:lpstr>
      <vt:lpstr>_Indice_Secretaires_Select</vt:lpstr>
      <vt:lpstr>_Information</vt:lpstr>
      <vt:lpstr>_Information_CoefDegressif</vt:lpstr>
      <vt:lpstr>_Information_Duree</vt:lpstr>
      <vt:lpstr>_Information_DureeLineaire</vt:lpstr>
      <vt:lpstr>_Information_Limitation</vt:lpstr>
      <vt:lpstr>_Information_ReducExo</vt:lpstr>
      <vt:lpstr>_Information_Taux</vt:lpstr>
      <vt:lpstr>_Information_TauxExceptionnel</vt:lpstr>
      <vt:lpstr>_Informatique</vt:lpstr>
      <vt:lpstr>_Informatique_CoefDegressif_Select</vt:lpstr>
      <vt:lpstr>_Informatique_DureeLineaire_Select</vt:lpstr>
      <vt:lpstr>_Informatique_Select</vt:lpstr>
      <vt:lpstr>_IRC_Taux_Select1</vt:lpstr>
      <vt:lpstr>_IRC_Taux_Select2</vt:lpstr>
      <vt:lpstr>_IRC_Taux_Select3</vt:lpstr>
      <vt:lpstr>_IRC_Taux_Select4</vt:lpstr>
      <vt:lpstr>_IRC_Taux_Select5</vt:lpstr>
      <vt:lpstr>_IRVM_Taux_Select1</vt:lpstr>
      <vt:lpstr>_IRVM_Taux_Select2</vt:lpstr>
      <vt:lpstr>_IRVM_Taux_Select3</vt:lpstr>
      <vt:lpstr>_IRVM_Taux_Select4</vt:lpstr>
      <vt:lpstr>_IRVM_Taux_Select5</vt:lpstr>
      <vt:lpstr>_IS_Taux_Select1</vt:lpstr>
      <vt:lpstr>_IS_Taux_Select2</vt:lpstr>
      <vt:lpstr>_IS_Taux_Select3</vt:lpstr>
      <vt:lpstr>_IS_Taux_Select4</vt:lpstr>
      <vt:lpstr>_IS_Taux_Select5</vt:lpstr>
      <vt:lpstr>_MasseSalariale</vt:lpstr>
      <vt:lpstr>_Nombre</vt:lpstr>
      <vt:lpstr>_Nombre_Cadres</vt:lpstr>
      <vt:lpstr>_Nombre_Cadres_Select</vt:lpstr>
      <vt:lpstr>_Nombre_Ouvriers</vt:lpstr>
      <vt:lpstr>_Nombre_Ouvriers_Select</vt:lpstr>
      <vt:lpstr>_Nombre_Secretaires</vt:lpstr>
      <vt:lpstr>_Nombre_Secretaires_Select</vt:lpstr>
      <vt:lpstr>_Ouvriers</vt:lpstr>
      <vt:lpstr>_Passif</vt:lpstr>
      <vt:lpstr>_Pays</vt:lpstr>
      <vt:lpstr>_Pays_BEN</vt:lpstr>
      <vt:lpstr>_Pays_BFA</vt:lpstr>
      <vt:lpstr>_Pays_CAF</vt:lpstr>
      <vt:lpstr>_Pays_CIV</vt:lpstr>
      <vt:lpstr>_Pays_CMR</vt:lpstr>
      <vt:lpstr>_Pays_COG</vt:lpstr>
      <vt:lpstr>_Pays_GAB</vt:lpstr>
      <vt:lpstr>_Pays_GNB</vt:lpstr>
      <vt:lpstr>_Pays_GNQ</vt:lpstr>
      <vt:lpstr>_Pays_Liste</vt:lpstr>
      <vt:lpstr>_Pays_MLI</vt:lpstr>
      <vt:lpstr>_Pays_NER</vt:lpstr>
      <vt:lpstr>_Pays_Select</vt:lpstr>
      <vt:lpstr>_Pays_SEN</vt:lpstr>
      <vt:lpstr>_Pays_TCD</vt:lpstr>
      <vt:lpstr>_Pays_TGO</vt:lpstr>
      <vt:lpstr>_Petrole</vt:lpstr>
      <vt:lpstr>_Petrole_Select</vt:lpstr>
      <vt:lpstr>_PIBPNB</vt:lpstr>
      <vt:lpstr>_PIBPNB_Liste</vt:lpstr>
      <vt:lpstr>_PIBPNB_Select</vt:lpstr>
      <vt:lpstr>_PIBtete</vt:lpstr>
      <vt:lpstr>_PNBtete</vt:lpstr>
      <vt:lpstr>_Produits</vt:lpstr>
      <vt:lpstr>_Regime</vt:lpstr>
      <vt:lpstr>_Regime_Gen</vt:lpstr>
      <vt:lpstr>_Regime_Inv</vt:lpstr>
      <vt:lpstr>_Regime_Liste</vt:lpstr>
      <vt:lpstr>_Regime_Select</vt:lpstr>
      <vt:lpstr>_Salaries</vt:lpstr>
      <vt:lpstr>_Secretaires</vt:lpstr>
      <vt:lpstr>_Select</vt:lpstr>
      <vt:lpstr>_Simul</vt:lpstr>
      <vt:lpstr>_Stocks</vt:lpstr>
      <vt:lpstr>_Stocks_Select</vt:lpstr>
      <vt:lpstr>_Tables</vt:lpstr>
      <vt:lpstr>_TauxDActualisation</vt:lpstr>
      <vt:lpstr>_TauxDActualisation_Select</vt:lpstr>
      <vt:lpstr>_Terrain</vt:lpstr>
      <vt:lpstr>_Terrain_Select</vt:lpstr>
      <vt:lpstr>_Texte</vt:lpstr>
      <vt:lpstr>_TVApetrole_Taux_Select1</vt:lpstr>
      <vt:lpstr>_TVApetrole_Taux_Select2</vt:lpstr>
      <vt:lpstr>_TVApetrole_Taux_Select3</vt:lpstr>
      <vt:lpstr>_TVApetrole_Taux_Select4</vt:lpstr>
      <vt:lpstr>_TVApetrole_Taux_Select5</vt:lpstr>
      <vt:lpstr>_Ventes</vt:lpstr>
      <vt:lpstr>_Ventes_Select</vt:lpstr>
      <vt:lpstr>_Zone</vt:lpstr>
      <vt:lpstr>_ZoneFranc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2018-05-11T15:38:41Z</dcterms:modified>
</cp:coreProperties>
</file>