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927F8362-3E65-4BC3-BFDA-B9D0FD4B2E1E}" xr6:coauthVersionLast="33" xr6:coauthVersionMax="33" xr10:uidLastSave="{00000000-0000-0000-0000-000000000000}"/>
  <bookViews>
    <workbookView xWindow="0" yWindow="0" windowWidth="20490" windowHeight="7545" firstSheet="3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E72" i="7" l="1"/>
  <c r="B16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A2" i="6"/>
  <c r="A4" i="6"/>
  <c r="A5" i="6"/>
  <c r="B1" i="6"/>
  <c r="C1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5" i="6"/>
  <c r="A26" i="6"/>
  <c r="A27" i="6"/>
  <c r="A28" i="6"/>
  <c r="E37" i="6"/>
  <c r="B28" i="6"/>
  <c r="A29" i="6"/>
  <c r="A30" i="6"/>
  <c r="A31" i="6"/>
  <c r="A32" i="6"/>
  <c r="A33" i="6"/>
  <c r="A34" i="6"/>
  <c r="A35" i="6"/>
  <c r="A36" i="6"/>
  <c r="A37" i="6"/>
  <c r="A38" i="6"/>
  <c r="A39" i="6"/>
  <c r="A40" i="6"/>
  <c r="A42" i="6"/>
  <c r="A43" i="6"/>
  <c r="A47" i="6"/>
  <c r="A52" i="6"/>
  <c r="A53" i="6"/>
  <c r="A55" i="6"/>
  <c r="A56" i="6"/>
  <c r="D3" i="4"/>
  <c r="B3" i="4"/>
  <c r="C3" i="4"/>
  <c r="B2" i="4"/>
  <c r="B36" i="4"/>
  <c r="C16" i="4"/>
  <c r="E16" i="4"/>
  <c r="B17" i="4"/>
  <c r="C17" i="4"/>
  <c r="E17" i="4"/>
  <c r="B18" i="4"/>
  <c r="C18" i="4"/>
  <c r="E18" i="4"/>
  <c r="B19" i="4"/>
  <c r="C19" i="4"/>
  <c r="E19" i="4"/>
  <c r="D39" i="4"/>
  <c r="B39" i="4"/>
  <c r="C39" i="4"/>
  <c r="B38" i="4"/>
  <c r="A2" i="5"/>
  <c r="A4" i="5"/>
  <c r="A5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A6" i="5"/>
  <c r="A8" i="5"/>
  <c r="A9" i="5"/>
  <c r="B10" i="5"/>
  <c r="C10" i="5"/>
  <c r="D10" i="5"/>
  <c r="A10" i="5"/>
  <c r="B11" i="5"/>
  <c r="C11" i="5"/>
  <c r="D11" i="5"/>
  <c r="A11" i="5"/>
  <c r="B12" i="5"/>
  <c r="C12" i="5"/>
  <c r="D12" i="5"/>
  <c r="A12" i="5"/>
  <c r="B13" i="5"/>
  <c r="C13" i="5"/>
  <c r="D13" i="5"/>
  <c r="A13" i="5"/>
  <c r="B14" i="5"/>
  <c r="C14" i="5"/>
  <c r="D14" i="5"/>
  <c r="A14" i="5"/>
  <c r="B15" i="5"/>
  <c r="C15" i="5"/>
  <c r="D15" i="5"/>
  <c r="A15" i="5"/>
  <c r="A16" i="5"/>
  <c r="B17" i="5"/>
  <c r="C17" i="5"/>
  <c r="D17" i="5"/>
  <c r="A17" i="5"/>
  <c r="B18" i="5"/>
  <c r="C18" i="5"/>
  <c r="D18" i="5"/>
  <c r="A18" i="5"/>
  <c r="B19" i="5"/>
  <c r="C19" i="5"/>
  <c r="D19" i="5"/>
  <c r="A19" i="5"/>
  <c r="D43" i="4"/>
  <c r="B43" i="4"/>
  <c r="C43" i="4"/>
  <c r="D44" i="4"/>
  <c r="B44" i="4"/>
  <c r="C44" i="4"/>
  <c r="D45" i="4"/>
  <c r="B45" i="4"/>
  <c r="C45" i="4"/>
  <c r="D46" i="4"/>
  <c r="B46" i="4"/>
  <c r="C46" i="4"/>
  <c r="D47" i="4"/>
  <c r="B47" i="4"/>
  <c r="C47" i="4"/>
  <c r="D48" i="4"/>
  <c r="B48" i="4"/>
  <c r="C48" i="4"/>
  <c r="D49" i="4"/>
  <c r="B49" i="4"/>
  <c r="C49" i="4"/>
  <c r="D50" i="4"/>
  <c r="B50" i="4"/>
  <c r="C50" i="4"/>
  <c r="D51" i="4"/>
  <c r="B51" i="4"/>
  <c r="C51" i="4"/>
  <c r="D52" i="4"/>
  <c r="B52" i="4"/>
  <c r="C52" i="4"/>
  <c r="D53" i="4"/>
  <c r="B53" i="4"/>
  <c r="C53" i="4"/>
  <c r="D54" i="4"/>
  <c r="B54" i="4"/>
  <c r="C54" i="4"/>
  <c r="B42" i="4"/>
  <c r="D59" i="4"/>
  <c r="B59" i="4"/>
  <c r="C59" i="4"/>
  <c r="D60" i="4"/>
  <c r="B60" i="4"/>
  <c r="C60" i="4"/>
  <c r="B58" i="4"/>
  <c r="R19" i="5"/>
  <c r="B20" i="5"/>
  <c r="C20" i="5"/>
  <c r="D20" i="5"/>
  <c r="A20" i="5"/>
  <c r="B21" i="5"/>
  <c r="C21" i="5"/>
  <c r="D21" i="5"/>
  <c r="A21" i="5"/>
  <c r="B22" i="5"/>
  <c r="C22" i="5"/>
  <c r="D22" i="5"/>
  <c r="A22" i="5"/>
  <c r="A24" i="5"/>
  <c r="B25" i="5"/>
  <c r="D25" i="5"/>
  <c r="A25" i="5"/>
  <c r="B26" i="5"/>
  <c r="D26" i="5"/>
  <c r="A26" i="5"/>
  <c r="B27" i="5"/>
  <c r="D27" i="5"/>
  <c r="A27" i="5"/>
  <c r="A28" i="5"/>
  <c r="A29" i="5"/>
  <c r="B30" i="5"/>
  <c r="C30" i="5"/>
  <c r="D30" i="5"/>
  <c r="A30" i="5"/>
  <c r="B31" i="5"/>
  <c r="C31" i="5"/>
  <c r="D31" i="5"/>
  <c r="A31" i="5"/>
  <c r="B32" i="5"/>
  <c r="C32" i="5"/>
  <c r="D32" i="5"/>
  <c r="A32" i="5"/>
  <c r="A33" i="5"/>
  <c r="B34" i="5"/>
  <c r="C34" i="5"/>
  <c r="D34" i="5"/>
  <c r="A34" i="5"/>
  <c r="B35" i="5"/>
  <c r="C35" i="5"/>
  <c r="D35" i="5"/>
  <c r="A35" i="5"/>
  <c r="B36" i="5"/>
  <c r="C36" i="5"/>
  <c r="D36" i="5"/>
  <c r="A36" i="5"/>
  <c r="B37" i="5"/>
  <c r="C37" i="5"/>
  <c r="D37" i="5"/>
  <c r="A37" i="5"/>
  <c r="B38" i="5"/>
  <c r="C38" i="5"/>
  <c r="D38" i="5"/>
  <c r="A38" i="5"/>
  <c r="A39" i="5"/>
  <c r="B40" i="5"/>
  <c r="C40" i="5"/>
  <c r="D40" i="5"/>
  <c r="A40" i="5"/>
  <c r="B41" i="5"/>
  <c r="C41" i="5"/>
  <c r="D41" i="5"/>
  <c r="A41" i="5"/>
  <c r="B42" i="5"/>
  <c r="C42" i="5"/>
  <c r="D42" i="5"/>
  <c r="A42" i="5"/>
  <c r="A43" i="5"/>
  <c r="B44" i="5"/>
  <c r="C44" i="5"/>
  <c r="D44" i="5"/>
  <c r="A44" i="5"/>
  <c r="B45" i="5"/>
  <c r="C45" i="5"/>
  <c r="D45" i="5"/>
  <c r="A45" i="5"/>
  <c r="B46" i="5"/>
  <c r="C46" i="5"/>
  <c r="D46" i="5"/>
  <c r="A46" i="5"/>
  <c r="A47" i="5"/>
  <c r="B48" i="5"/>
  <c r="C48" i="5"/>
  <c r="D48" i="5"/>
  <c r="A48" i="5"/>
  <c r="B49" i="5"/>
  <c r="C49" i="5"/>
  <c r="D49" i="5"/>
  <c r="A49" i="5"/>
  <c r="B50" i="5"/>
  <c r="C50" i="5"/>
  <c r="D50" i="5"/>
  <c r="A50" i="5"/>
  <c r="A51" i="5"/>
  <c r="B52" i="5"/>
  <c r="C52" i="5"/>
  <c r="D52" i="5"/>
  <c r="A52" i="5"/>
  <c r="B53" i="5"/>
  <c r="C53" i="5"/>
  <c r="D53" i="5"/>
  <c r="A53" i="5"/>
  <c r="B54" i="5"/>
  <c r="C54" i="5"/>
  <c r="D54" i="5"/>
  <c r="A54" i="5"/>
  <c r="B56" i="4"/>
  <c r="G38" i="4"/>
  <c r="G40" i="4"/>
  <c r="C180" i="7"/>
  <c r="B26" i="4"/>
  <c r="C26" i="4"/>
  <c r="E26" i="4"/>
  <c r="D93" i="7"/>
  <c r="B20" i="4"/>
  <c r="C20" i="4"/>
  <c r="E20" i="4"/>
  <c r="D94" i="7"/>
  <c r="B21" i="4"/>
  <c r="C21" i="4"/>
  <c r="E21" i="4"/>
  <c r="D95" i="7"/>
  <c r="B22" i="4"/>
  <c r="C22" i="4"/>
  <c r="E22" i="4"/>
  <c r="D97" i="7"/>
  <c r="B23" i="4"/>
  <c r="C23" i="4"/>
  <c r="E23" i="4"/>
  <c r="D98" i="7"/>
  <c r="B24" i="4"/>
  <c r="C24" i="4"/>
  <c r="E24" i="4"/>
  <c r="D99" i="7"/>
  <c r="C27" i="4"/>
  <c r="E27" i="4"/>
  <c r="C30" i="4"/>
  <c r="E30" i="4"/>
  <c r="D100" i="7"/>
  <c r="C28" i="4"/>
  <c r="E28" i="4"/>
  <c r="C31" i="4"/>
  <c r="E31" i="4"/>
  <c r="D101" i="7"/>
  <c r="C29" i="4"/>
  <c r="E29" i="4"/>
  <c r="C32" i="4"/>
  <c r="E32" i="4"/>
  <c r="D102" i="7"/>
  <c r="B25" i="4"/>
  <c r="C25" i="4"/>
  <c r="E25" i="4"/>
  <c r="D104" i="7"/>
  <c r="D171" i="7"/>
  <c r="B34" i="4"/>
  <c r="C34" i="4"/>
  <c r="E34" i="4"/>
  <c r="D136" i="7"/>
  <c r="D172" i="7"/>
  <c r="D80" i="7"/>
  <c r="D81" i="7"/>
  <c r="D82" i="7"/>
  <c r="D83" i="7"/>
  <c r="E66" i="4"/>
  <c r="B68" i="4"/>
  <c r="E67" i="4"/>
  <c r="E68" i="4"/>
  <c r="F67" i="4"/>
  <c r="F68" i="4"/>
  <c r="G67" i="4"/>
  <c r="G68" i="4"/>
  <c r="H68" i="4"/>
  <c r="C66" i="4"/>
  <c r="C67" i="4"/>
  <c r="C68" i="4"/>
  <c r="P68" i="4"/>
  <c r="D84" i="7"/>
  <c r="D85" i="7"/>
  <c r="D140" i="7"/>
  <c r="D147" i="7"/>
  <c r="D75" i="7"/>
  <c r="B73" i="4"/>
  <c r="E73" i="4"/>
  <c r="F73" i="4"/>
  <c r="G73" i="4"/>
  <c r="H73" i="4"/>
  <c r="C73" i="4"/>
  <c r="P73" i="4"/>
  <c r="D76" i="7"/>
  <c r="D77" i="7"/>
  <c r="D96" i="7"/>
  <c r="D103" i="7"/>
  <c r="B8" i="4"/>
  <c r="C8" i="4"/>
  <c r="E8" i="4"/>
  <c r="D14" i="7"/>
  <c r="D19" i="7"/>
  <c r="C75" i="4"/>
  <c r="B77" i="4"/>
  <c r="C76" i="4"/>
  <c r="C77" i="4"/>
  <c r="I77" i="4"/>
  <c r="D15" i="7"/>
  <c r="D18" i="7"/>
  <c r="D76" i="4"/>
  <c r="D77" i="4"/>
  <c r="J77" i="4"/>
  <c r="D16" i="7"/>
  <c r="D20" i="7"/>
  <c r="D21" i="7"/>
  <c r="D22" i="7"/>
  <c r="D7" i="7"/>
  <c r="B9" i="4"/>
  <c r="C9" i="4"/>
  <c r="E9" i="4"/>
  <c r="D24" i="7"/>
  <c r="D29" i="7"/>
  <c r="B78" i="4"/>
  <c r="C78" i="4"/>
  <c r="I78" i="4"/>
  <c r="D25" i="7"/>
  <c r="D28" i="7"/>
  <c r="D78" i="4"/>
  <c r="J78" i="4"/>
  <c r="D26" i="7"/>
  <c r="D30" i="7"/>
  <c r="D31" i="7"/>
  <c r="D32" i="7"/>
  <c r="D8" i="7"/>
  <c r="B10" i="4"/>
  <c r="C10" i="4"/>
  <c r="E10" i="4"/>
  <c r="D34" i="7"/>
  <c r="D39" i="7"/>
  <c r="B79" i="4"/>
  <c r="C79" i="4"/>
  <c r="I79" i="4"/>
  <c r="D35" i="7"/>
  <c r="D38" i="7"/>
  <c r="D79" i="4"/>
  <c r="J79" i="4"/>
  <c r="D36" i="7"/>
  <c r="D40" i="7"/>
  <c r="D41" i="7"/>
  <c r="D42" i="7"/>
  <c r="D9" i="7"/>
  <c r="B11" i="4"/>
  <c r="C11" i="4"/>
  <c r="E11" i="4"/>
  <c r="D44" i="7"/>
  <c r="D49" i="7"/>
  <c r="B80" i="4"/>
  <c r="C80" i="4"/>
  <c r="I80" i="4"/>
  <c r="D45" i="7"/>
  <c r="D48" i="7"/>
  <c r="D80" i="4"/>
  <c r="J80" i="4"/>
  <c r="D46" i="7"/>
  <c r="D50" i="7"/>
  <c r="D51" i="7"/>
  <c r="D52" i="7"/>
  <c r="D10" i="7"/>
  <c r="B12" i="4"/>
  <c r="C12" i="4"/>
  <c r="E12" i="4"/>
  <c r="D54" i="7"/>
  <c r="D59" i="7"/>
  <c r="B81" i="4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B69" i="4"/>
  <c r="E69" i="4"/>
  <c r="E85" i="4"/>
  <c r="C83" i="4"/>
  <c r="B85" i="4"/>
  <c r="C84" i="4"/>
  <c r="C85" i="4"/>
  <c r="M85" i="4"/>
  <c r="D68" i="7"/>
  <c r="D70" i="7"/>
  <c r="D84" i="4"/>
  <c r="D85" i="4"/>
  <c r="L85" i="4"/>
  <c r="D67" i="7"/>
  <c r="B7" i="4"/>
  <c r="C7" i="4"/>
  <c r="E7" i="4"/>
  <c r="D65" i="7"/>
  <c r="K85" i="4"/>
  <c r="D66" i="7"/>
  <c r="D71" i="7"/>
  <c r="D72" i="7"/>
  <c r="D111" i="7"/>
  <c r="D112" i="7"/>
  <c r="D115" i="7"/>
  <c r="F69" i="4"/>
  <c r="G69" i="4"/>
  <c r="H69" i="4"/>
  <c r="C69" i="4"/>
  <c r="P69" i="4"/>
  <c r="D116" i="7"/>
  <c r="D117" i="7"/>
  <c r="D120" i="7"/>
  <c r="B70" i="4"/>
  <c r="E70" i="4"/>
  <c r="F70" i="4"/>
  <c r="G70" i="4"/>
  <c r="H70" i="4"/>
  <c r="C70" i="4"/>
  <c r="P70" i="4"/>
  <c r="D121" i="7"/>
  <c r="D122" i="7"/>
  <c r="D125" i="7"/>
  <c r="D141" i="7"/>
  <c r="D148" i="7"/>
  <c r="D126" i="7"/>
  <c r="D130" i="7"/>
  <c r="B33" i="4"/>
  <c r="C33" i="4"/>
  <c r="E33" i="4"/>
  <c r="D131" i="7"/>
  <c r="B71" i="4"/>
  <c r="E71" i="4"/>
  <c r="F71" i="4"/>
  <c r="G71" i="4"/>
  <c r="H71" i="4"/>
  <c r="C71" i="4"/>
  <c r="P71" i="4"/>
  <c r="D132" i="7"/>
  <c r="D133" i="7"/>
  <c r="D142" i="7"/>
  <c r="D149" i="7"/>
  <c r="D88" i="7"/>
  <c r="B72" i="4"/>
  <c r="E72" i="4"/>
  <c r="F72" i="4"/>
  <c r="G72" i="4"/>
  <c r="H72" i="4"/>
  <c r="C72" i="4"/>
  <c r="P72" i="4"/>
  <c r="D89" i="7"/>
  <c r="D90" i="7"/>
  <c r="D143" i="7"/>
  <c r="D150" i="7"/>
  <c r="D144" i="7"/>
  <c r="D151" i="7"/>
  <c r="D152" i="7"/>
  <c r="D180" i="7"/>
  <c r="E93" i="7"/>
  <c r="E94" i="7"/>
  <c r="E95" i="7"/>
  <c r="E97" i="7"/>
  <c r="E98" i="7"/>
  <c r="E99" i="7"/>
  <c r="E100" i="7"/>
  <c r="E101" i="7"/>
  <c r="E102" i="7"/>
  <c r="E104" i="7"/>
  <c r="E171" i="7"/>
  <c r="E136" i="7"/>
  <c r="E172" i="7"/>
  <c r="E80" i="7"/>
  <c r="E81" i="7"/>
  <c r="E82" i="7"/>
  <c r="E83" i="7"/>
  <c r="Q68" i="4"/>
  <c r="E84" i="7"/>
  <c r="E85" i="7"/>
  <c r="E140" i="7"/>
  <c r="E147" i="7"/>
  <c r="E75" i="7"/>
  <c r="Q73" i="4"/>
  <c r="E76" i="7"/>
  <c r="E77" i="7"/>
  <c r="E96" i="7"/>
  <c r="E103" i="7"/>
  <c r="E19" i="7"/>
  <c r="E18" i="7"/>
  <c r="E20" i="7"/>
  <c r="E21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1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48" i="7"/>
  <c r="E126" i="7"/>
  <c r="E130" i="7"/>
  <c r="E131" i="7"/>
  <c r="Q71" i="4"/>
  <c r="E132" i="7"/>
  <c r="E133" i="7"/>
  <c r="E142" i="7"/>
  <c r="E149" i="7"/>
  <c r="E88" i="7"/>
  <c r="Q72" i="4"/>
  <c r="E89" i="7"/>
  <c r="E90" i="7"/>
  <c r="E143" i="7"/>
  <c r="E150" i="7"/>
  <c r="E144" i="7"/>
  <c r="E151" i="7"/>
  <c r="E152" i="7"/>
  <c r="E180" i="7"/>
  <c r="F93" i="7"/>
  <c r="F94" i="7"/>
  <c r="F95" i="7"/>
  <c r="F97" i="7"/>
  <c r="F98" i="7"/>
  <c r="F99" i="7"/>
  <c r="F100" i="7"/>
  <c r="F101" i="7"/>
  <c r="F102" i="7"/>
  <c r="F104" i="7"/>
  <c r="F171" i="7"/>
  <c r="F136" i="7"/>
  <c r="F172" i="7"/>
  <c r="F80" i="7"/>
  <c r="F81" i="7"/>
  <c r="F82" i="7"/>
  <c r="F83" i="7"/>
  <c r="R68" i="4"/>
  <c r="F84" i="7"/>
  <c r="F85" i="7"/>
  <c r="F140" i="7"/>
  <c r="F147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48" i="7"/>
  <c r="F126" i="7"/>
  <c r="F130" i="7"/>
  <c r="F131" i="7"/>
  <c r="R71" i="4"/>
  <c r="F132" i="7"/>
  <c r="F133" i="7"/>
  <c r="F142" i="7"/>
  <c r="F149" i="7"/>
  <c r="F88" i="7"/>
  <c r="R72" i="4"/>
  <c r="F89" i="7"/>
  <c r="F90" i="7"/>
  <c r="F143" i="7"/>
  <c r="F150" i="7"/>
  <c r="F144" i="7"/>
  <c r="F151" i="7"/>
  <c r="F152" i="7"/>
  <c r="F180" i="7"/>
  <c r="G93" i="7"/>
  <c r="G94" i="7"/>
  <c r="G95" i="7"/>
  <c r="G97" i="7"/>
  <c r="G98" i="7"/>
  <c r="G99" i="7"/>
  <c r="G100" i="7"/>
  <c r="G101" i="7"/>
  <c r="G102" i="7"/>
  <c r="G104" i="7"/>
  <c r="G171" i="7"/>
  <c r="G136" i="7"/>
  <c r="G172" i="7"/>
  <c r="G80" i="7"/>
  <c r="G81" i="7"/>
  <c r="G82" i="7"/>
  <c r="G83" i="7"/>
  <c r="S68" i="4"/>
  <c r="G84" i="7"/>
  <c r="G85" i="7"/>
  <c r="G140" i="7"/>
  <c r="G147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48" i="7"/>
  <c r="G126" i="7"/>
  <c r="G130" i="7"/>
  <c r="G131" i="7"/>
  <c r="S71" i="4"/>
  <c r="G132" i="7"/>
  <c r="G133" i="7"/>
  <c r="G142" i="7"/>
  <c r="G149" i="7"/>
  <c r="G88" i="7"/>
  <c r="S72" i="4"/>
  <c r="G89" i="7"/>
  <c r="G90" i="7"/>
  <c r="G143" i="7"/>
  <c r="G150" i="7"/>
  <c r="G144" i="7"/>
  <c r="G151" i="7"/>
  <c r="G152" i="7"/>
  <c r="G180" i="7"/>
  <c r="H93" i="7"/>
  <c r="H94" i="7"/>
  <c r="H95" i="7"/>
  <c r="H97" i="7"/>
  <c r="H98" i="7"/>
  <c r="H99" i="7"/>
  <c r="H100" i="7"/>
  <c r="H101" i="7"/>
  <c r="H102" i="7"/>
  <c r="H104" i="7"/>
  <c r="H171" i="7"/>
  <c r="H136" i="7"/>
  <c r="H172" i="7"/>
  <c r="H80" i="7"/>
  <c r="H81" i="7"/>
  <c r="H82" i="7"/>
  <c r="H83" i="7"/>
  <c r="T68" i="4"/>
  <c r="H84" i="7"/>
  <c r="H85" i="7"/>
  <c r="H140" i="7"/>
  <c r="H147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48" i="7"/>
  <c r="H126" i="7"/>
  <c r="H130" i="7"/>
  <c r="H131" i="7"/>
  <c r="T71" i="4"/>
  <c r="H132" i="7"/>
  <c r="H133" i="7"/>
  <c r="H142" i="7"/>
  <c r="H149" i="7"/>
  <c r="H88" i="7"/>
  <c r="T72" i="4"/>
  <c r="H89" i="7"/>
  <c r="H90" i="7"/>
  <c r="H143" i="7"/>
  <c r="H150" i="7"/>
  <c r="H144" i="7"/>
  <c r="H151" i="7"/>
  <c r="H152" i="7"/>
  <c r="H180" i="7"/>
  <c r="H190" i="7"/>
  <c r="C176" i="7"/>
  <c r="D176" i="7"/>
  <c r="E176" i="7"/>
  <c r="F176" i="7"/>
  <c r="G176" i="7"/>
  <c r="H176" i="7"/>
  <c r="H187" i="7"/>
  <c r="C172" i="7"/>
  <c r="H184" i="7"/>
  <c r="C171" i="7"/>
  <c r="H183" i="7"/>
  <c r="L11" i="2"/>
  <c r="C179" i="7"/>
  <c r="D145" i="7"/>
  <c r="D179" i="7"/>
  <c r="G206" i="7"/>
  <c r="E145" i="7"/>
  <c r="E179" i="7"/>
  <c r="H206" i="7"/>
  <c r="F50" i="7"/>
  <c r="F145" i="7"/>
  <c r="F179" i="7"/>
  <c r="I206" i="7"/>
  <c r="G50" i="7"/>
  <c r="G145" i="7"/>
  <c r="G179" i="7"/>
  <c r="J206" i="7"/>
  <c r="H145" i="7"/>
  <c r="H179" i="7"/>
  <c r="K206" i="7"/>
  <c r="K208" i="7"/>
  <c r="K209" i="7"/>
  <c r="F201" i="7"/>
  <c r="D201" i="7"/>
  <c r="E201" i="7"/>
  <c r="G201" i="7"/>
  <c r="H201" i="7"/>
  <c r="F205" i="7"/>
  <c r="D205" i="7"/>
  <c r="D175" i="7"/>
  <c r="E175" i="7"/>
  <c r="F175" i="7"/>
  <c r="G175" i="7"/>
  <c r="H175" i="7"/>
  <c r="C175" i="7"/>
  <c r="I175" i="7"/>
  <c r="I198" i="7"/>
  <c r="H202" i="7"/>
  <c r="I200" i="7"/>
  <c r="I171" i="7"/>
  <c r="I179" i="7"/>
  <c r="J161" i="7"/>
  <c r="K161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K176" i="7"/>
  <c r="K177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M163" i="7"/>
  <c r="N163" i="7"/>
  <c r="O163" i="7"/>
  <c r="P163" i="7"/>
  <c r="L163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1" i="7"/>
  <c r="K172" i="7"/>
  <c r="K170" i="7"/>
  <c r="K166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G40" i="7"/>
  <c r="L134" i="7"/>
  <c r="M134" i="7"/>
  <c r="K132" i="7"/>
  <c r="K140" i="7"/>
  <c r="J28" i="4"/>
  <c r="I140" i="7"/>
  <c r="F65" i="7"/>
  <c r="A5" i="2"/>
  <c r="D7" i="2"/>
  <c r="D6" i="2"/>
  <c r="M84" i="4"/>
  <c r="I84" i="4"/>
  <c r="E84" i="4"/>
  <c r="H17" i="2"/>
  <c r="E6" i="4"/>
  <c r="D6" i="4"/>
  <c r="C6" i="4"/>
  <c r="B15" i="4"/>
  <c r="B14" i="4"/>
  <c r="B13" i="4"/>
  <c r="A36" i="4"/>
  <c r="D4" i="4"/>
  <c r="A2" i="4"/>
  <c r="B4" i="4"/>
  <c r="C4" i="4"/>
  <c r="H50" i="2"/>
  <c r="A50" i="2"/>
  <c r="H16" i="2"/>
  <c r="A46" i="2"/>
  <c r="A3" i="2"/>
  <c r="F40" i="4"/>
  <c r="F39" i="4"/>
  <c r="F38" i="4"/>
  <c r="K83" i="4"/>
  <c r="I75" i="4"/>
  <c r="P66" i="4"/>
  <c r="G83" i="4"/>
  <c r="F75" i="4"/>
  <c r="J66" i="4"/>
  <c r="D40" i="4"/>
  <c r="B40" i="4"/>
  <c r="C40" i="4"/>
  <c r="A38" i="4"/>
  <c r="A9" i="2"/>
  <c r="A7" i="2"/>
  <c r="F76" i="4"/>
  <c r="G76" i="4"/>
  <c r="I76" i="4"/>
  <c r="J76" i="4"/>
  <c r="G84" i="4"/>
  <c r="H84" i="4"/>
  <c r="K84" i="4"/>
  <c r="L84" i="4"/>
  <c r="A75" i="4"/>
  <c r="A66" i="4"/>
  <c r="A56" i="4"/>
  <c r="A64" i="4"/>
  <c r="A63" i="4"/>
  <c r="A62" i="4"/>
  <c r="A58" i="4"/>
  <c r="A42" i="4"/>
  <c r="D8" i="2"/>
  <c r="D10" i="2"/>
  <c r="D5" i="2"/>
  <c r="D9" i="2"/>
  <c r="H61" i="2"/>
  <c r="A56" i="2"/>
  <c r="A52" i="2"/>
  <c r="H25" i="2"/>
  <c r="H55" i="2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57" i="7"/>
  <c r="F157" i="7"/>
  <c r="E165" i="7"/>
  <c r="H186" i="7"/>
  <c r="H192" i="7"/>
  <c r="K6" i="2"/>
  <c r="D189" i="7"/>
  <c r="D164" i="7"/>
  <c r="H6" i="2"/>
  <c r="D165" i="7"/>
  <c r="H8" i="2"/>
  <c r="D161" i="7"/>
  <c r="G157" i="7"/>
  <c r="E158" i="7"/>
  <c r="G127" i="7"/>
  <c r="F164" i="7"/>
  <c r="G164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<sst xmlns="http://schemas.openxmlformats.org/spreadsheetml/2006/main" count="829" uniqueCount="329">
  <si>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</si>
  <si>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</si>
  <si>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</si>
  <si>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</si>
  <si>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</si>
  <si>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</si>
  <si>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</si>
  <si>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</si>
  <si>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</si>
  <si>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</si>
  <si>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</si>
  <si>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</si>
  <si>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</si>
  <si>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</si>
  <si>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</si>
  <si>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</si>
  <si>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</si>
  <si>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</si>
  <si>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</si>
  <si>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</si>
  <si>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</si>
  <si>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</si>
  <si>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</si>
  <si>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</si>
  <si>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</si>
  <si>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</si>
  <si>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</si>
  <si>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</si>
  <si>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</si>
  <si>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</si>
  <si>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</si>
  <si>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</si>
  <si>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</si>
  <si>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</si>
  <si>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</si>
  <si>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</si>
  <si>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</si>
  <si>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</si>
  <si>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</si>
  <si>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</si>
  <si>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</si>
  <si>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</si>
  <si>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</si>
  <si>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</si>
  <si>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</si>
  <si>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</si>
  <si>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</si>
  <si>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</si>
  <si>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</si>
  <si>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</si>
  <si>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</si>
  <si>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</si>
  <si>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</si>
  <si>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</si>
  <si>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</si>
  <si>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</si>
  <si>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</si>
  <si>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</si>
  <si>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</si>
  <si>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</si>
  <si>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</si>
  <si>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</si>
  <si>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</si>
  <si>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</si>
  <si>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</si>
  <si>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</si>
  <si>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</si>
  <si>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</si>
  <si>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</si>
  <si>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</si>
  <si>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</si>
  <si>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</si>
  <si>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</si>
  <si>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</si>
  <si>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</si>
  <si>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</si>
  <si>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</si>
  <si>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</si>
  <si>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</si>
  <si>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</si>
  <si>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</si>
  <si>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</si>
  <si>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</si>
  <si>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</si>
  <si>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</si>
  <si>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</si>
  <si>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</si>
  <si>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</si>
  <si>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</si>
  <si>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</si>
  <si>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</si>
  <si>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</si>
  <si>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</si>
  <si>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</si>
  <si>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</si>
  <si>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</si>
  <si>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</si>
  <si>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</si>
  <si>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</si>
  <si>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</si>
  <si>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</si>
  <si>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</si>
  <si>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</si>
  <si>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</si>
  <si>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</si>
  <si>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</si>
  <si>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</si>
  <si>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</si>
  <si>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</si>
  <si>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</si>
  <si>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</si>
  <si>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</si>
  <si>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</si>
  <si>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</si>
  <si>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</si>
  <si>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</si>
  <si>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</si>
  <si>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</si>
  <si>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</si>
  <si>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</si>
  <si>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</si>
  <si>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</si>
  <si>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</si>
  <si>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</si>
  <si>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</si>
  <si>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</si>
  <si>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</si>
  <si>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</si>
  <si>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</si>
  <si>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</si>
  <si>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</si>
  <si>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</si>
  <si>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</si>
  <si>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</si>
  <si>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</si>
  <si>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</si>
  <si>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</si>
  <si>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</si>
  <si>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</si>
  <si>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</si>
  <si>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</si>
  <si>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</si>
  <si>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</si>
  <si>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</si>
  <si>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</si>
  <si>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</si>
  <si>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</si>
  <si>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</si>
  <si>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</si>
  <si>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</si>
  <si>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</si>
  <si>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</si>
  <si>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</si>
  <si>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</si>
  <si>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</si>
  <si>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</si>
  <si>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</si>
  <si>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</si>
  <si>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</si>
  <si>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</si>
  <si>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</si>
  <si>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</si>
  <si>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</si>
  <si>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</si>
  <si>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</si>
  <si>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</si>
  <si>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</si>
  <si>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</si>
  <si>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</si>
  <si>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</si>
  <si>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</si>
  <si>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</si>
  <si>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</si>
  <si>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</si>
  <si>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</si>
  <si>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</si>
  <si>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</si>
  <si>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</si>
  <si>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</si>
  <si>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</si>
  <si>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</si>
  <si>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</si>
  <si>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</si>
  <si>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</si>
  <si>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</si>
  <si>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</si>
  <si>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</si>
  <si>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</si>
  <si>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</si>
  <si>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</si>
  <si>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</si>
  <si>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</si>
  <si>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</si>
  <si>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</si>
  <si>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</si>
  <si>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</si>
  <si>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</si>
  <si>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</si>
  <si>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</si>
  <si>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</si>
  <si>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</si>
  <si>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</si>
  <si>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</si>
  <si>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</si>
  <si>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</si>
  <si>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</si>
  <si>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</si>
  <si>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</si>
  <si>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</si>
  <si>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</si>
  <si>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</si>
  <si>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</si>
  <si>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</si>
  <si>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</si>
  <si>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</si>
  <si>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</si>
  <si>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</si>
  <si>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</si>
  <si>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</si>
  <si>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</si>
  <si>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</si>
  <si>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</si>
  <si>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</si>
  <si>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</si>
  <si>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</si>
  <si>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</si>
  <si>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</si>
  <si>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</si>
  <si>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</si>
  <si>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</si>
  <si>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</si>
  <si>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</si>
  <si>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</si>
  <si>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</si>
  <si>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</si>
  <si>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</si>
  <si>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</si>
  <si>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</si>
  <si>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</si>
  <si>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</si>
  <si>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</si>
  <si>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</si>
  <si>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</si>
  <si>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</si>
  <si>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</si>
  <si>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</si>
  <si>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</si>
  <si>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</si>
  <si>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</si>
  <si>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</si>
  <si>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</si>
  <si>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</si>
  <si>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</si>
  <si>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</si>
  <si>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</si>
  <si>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</si>
  <si>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</si>
  <si>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</si>
  <si>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</si>
  <si>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</si>
  <si>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</si>
  <si>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</si>
  <si>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</si>
  <si>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</si>
  <si>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</si>
  <si>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</si>
  <si>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</si>
  <si>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</si>
  <si>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</si>
  <si>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</si>
  <si>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</si>
  <si>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</si>
  <si>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</si>
  <si>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</si>
  <si>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</si>
  <si>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</si>
  <si>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</si>
  <si>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</si>
  <si>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</si>
  <si>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</si>
  <si>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</si>
  <si>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</si>
  <si>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</si>
  <si>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</si>
  <si>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</si>
  <si>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</si>
  <si>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</si>
  <si>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</si>
  <si>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</si>
  <si>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</si>
  <si>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</si>
  <si>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</si>
  <si>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</si>
  <si>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</si>
  <si>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</si>
  <si>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</si>
  <si>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</si>
  <si>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</si>
  <si>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</si>
  <si>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</si>
  <si>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</si>
  <si>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</si>
  <si>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</si>
  <si>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</si>
  <si>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</si>
  <si>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</si>
  <si>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</si>
  <si>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</si>
  <si>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</si>
  <si>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</si>
  <si>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</si>
  <si>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</si>
  <si>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</si>
  <si>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</si>
  <si>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</si>
  <si>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</si>
  <si>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</si>
  <si>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</si>
  <si>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</si>
  <si>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</si>
  <si>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</si>
  <si>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</si>
  <si>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</si>
  <si>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</si>
  <si>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</si>
  <si>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</si>
  <si>
    <t>TAUX DE RENDEMENT INTERNE après IS/IMF</t>
  </si>
  <si>
    <t>FLUX DE TRESORERIE après IS/IMF</t>
  </si>
  <si>
    <t>taux de marge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</si>
</sst>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3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8" fontId="0" fillId="0" borderId="0" xfId="0" applyNumberFormat="1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zoomScaleNormal="100" workbookViewId="0">
      <selection activeCell="I14" sqref="I14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316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6" t="s">
        <v>315</v>
      </c>
      <c r="F3" s="227"/>
      <c r="G3" s="228"/>
      <c r="H3" s="224" t="s">
        <v>323</v>
      </c>
      <c r="I3" s="225"/>
      <c r="J3" s="224" t="s">
        <v>324</v>
      </c>
      <c r="K3" s="225"/>
    </row>
    <row r="4" spans="1:14" x14ac:dyDescent="0.2">
      <c r="D4" s="190"/>
      <c r="E4" s="191" t="s">
        <v>317</v>
      </c>
      <c r="F4" s="192" t="s">
        <v>318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0.03</v>
      </c>
      <c r="F5" s="195">
        <f>IF(_Regime_Select=_Regime_Gen,"",IF(Select!F68&lt;&gt;"",Select!F68,IF(Select!G68&lt;&gt;"",(100%-Select!G68)*Select!C68,"")))</f>
        <v>0</v>
      </c>
      <c r="G5" s="196">
        <f>IF(_Regime_Select=_Regime_Gen,"",IF(OR(Select!F68&lt;&gt;"",Select!G68&lt;&gt;""),Select!E68,""))</f>
        <v>5</v>
      </c>
      <c r="H5" s="197">
        <f>Modèle!D163</f>
        <v>0</v>
      </c>
      <c r="I5" s="198">
        <f>Modèle!I163</f>
        <v>0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9">
        <f>Modèle!D164</f>
        <v>0.11649484536082488</v>
      </c>
      <c r="I6" s="231">
        <f>Modèle!I164</f>
        <v>0.5297697407485138</v>
      </c>
      <c r="J6" s="229">
        <f>Modèle!D192</f>
        <v>0</v>
      </c>
      <c r="K6" s="231">
        <f>Modèle!H192</f>
        <v>0.40232466137854034</v>
      </c>
    </row>
    <row r="7" spans="1:14" x14ac:dyDescent="0.2">
      <c r="A7" s="1" t="str">
        <f>VLOOKUP(_Pays,_Tables,4,FALSE)</f>
        <v>Pays</v>
      </c>
      <c r="B7" s="5" t="s">
        <v>22</v>
      </c>
      <c r="D7" s="200" t="str">
        <f>VLOOKUP(CONCATENATE(_Impot,_Impot_IMF),_Tables,3,FALSE)</f>
        <v>IMF</v>
      </c>
      <c r="E7" s="202">
        <f>Select!C70</f>
        <v>5.0000000000000001E-3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30"/>
      <c r="I7" s="232"/>
      <c r="J7" s="230"/>
      <c r="K7" s="232"/>
    </row>
    <row r="8" spans="1:14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3.8831615120274963E-2</v>
      </c>
      <c r="I8" s="198">
        <f>Modèle!I165</f>
        <v>0.10475407514663165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0.16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9.0721649484536079E-3</v>
      </c>
      <c r="I9" s="172">
        <f>Modèle!I166</f>
        <v>2.2267300531803848E-2</v>
      </c>
      <c r="J9" s="210"/>
      <c r="K9" s="211"/>
    </row>
    <row r="10" spans="1:14" x14ac:dyDescent="0.2">
      <c r="B10" s="19" t="str">
        <f>Select!B62</f>
        <v>Code des investissements</v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Régime normal</v>
      </c>
      <c r="D11" s="173" t="s">
        <v>267</v>
      </c>
      <c r="E11" s="173"/>
      <c r="F11" s="51"/>
      <c r="G11" s="52"/>
      <c r="H11" s="189">
        <f>Modèle!D168</f>
        <v>0.16439862542955347</v>
      </c>
      <c r="I11" s="174">
        <f>Modèle!I168</f>
        <v>0.65679111642694932</v>
      </c>
      <c r="J11" s="189">
        <f>Modèle!D195</f>
        <v>0</v>
      </c>
      <c r="K11" s="174">
        <f>Modèle!H195</f>
        <v>0.51155412770347752</v>
      </c>
      <c r="L11" s="1">
        <f>65082443-6770530</f>
        <v>58311913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22" t="str">
        <f>VLOOKUP(_Bilan,_Tables,4,FALSE)</f>
        <v>Bilan à l'ouverture</v>
      </c>
      <c r="B16" s="222"/>
      <c r="C16" s="222"/>
      <c r="D16" s="222"/>
      <c r="E16" s="222"/>
      <c r="F16" s="222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23" t="str">
        <f>VLOOKUP(_Actif,_Tables,4,FALSE)</f>
        <v>Actif</v>
      </c>
      <c r="B17" s="223"/>
      <c r="C17" s="223"/>
      <c r="D17" s="223" t="str">
        <f>VLOOKUP(_Passif,_Tables,4,FALSE)</f>
        <v>Passif</v>
      </c>
      <c r="E17" s="223"/>
      <c r="F17" s="223"/>
      <c r="H17" s="56" t="str">
        <f>_PIBPNB_Liste</f>
        <v>PIB/tête</v>
      </c>
      <c r="I17" s="57"/>
      <c r="J17" s="69">
        <f>_PIBPNB_Select</f>
        <v>527605.94582116802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22" t="str">
        <f>VLOOKUP(_CompteDeResultat,_Tables,4,FALSE)</f>
        <v>Compte de résultat</v>
      </c>
      <c r="B31" s="222"/>
      <c r="C31" s="222"/>
      <c r="D31" s="222"/>
      <c r="E31" s="222"/>
      <c r="F31" s="222"/>
    </row>
    <row r="32" spans="1:14" x14ac:dyDescent="0.2">
      <c r="A32" s="223" t="str">
        <f>VLOOKUP(_Charges,_Tables,4,FALSE)</f>
        <v>Charges</v>
      </c>
      <c r="B32" s="223"/>
      <c r="C32" s="223"/>
      <c r="D32" s="223" t="str">
        <f>VLOOKUP(_Produits,_Tables,4,FALSE)</f>
        <v>Produits</v>
      </c>
      <c r="E32" s="223"/>
      <c r="F32" s="223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</v>
      </c>
      <c r="C52" s="80">
        <f>_CFE_Taux_Select2</f>
        <v>0</v>
      </c>
      <c r="D52" s="80">
        <f>_CFE_Taux_Select3</f>
        <v>0</v>
      </c>
      <c r="E52" s="80">
        <f>_CFE_Taux_Select4</f>
        <v>0</v>
      </c>
      <c r="F52" s="81">
        <f>_CFE_Taux_Select5</f>
        <v>0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5.0000000000000001E-3</v>
      </c>
      <c r="C54" s="80">
        <f>_IMF_Taux_Select2</f>
        <v>5.0000000000000001E-3</v>
      </c>
      <c r="D54" s="80">
        <f>_IMF_Taux_Select3</f>
        <v>5.0000000000000001E-3</v>
      </c>
      <c r="E54" s="80">
        <f>_IMF_Taux_Select4</f>
        <v>5.0000000000000001E-3</v>
      </c>
      <c r="F54" s="81">
        <f>_IMF_Taux_Select5</f>
        <v>5.0000000000000001E-3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0.16</v>
      </c>
      <c r="C56" s="80">
        <f>_IRC_Taux_Select2</f>
        <v>0.16</v>
      </c>
      <c r="D56" s="80">
        <f>_IRC_Taux_Select3</f>
        <v>0.16</v>
      </c>
      <c r="E56" s="80">
        <f>_IRC_Taux_Select4</f>
        <v>0.16</v>
      </c>
      <c r="F56" s="81">
        <f>_IRC_Taux_Select5</f>
        <v>0.16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>
        <f>IF(ISNUMBER(_Amortissement_TauxExceptionnel_Select),_Amortissement_TauxExceptionnel_Select,"")</f>
        <v>0.4</v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>
        <f>IF(ISNUMBER(_Amortissement_Limitation_Select),_Amortissement_Limitation_Select,"")</f>
        <v>0.5</v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>
        <f>IF(ISNUMBER(_Amortissement_Duree_Select),_Amortissement_Duree_Select,"")</f>
        <v>5</v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B64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527605.94582116802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527605.94582116802</v>
      </c>
    </row>
    <row r="42" spans="1:7" x14ac:dyDescent="0.2">
      <c r="A42" s="1" t="str">
        <f>_Pays</f>
        <v>_Pays</v>
      </c>
      <c r="B42" s="19" t="str">
        <f>VLOOKUP(1,$C43:$D54,2,FALSE)</f>
        <v>_SEN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1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16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Code des investissements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Régime normal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0.03</v>
      </c>
      <c r="E68" s="23">
        <f t="shared" ref="E68:G73" si="4">IF(VLOOKUP(CONCATENATE($E$66,$B68,E$67),_BaseFisc,_ColonneFisc_Select,FALSE)="","",VLOOKUP(CONCATENATE($E$66,$B68,E$67),_BaseFisc,_ColonneFisc_Select,FALSE))</f>
        <v>5</v>
      </c>
      <c r="F68" s="12" t="str">
        <f t="shared" si="4"/>
        <v/>
      </c>
      <c r="G68" s="10">
        <f t="shared" si="4"/>
        <v>1</v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_ReducExo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</v>
      </c>
      <c r="R68" s="24">
        <f t="shared" si="6"/>
        <v>0</v>
      </c>
      <c r="S68" s="24">
        <f t="shared" si="6"/>
        <v>0</v>
      </c>
      <c r="T68" s="24">
        <f t="shared" si="6"/>
        <v>0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 t="str">
        <f t="shared" si="4"/>
        <v/>
      </c>
      <c r="H69" s="3" t="str">
        <f t="shared" si="5"/>
        <v>_Gen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5.0000000000000001E-3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5.0000000000000001E-3</v>
      </c>
      <c r="Q70" s="24">
        <f t="shared" si="6"/>
        <v>5.0000000000000001E-3</v>
      </c>
      <c r="R70" s="24">
        <f t="shared" si="6"/>
        <v>5.0000000000000001E-3</v>
      </c>
      <c r="S70" s="24">
        <f t="shared" si="6"/>
        <v>5.0000000000000001E-3</v>
      </c>
      <c r="T70" s="24">
        <f t="shared" si="6"/>
        <v>5.0000000000000001E-3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0.16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0.16</v>
      </c>
      <c r="Q72" s="24">
        <f t="shared" si="6"/>
        <v>0.16</v>
      </c>
      <c r="R72" s="24">
        <f t="shared" si="6"/>
        <v>0.16</v>
      </c>
      <c r="S72" s="24">
        <f t="shared" si="6"/>
        <v>0.16</v>
      </c>
      <c r="T72" s="24">
        <f t="shared" si="6"/>
        <v>0.16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>
        <f>IF(VLOOKUP(CONCATENATE($C$83,$B85,C$84),_BaseFisc,_ColonneFisc_Select,FALSE)="","",VLOOKUP(CONCATENATE($C$83,$B85,C$84),_BaseFisc,_ColonneFisc_Select,FALSE))</f>
        <v>0.4</v>
      </c>
      <c r="D85" s="10">
        <f>IF(VLOOKUP(CONCATENATE($C$83,$B85,D$84),_BaseFisc,_ColonneFisc_Select,FALSE)="","",VLOOKUP(CONCATENATE($C$83,$B85,D$84),_BaseFisc,_ColonneFisc_Select,FALSE))</f>
        <v>0.5</v>
      </c>
      <c r="E85" s="14">
        <f>$E$69</f>
        <v>5</v>
      </c>
      <c r="G85" s="28"/>
      <c r="H85" s="28"/>
      <c r="I85" s="5"/>
      <c r="K85" s="29">
        <f>IF(G85&lt;&gt;"",G85,IF(OR(_Regime_Select=_Regime_Gen,C85="",$C85=""),_Regime_Gen,C85))</f>
        <v>0.4</v>
      </c>
      <c r="L85" s="29">
        <f>IF(H85&lt;&gt;"",H85,IF(OR(_Regime_Select=_Regime_Gen,D85="",$C85=""),_Regime_Gen,D85))</f>
        <v>0.5</v>
      </c>
      <c r="M85" s="143">
        <f>IF(I85&lt;&gt;"",I85,IF(OR(_Regime_Select=_Regime_Gen,E85="",$C85=""),_Regime_Gen,E85))</f>
        <v>5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25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14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8" x14ac:dyDescent="0.2">
      <c r="A17" s="17" t="str">
        <f>VLOOKUP(_Passif,_Tables,4,FALSE)</f>
        <v>Passif</v>
      </c>
    </row>
    <row r="18" spans="1:8" x14ac:dyDescent="0.2">
      <c r="A18" s="17" t="str">
        <f>VLOOKUP(_CapitauxPropres,_Tables,4,FALSE)</f>
        <v>Capitaux propres</v>
      </c>
    </row>
    <row r="19" spans="1:8" x14ac:dyDescent="0.2">
      <c r="A19" s="4" t="str">
        <f>_CapitalSocial</f>
        <v>_CapitalSocial</v>
      </c>
      <c r="B19" s="13">
        <v>102</v>
      </c>
    </row>
    <row r="20" spans="1:8" x14ac:dyDescent="0.2">
      <c r="A20" s="17" t="str">
        <f>VLOOKUP(_Dettes,_Tables,4,FALSE)</f>
        <v>Dettes</v>
      </c>
    </row>
    <row r="21" spans="1:8" x14ac:dyDescent="0.2">
      <c r="A21" s="4" t="str">
        <f>_DettesLT</f>
        <v>_DettesLT</v>
      </c>
      <c r="B21" s="13">
        <v>43</v>
      </c>
      <c r="H21" s="1" t="s">
        <v>328</v>
      </c>
    </row>
    <row r="22" spans="1:8" x14ac:dyDescent="0.2">
      <c r="A22" s="4" t="str">
        <f>_DettesCT</f>
        <v>_DettesCT</v>
      </c>
      <c r="B22" s="13">
        <v>55</v>
      </c>
      <c r="H22" s="215">
        <v>0.22500000000000001</v>
      </c>
    </row>
    <row r="23" spans="1:8" x14ac:dyDescent="0.2">
      <c r="A23" s="4" t="str">
        <f>_DettesFournisseurs</f>
        <v>_DettesFournisseurs</v>
      </c>
      <c r="B23" s="13">
        <v>50</v>
      </c>
    </row>
    <row r="25" spans="1:8" x14ac:dyDescent="0.2">
      <c r="A25" s="17" t="str">
        <f>VLOOKUP(_CompteDeResultat,_Tables,4,FALSE)</f>
        <v>Compte de résultat</v>
      </c>
    </row>
    <row r="26" spans="1:8" x14ac:dyDescent="0.2">
      <c r="A26" s="17" t="str">
        <f>VLOOKUP(_Charges,_Tables,4,FALSE)</f>
        <v>Charges</v>
      </c>
    </row>
    <row r="27" spans="1:8" x14ac:dyDescent="0.2">
      <c r="A27" s="17" t="str">
        <f>VLOOKUP(_AchatsBetS,_Tables,4,FALSE)</f>
        <v>Achats de biens et services</v>
      </c>
    </row>
    <row r="28" spans="1:8" x14ac:dyDescent="0.2">
      <c r="A28" s="4" t="str">
        <f>_Achats</f>
        <v>_Achats</v>
      </c>
      <c r="B28" s="13">
        <f>INT(E37)</f>
        <v>857</v>
      </c>
    </row>
    <row r="29" spans="1:8" x14ac:dyDescent="0.2">
      <c r="A29" s="4" t="str">
        <f>_Petrole</f>
        <v>_Petrole</v>
      </c>
      <c r="B29" s="13">
        <v>0</v>
      </c>
    </row>
    <row r="30" spans="1:8" x14ac:dyDescent="0.2">
      <c r="A30" s="4" t="str">
        <f>_DepensesAdministratives</f>
        <v>_DepensesAdministratives</v>
      </c>
      <c r="B30" s="13">
        <v>10</v>
      </c>
    </row>
    <row r="31" spans="1:8" x14ac:dyDescent="0.2">
      <c r="A31" s="4" t="str">
        <f>_DepensesPublicitaires</f>
        <v>_DepensesPublicitaires</v>
      </c>
      <c r="B31" s="13">
        <v>10.5</v>
      </c>
    </row>
    <row r="32" spans="1:8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B40/(1+H22)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9"/>
  <sheetViews>
    <sheetView tabSelected="1" zoomScaleNormal="100" workbookViewId="0">
      <pane xSplit="2" ySplit="1" topLeftCell="C72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314</v>
      </c>
      <c r="B4" s="79" t="s">
        <v>251</v>
      </c>
      <c r="C4" s="93">
        <f>(_Terrain_Select+_Constructions_Select+_Equipement_Select+_Camion_Select+_Informatique_Select+_Bureau_Select)*_PIBPNB_Select</f>
        <v>76502862.144069359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1055211.891642336</v>
      </c>
      <c r="E7" s="117">
        <f t="shared" ref="E7:H7" si="0">E$22</f>
        <v>1055211.891642336</v>
      </c>
      <c r="F7" s="117">
        <f t="shared" si="0"/>
        <v>1055211.891642336</v>
      </c>
      <c r="G7" s="117">
        <f t="shared" si="0"/>
        <v>1055211.891642336</v>
      </c>
      <c r="H7" s="118">
        <f t="shared" si="0"/>
        <v>1055211.891642336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7914089.1873175204</v>
      </c>
      <c r="E8" s="113">
        <f t="shared" ref="E8:H8" si="1">E$32</f>
        <v>5935566.8904881403</v>
      </c>
      <c r="F8" s="113">
        <f t="shared" si="1"/>
        <v>4451675.1678661052</v>
      </c>
      <c r="G8" s="113">
        <f t="shared" si="1"/>
        <v>3338756.3758995789</v>
      </c>
      <c r="H8" s="120">
        <f t="shared" si="1"/>
        <v>2504067.2819246841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879343.24303527991</v>
      </c>
      <c r="E9" s="113">
        <f t="shared" ref="E9:H9" si="2">E$42</f>
        <v>879343.24303528003</v>
      </c>
      <c r="F9" s="113">
        <f t="shared" si="2"/>
        <v>879343.24303528003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1319014.86455292</v>
      </c>
      <c r="E10" s="113">
        <f t="shared" ref="E10:H10" si="3">E$52</f>
        <v>1319014.86455292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263802.97291058401</v>
      </c>
      <c r="E11" s="113">
        <f t="shared" ref="E11:H11" si="4">E$62</f>
        <v>263802.97291058401</v>
      </c>
      <c r="F11" s="113">
        <f t="shared" si="4"/>
        <v>263802.97291058401</v>
      </c>
      <c r="G11" s="113">
        <f t="shared" si="4"/>
        <v>263802.97291058401</v>
      </c>
      <c r="H11" s="120">
        <f t="shared" si="4"/>
        <v>263802.97291058401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11431462.159458641</v>
      </c>
      <c r="E12" s="122">
        <f t="shared" ref="E12:H12" si="5">SUM(E7:E11)</f>
        <v>9452939.8626292609</v>
      </c>
      <c r="F12" s="122">
        <f t="shared" si="5"/>
        <v>6650033.2754543051</v>
      </c>
      <c r="G12" s="122">
        <f t="shared" si="5"/>
        <v>4657771.2404524991</v>
      </c>
      <c r="H12" s="123">
        <f t="shared" si="5"/>
        <v>3823082.1464776043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21104237.83284672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21104237.83284672</v>
      </c>
      <c r="E19" s="104">
        <f>D19-D22</f>
        <v>20049025.941204384</v>
      </c>
      <c r="F19" s="104">
        <f t="shared" ref="F19:H19" si="7">E19-E22</f>
        <v>18993814.049562048</v>
      </c>
      <c r="G19" s="104">
        <f t="shared" si="7"/>
        <v>17938602.157919712</v>
      </c>
      <c r="H19" s="105">
        <f t="shared" si="7"/>
        <v>16883390.266277377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1055211.891642336</v>
      </c>
      <c r="E22" s="110">
        <f t="shared" ref="E22:H22" si="9">E19*E21</f>
        <v>1055211.891642336</v>
      </c>
      <c r="F22" s="110">
        <f t="shared" si="9"/>
        <v>1055211.891642336</v>
      </c>
      <c r="G22" s="110">
        <f t="shared" si="9"/>
        <v>1055211.891642336</v>
      </c>
      <c r="H22" s="111">
        <f t="shared" si="9"/>
        <v>1055211.891642336</v>
      </c>
      <c r="K22" s="1">
        <f>E19*E21</f>
        <v>1055211.891642336</v>
      </c>
    </row>
    <row r="23" spans="1:11" x14ac:dyDescent="0.2">
      <c r="K23" s="1">
        <f>E19*0.0526</f>
        <v>1054578.7645073505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31656356.749270082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31656356.749270082</v>
      </c>
      <c r="E29" s="104">
        <f>D29-D32</f>
        <v>23742267.561952561</v>
      </c>
      <c r="F29" s="104">
        <f t="shared" ref="F29" si="13">E29-E32</f>
        <v>17806700.671464421</v>
      </c>
      <c r="G29" s="104">
        <f t="shared" ref="G29" si="14">F29-F32</f>
        <v>13355025.503598316</v>
      </c>
      <c r="H29" s="105">
        <f t="shared" ref="H29" si="15">G29-G32</f>
        <v>10016269.127698736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7914089.1873175204</v>
      </c>
      <c r="E32" s="110">
        <f t="shared" ref="E32:H32" si="17">E29*E31</f>
        <v>5935566.8904881403</v>
      </c>
      <c r="F32" s="110">
        <f t="shared" si="17"/>
        <v>4451675.1678661052</v>
      </c>
      <c r="G32" s="110">
        <f t="shared" si="17"/>
        <v>3338756.3758995789</v>
      </c>
      <c r="H32" s="111">
        <f t="shared" si="17"/>
        <v>2504067.2819246841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2638029.72910584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2638029.72910584</v>
      </c>
      <c r="E39" s="104">
        <f>D39-D42</f>
        <v>1758686.4860705601</v>
      </c>
      <c r="F39" s="104">
        <f t="shared" ref="F39" si="21">E39-E42</f>
        <v>879343.24303528003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879343.24303527991</v>
      </c>
      <c r="E42" s="110">
        <f t="shared" ref="E42:H42" si="25">E39*E41</f>
        <v>879343.24303528003</v>
      </c>
      <c r="F42" s="110">
        <f t="shared" si="25"/>
        <v>879343.24303528003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2638029.72910584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2638029.72910584</v>
      </c>
      <c r="E49" s="104">
        <f>D49-D52</f>
        <v>1319014.86455292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1319014.86455292</v>
      </c>
      <c r="E52" s="110">
        <f t="shared" ref="E52:H52" si="33">E49*E51</f>
        <v>1319014.86455292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2638029.72910584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2638029.72910584</v>
      </c>
      <c r="E59" s="104">
        <f>D59-D62</f>
        <v>2374226.756195256</v>
      </c>
      <c r="F59" s="104">
        <f t="shared" ref="F59" si="37">E59-E62</f>
        <v>2110423.7832846721</v>
      </c>
      <c r="G59" s="104">
        <f t="shared" ref="G59" si="38">F59-F62</f>
        <v>1846620.8103740881</v>
      </c>
      <c r="H59" s="105">
        <f t="shared" ref="H59" si="39">G59-G62</f>
        <v>1582817.8374635042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263802.97291058401</v>
      </c>
      <c r="E62" s="110">
        <f t="shared" ref="E62:H62" si="41">E59*E61</f>
        <v>263802.97291058401</v>
      </c>
      <c r="F62" s="110">
        <f t="shared" si="41"/>
        <v>263802.97291058401</v>
      </c>
      <c r="G62" s="110">
        <f t="shared" si="41"/>
        <v>263802.97291058401</v>
      </c>
      <c r="H62" s="111">
        <f t="shared" si="41"/>
        <v>263802.97291058401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76502862.144069359</v>
      </c>
      <c r="F65" s="6">
        <f>_Amortissement_TauxExceptionnel_Select</f>
        <v>0.4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0.4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0.5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5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5</v>
      </c>
      <c r="E70" s="99">
        <f>IF(D70-1&gt;0,D70-1,0)</f>
        <v>4</v>
      </c>
      <c r="F70" s="99">
        <f t="shared" ref="F70" si="42">IF(E70-1&gt;0,E70-1,0)</f>
        <v>3</v>
      </c>
      <c r="G70" s="99">
        <f t="shared" ref="G70" si="43">IF(F70-1&gt;0,F70-1,0)</f>
        <v>2</v>
      </c>
      <c r="H70" s="100">
        <f t="shared" ref="H70" si="44">IF(G70-1&gt;0,G70-1,0)</f>
        <v>1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30601144.857627746</v>
      </c>
      <c r="E71" s="114">
        <f>D71-D72</f>
        <v>10727987.565030392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19873157.292597353</v>
      </c>
      <c r="E72" s="150">
        <f>IF(E70&lt;=0,0,IF(E$106&lt;=0,0,IF($D67*E$106&gt;E71,E71,$D67*E$106)))</f>
        <v>10727987.565030392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4748453.512390512</v>
      </c>
      <c r="E80" s="127">
        <f>_Nombre_Cadres_Select*_Indice_Cadres_Select*_PIBPNB_Select</f>
        <v>4748453.512390512</v>
      </c>
      <c r="F80" s="127">
        <f>_Nombre_Cadres_Select*_Indice_Cadres_Select*_PIBPNB_Select</f>
        <v>4748453.512390512</v>
      </c>
      <c r="G80" s="127">
        <f>_Nombre_Cadres_Select*_Indice_Cadres_Select*_PIBPNB_Select</f>
        <v>4748453.512390512</v>
      </c>
      <c r="H80" s="128">
        <f>_Nombre_Cadres_Select*_Indice_Cadres_Select*_PIBPNB_Select</f>
        <v>4748453.512390512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5276059.4582116799</v>
      </c>
      <c r="E81" s="129">
        <f>_Nombre_Secretaires_Select*_Indice_Secretaires_Select*_PIBPNB_Select</f>
        <v>5276059.4582116799</v>
      </c>
      <c r="F81" s="129">
        <f>_Nombre_Secretaires_Select*_Indice_Secretaires_Select*_PIBPNB_Select</f>
        <v>5276059.4582116799</v>
      </c>
      <c r="G81" s="129">
        <f>_Nombre_Secretaires_Select*_Indice_Secretaires_Select*_PIBPNB_Select</f>
        <v>5276059.4582116799</v>
      </c>
      <c r="H81" s="130">
        <f>_Nombre_Secretaires_Select*_Indice_Secretaires_Select*_PIBPNB_Select</f>
        <v>5276059.4582116799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25325085.399416067</v>
      </c>
      <c r="E82" s="129">
        <f>_Nombre_Ouvriers_Select*_Indice_Ouvriers_Select*_PIBPNB_Select</f>
        <v>25325085.399416067</v>
      </c>
      <c r="F82" s="129">
        <f>_Nombre_Ouvriers_Select*_Indice_Ouvriers_Select*_PIBPNB_Select</f>
        <v>25325085.399416067</v>
      </c>
      <c r="G82" s="129">
        <f>_Nombre_Ouvriers_Select*_Indice_Ouvriers_Select*_PIBPNB_Select</f>
        <v>25325085.399416067</v>
      </c>
      <c r="H82" s="130">
        <f>_Nombre_Ouvriers_Select*_Indice_Ouvriers_Select*_PIBPNB_Select</f>
        <v>25325085.399416067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35349598.370018259</v>
      </c>
      <c r="E83" s="114">
        <f t="shared" ref="E83:H83" si="47">SUM(E80:E82)</f>
        <v>35349598.370018259</v>
      </c>
      <c r="F83" s="114">
        <f t="shared" si="47"/>
        <v>35349598.370018259</v>
      </c>
      <c r="G83" s="114">
        <f t="shared" si="47"/>
        <v>35349598.370018259</v>
      </c>
      <c r="H83" s="131">
        <f t="shared" si="47"/>
        <v>35349598.370018259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</v>
      </c>
      <c r="E84" s="125">
        <f>_CFE_Taux_Select2</f>
        <v>0</v>
      </c>
      <c r="F84" s="125">
        <f>_CFE_Taux_Select3</f>
        <v>0</v>
      </c>
      <c r="G84" s="125">
        <f>_CFE_Taux_Select4</f>
        <v>0</v>
      </c>
      <c r="H84" s="126">
        <f>_CFE_Taux_Select5</f>
        <v>0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0</v>
      </c>
      <c r="E85" s="110">
        <f t="shared" ref="E85:H85" si="48">E83*E84</f>
        <v>0</v>
      </c>
      <c r="F85" s="110">
        <f t="shared" si="48"/>
        <v>0</v>
      </c>
      <c r="G85" s="110">
        <f t="shared" si="48"/>
        <v>0</v>
      </c>
      <c r="H85" s="111">
        <f t="shared" si="48"/>
        <v>0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2901832.7020164239</v>
      </c>
      <c r="E88" s="127">
        <f>_ChargesFinancieres_Select*_PIBPNB_Select</f>
        <v>2901832.7020164239</v>
      </c>
      <c r="F88" s="127">
        <f>_ChargesFinancieres_Select*_PIBPNB_Select</f>
        <v>2901832.7020164239</v>
      </c>
      <c r="G88" s="127">
        <f>_ChargesFinancieres_Select*_PIBPNB_Select</f>
        <v>2901832.7020164239</v>
      </c>
      <c r="H88" s="128">
        <f>_ChargesFinancieres_Select*_PIBPNB_Select</f>
        <v>2901832.7020164239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0.16</v>
      </c>
      <c r="E89" s="125">
        <f>_IRC_Taux_Select2</f>
        <v>0.16</v>
      </c>
      <c r="F89" s="125">
        <f>_IRC_Taux_Select3</f>
        <v>0.16</v>
      </c>
      <c r="G89" s="125">
        <f>_IRC_Taux_Select4</f>
        <v>0.16</v>
      </c>
      <c r="H89" s="126">
        <f>_IRC_Taux_Select5</f>
        <v>0.16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464293.23232262785</v>
      </c>
      <c r="E90" s="110">
        <f t="shared" ref="E90" si="49">E88*E89</f>
        <v>464293.23232262785</v>
      </c>
      <c r="F90" s="110">
        <f t="shared" ref="F90" si="50">F88*F89</f>
        <v>464293.23232262785</v>
      </c>
      <c r="G90" s="110">
        <f t="shared" ref="G90" si="51">G88*G89</f>
        <v>464293.23232262785</v>
      </c>
      <c r="H90" s="111">
        <f t="shared" ref="H90" si="52">H88*H89</f>
        <v>464293.23232262785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553986243.11222637</v>
      </c>
      <c r="E93" s="93">
        <f>_Ventes_Select*_PIBPNB_Select</f>
        <v>553986243.11222637</v>
      </c>
      <c r="F93" s="93">
        <f>_Ventes_Select*_PIBPNB_Select</f>
        <v>553986243.11222637</v>
      </c>
      <c r="G93" s="93">
        <f>_Ventes_Select*_PIBPNB_Select</f>
        <v>553986243.11222637</v>
      </c>
      <c r="H93" s="137">
        <f>_Ventes_Select*_PIBPNB_Select</f>
        <v>553986243.11222637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452158295.56874096</v>
      </c>
      <c r="E94" s="129">
        <f>_Achats_Select*_PIBPNB_Select</f>
        <v>452158295.56874096</v>
      </c>
      <c r="F94" s="129">
        <f>_Achats_Select*_PIBPNB_Select</f>
        <v>452158295.56874096</v>
      </c>
      <c r="G94" s="129">
        <f>_Achats_Select*_PIBPNB_Select</f>
        <v>452158295.56874096</v>
      </c>
      <c r="H94" s="130">
        <f>_Achats_Select*_PIBPNB_Select</f>
        <v>452158295.56874096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5276059.4582116799</v>
      </c>
      <c r="E97" s="129">
        <f>_DepensesAdministratives_Select*_PIBPNB_Select</f>
        <v>5276059.4582116799</v>
      </c>
      <c r="F97" s="129">
        <f>_DepensesAdministratives_Select*_PIBPNB_Select</f>
        <v>5276059.4582116799</v>
      </c>
      <c r="G97" s="129">
        <f>_DepensesAdministratives_Select*_PIBPNB_Select</f>
        <v>5276059.4582116799</v>
      </c>
      <c r="H97" s="130">
        <f>_DepensesAdministratives_Select*_PIBPNB_Select</f>
        <v>5276059.4582116799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5539862.4311222639</v>
      </c>
      <c r="E98" s="129">
        <f t="shared" si="54"/>
        <v>5539862.4311222639</v>
      </c>
      <c r="F98" s="129">
        <f t="shared" si="54"/>
        <v>5539862.4311222639</v>
      </c>
      <c r="G98" s="129">
        <f t="shared" si="54"/>
        <v>5539862.4311222639</v>
      </c>
      <c r="H98" s="130">
        <f t="shared" si="54"/>
        <v>5539862.4311222639</v>
      </c>
      <c r="I98" s="217">
        <f t="shared" si="54"/>
        <v>5539862.4311222639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1582817.8374635042</v>
      </c>
      <c r="E99" s="129">
        <f>_DepensesDEntretien_Select*_PIBPNB_Select</f>
        <v>1582817.8374635042</v>
      </c>
      <c r="F99" s="129">
        <f>_DepensesDEntretien_Select*_PIBPNB_Select</f>
        <v>1582817.8374635042</v>
      </c>
      <c r="G99" s="129">
        <f>_DepensesDEntretien_Select*_PIBPNB_Select</f>
        <v>1582817.8374635042</v>
      </c>
      <c r="H99" s="130">
        <f>_DepensesDEntretien_Select*_PIBPNB_Select</f>
        <v>1582817.8374635042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4748453.512390512</v>
      </c>
      <c r="E100" s="127">
        <f>_Nombre_Cadres_Select*_Indice_Cadres_Select*_PIBPNB_Select</f>
        <v>4748453.512390512</v>
      </c>
      <c r="F100" s="127">
        <f>_Nombre_Cadres_Select*_Indice_Cadres_Select*_PIBPNB_Select</f>
        <v>4748453.512390512</v>
      </c>
      <c r="G100" s="127">
        <f>_Nombre_Cadres_Select*_Indice_Cadres_Select*_PIBPNB_Select</f>
        <v>4748453.512390512</v>
      </c>
      <c r="H100" s="128">
        <f>_Nombre_Cadres_Select*_Indice_Cadres_Select*_PIBPNB_Select</f>
        <v>4748453.512390512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5276059.4582116799</v>
      </c>
      <c r="E101" s="129">
        <f>_Nombre_Secretaires_Select*_Indice_Secretaires_Select*_PIBPNB_Select</f>
        <v>5276059.4582116799</v>
      </c>
      <c r="F101" s="129">
        <f>_Nombre_Secretaires_Select*_Indice_Secretaires_Select*_PIBPNB_Select</f>
        <v>5276059.4582116799</v>
      </c>
      <c r="G101" s="129">
        <f>_Nombre_Secretaires_Select*_Indice_Secretaires_Select*_PIBPNB_Select</f>
        <v>5276059.4582116799</v>
      </c>
      <c r="H101" s="130">
        <f>_Nombre_Secretaires_Select*_Indice_Secretaires_Select*_PIBPNB_Select</f>
        <v>5276059.4582116799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25325085.399416067</v>
      </c>
      <c r="E102" s="129">
        <f>_Nombre_Ouvriers_Select*_Indice_Ouvriers_Select*_PIBPNB_Select</f>
        <v>25325085.399416067</v>
      </c>
      <c r="F102" s="129">
        <f>_Nombre_Ouvriers_Select*_Indice_Ouvriers_Select*_PIBPNB_Select</f>
        <v>25325085.399416067</v>
      </c>
      <c r="G102" s="129">
        <f>_Nombre_Ouvriers_Select*_Indice_Ouvriers_Select*_PIBPNB_Select</f>
        <v>25325085.399416067</v>
      </c>
      <c r="H102" s="130">
        <f>_Nombre_Ouvriers_Select*_Indice_Ouvriers_Select*_PIBPNB_Select</f>
        <v>25325085.399416067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0</v>
      </c>
      <c r="E103" s="135">
        <f t="shared" ref="E103:H103" si="55">E$85</f>
        <v>0</v>
      </c>
      <c r="F103" s="135">
        <f t="shared" si="55"/>
        <v>0</v>
      </c>
      <c r="G103" s="135">
        <f t="shared" si="55"/>
        <v>0</v>
      </c>
      <c r="H103" s="136">
        <f t="shared" si="55"/>
        <v>0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2901832.7020164239</v>
      </c>
      <c r="E104" s="129">
        <f>_ChargesFinancieres_Select*_PIBPNB_Select</f>
        <v>2901832.7020164239</v>
      </c>
      <c r="F104" s="129">
        <f>_ChargesFinancieres_Select*_PIBPNB_Select</f>
        <v>2901832.7020164239</v>
      </c>
      <c r="G104" s="129">
        <f>_ChargesFinancieres_Select*_PIBPNB_Select</f>
        <v>2901832.7020164239</v>
      </c>
      <c r="H104" s="130">
        <f>_ChargesFinancieres_Select*_PIBPNB_Select</f>
        <v>2901832.7020164239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11431462.159458641</v>
      </c>
      <c r="E105" s="112">
        <f t="shared" ref="E105:H105" si="56">E$12</f>
        <v>9452939.8626292609</v>
      </c>
      <c r="F105" s="112">
        <f t="shared" si="56"/>
        <v>6650033.2754543051</v>
      </c>
      <c r="G105" s="112">
        <f t="shared" si="56"/>
        <v>4657771.2404524991</v>
      </c>
      <c r="H105" s="134">
        <f t="shared" si="56"/>
        <v>3823082.1464776043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39746314.585194707</v>
      </c>
      <c r="E106" s="153">
        <f>E93-SUM(E94:E105)</f>
        <v>41724836.882024109</v>
      </c>
      <c r="F106" s="153">
        <f>F93-SUM(F94:F105)</f>
        <v>44527743.469199061</v>
      </c>
      <c r="G106" s="153">
        <f>G93-SUM(G94:G105)</f>
        <v>46520005.504200816</v>
      </c>
      <c r="H106" s="154">
        <f>H93-SUM(H94:H105)</f>
        <v>47354694.598175764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7.1746031746031835E-2</v>
      </c>
      <c r="E107" s="132">
        <f t="shared" ref="E107:H107" si="57">E106/E$93</f>
        <v>7.531746031746045E-2</v>
      </c>
      <c r="F107" s="132">
        <f t="shared" si="57"/>
        <v>8.0376984126984255E-2</v>
      </c>
      <c r="G107" s="132">
        <f t="shared" si="57"/>
        <v>8.3973214285714332E-2</v>
      </c>
      <c r="H107" s="133">
        <f t="shared" si="57"/>
        <v>8.5479910714285845E-2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39746314.585194707</v>
      </c>
      <c r="E110" s="117">
        <f t="shared" ref="E110:H110" si="58">E106</f>
        <v>41724836.882024109</v>
      </c>
      <c r="F110" s="117">
        <f t="shared" si="58"/>
        <v>44527743.469199061</v>
      </c>
      <c r="G110" s="117">
        <f t="shared" si="58"/>
        <v>46520005.504200816</v>
      </c>
      <c r="H110" s="118">
        <f t="shared" si="58"/>
        <v>47354694.598175764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19873157.292597353</v>
      </c>
      <c r="E111" s="113">
        <f>E72</f>
        <v>10727987.565030392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19873157.292597353</v>
      </c>
      <c r="E112" s="122">
        <f t="shared" ref="E112:H112" si="59">E110-E111</f>
        <v>30996849.316993717</v>
      </c>
      <c r="F112" s="122">
        <f t="shared" si="59"/>
        <v>44527743.469199061</v>
      </c>
      <c r="G112" s="122">
        <f t="shared" si="59"/>
        <v>46520005.504200816</v>
      </c>
      <c r="H112" s="123">
        <f t="shared" si="59"/>
        <v>47354694.598175764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19873157.292597353</v>
      </c>
      <c r="E115" s="117">
        <f t="shared" ref="E115:H115" si="60">E$112</f>
        <v>30996849.316993717</v>
      </c>
      <c r="F115" s="117">
        <f t="shared" si="60"/>
        <v>44527743.469199061</v>
      </c>
      <c r="G115" s="117">
        <f t="shared" si="60"/>
        <v>46520005.504200816</v>
      </c>
      <c r="H115" s="118">
        <f t="shared" si="60"/>
        <v>47354694.598175764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5961947.1877792059</v>
      </c>
      <c r="E117" s="110">
        <f t="shared" ref="E117:H117" si="61">E115*E116</f>
        <v>9299054.7950981148</v>
      </c>
      <c r="F117" s="110">
        <f t="shared" si="61"/>
        <v>13358323.040759718</v>
      </c>
      <c r="G117" s="110">
        <f t="shared" si="61"/>
        <v>13956001.651260244</v>
      </c>
      <c r="H117" s="111">
        <f t="shared" si="61"/>
        <v>14206408.37945273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553986243.11222637</v>
      </c>
      <c r="E120" s="117">
        <f t="shared" ref="E120:H120" si="62">E$93</f>
        <v>553986243.11222637</v>
      </c>
      <c r="F120" s="117">
        <f t="shared" si="62"/>
        <v>553986243.11222637</v>
      </c>
      <c r="G120" s="117">
        <f t="shared" si="62"/>
        <v>553986243.11222637</v>
      </c>
      <c r="H120" s="118">
        <f t="shared" si="62"/>
        <v>553986243.11222637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5.0000000000000001E-3</v>
      </c>
      <c r="E121" s="125">
        <f>_IMF_Taux_Select2</f>
        <v>5.0000000000000001E-3</v>
      </c>
      <c r="F121" s="125">
        <f>_IMF_Taux_Select3</f>
        <v>5.0000000000000001E-3</v>
      </c>
      <c r="G121" s="125">
        <f>_IMF_Taux_Select4</f>
        <v>5.0000000000000001E-3</v>
      </c>
      <c r="H121" s="126">
        <f>_IMF_Taux_Select5</f>
        <v>5.0000000000000001E-3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2769931.2155611319</v>
      </c>
      <c r="E122" s="110">
        <f t="shared" ref="E122" si="63">E120*E121</f>
        <v>2769931.2155611319</v>
      </c>
      <c r="F122" s="110">
        <f t="shared" ref="F122" si="64">F120*F121</f>
        <v>2769931.2155611319</v>
      </c>
      <c r="G122" s="110">
        <f t="shared" ref="G122" si="65">G120*G121</f>
        <v>2769931.2155611319</v>
      </c>
      <c r="H122" s="111">
        <f t="shared" ref="H122" si="66">H120*H121</f>
        <v>2769931.2155611319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5961947.1877792059</v>
      </c>
      <c r="E125" s="155">
        <f>IF(E$117&gt;E$122,E$117,E$122)</f>
        <v>9299054.7950981148</v>
      </c>
      <c r="F125" s="155">
        <f>IF(F$117&gt;F$122,F$117,F$122)</f>
        <v>13358323.040759718</v>
      </c>
      <c r="G125" s="155">
        <f>IF(G$117&gt;G$122,G$117,G$122)</f>
        <v>13956001.651260244</v>
      </c>
      <c r="H125" s="156">
        <f>IF(H$117&gt;H$122,H$117,H$122)</f>
        <v>14206408.37945273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39746314.585194707</v>
      </c>
      <c r="E126" s="113">
        <f t="shared" ref="E126:H126" si="67">E$106</f>
        <v>41724836.882024109</v>
      </c>
      <c r="F126" s="113">
        <f t="shared" si="67"/>
        <v>44527743.469199061</v>
      </c>
      <c r="G126" s="113">
        <f t="shared" si="67"/>
        <v>46520005.504200816</v>
      </c>
      <c r="H126" s="120">
        <f t="shared" si="67"/>
        <v>47354694.598175764</v>
      </c>
      <c r="I126" s="182">
        <f>D110-D125</f>
        <v>33784367.397415504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7.1746031746031835E-2</v>
      </c>
      <c r="E127" s="132">
        <f t="shared" ref="E127:H127" si="68">E126/E$93</f>
        <v>7.531746031746045E-2</v>
      </c>
      <c r="F127" s="132">
        <f t="shared" si="68"/>
        <v>8.0376984126984255E-2</v>
      </c>
      <c r="G127" s="132">
        <f t="shared" si="68"/>
        <v>8.3973214285714332E-2</v>
      </c>
      <c r="H127" s="133">
        <f t="shared" si="68"/>
        <v>8.5479910714285845E-2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39746314.585194707</v>
      </c>
      <c r="E130" s="117">
        <f t="shared" ref="E130:H130" si="69">E126</f>
        <v>41724836.882024109</v>
      </c>
      <c r="F130" s="117">
        <f t="shared" si="69"/>
        <v>44527743.469199061</v>
      </c>
      <c r="G130" s="117">
        <f t="shared" si="69"/>
        <v>46520005.504200816</v>
      </c>
      <c r="H130" s="118">
        <f t="shared" si="69"/>
        <v>47354694.598175764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1987315.7292597354</v>
      </c>
      <c r="E133" s="110">
        <f t="shared" ref="E133:H133" si="70">E130*E131*E132</f>
        <v>2086241.8441012055</v>
      </c>
      <c r="F133" s="110">
        <f t="shared" si="70"/>
        <v>2226387.1734599532</v>
      </c>
      <c r="G133" s="110">
        <f t="shared" si="70"/>
        <v>2326000.2752100411</v>
      </c>
      <c r="H133" s="111">
        <f t="shared" si="70"/>
        <v>2367734.7299087881</v>
      </c>
    </row>
    <row r="134" spans="1:17" x14ac:dyDescent="0.2">
      <c r="J134" s="212"/>
      <c r="L134" s="1">
        <f>(D141/1.08^0)+(E141/1.08^1)+(F141/1.08^2)+(G141/1.08^3)+(H141/1.08^4)</f>
        <v>47545650.352557965</v>
      </c>
      <c r="M134" s="1">
        <f>L134/1.08</f>
        <v>44023750.326442555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0</v>
      </c>
      <c r="E140" s="117">
        <f t="shared" ref="E140:H140" si="71">E$85</f>
        <v>0</v>
      </c>
      <c r="F140" s="117">
        <f t="shared" si="71"/>
        <v>0</v>
      </c>
      <c r="G140" s="117">
        <f t="shared" si="71"/>
        <v>0</v>
      </c>
      <c r="H140" s="117">
        <f t="shared" si="71"/>
        <v>0</v>
      </c>
      <c r="I140" s="162">
        <f>NPV(_TauxDActualisation_Select,D140:H140)</f>
        <v>0</v>
      </c>
      <c r="K140" s="182">
        <f>(D140/(1.08))+(D140/(1.08*2))+(D140/(1.08*3))+(D140/(1.08*4))+(D140/(1.08*5))</f>
        <v>0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5961947.1877792059</v>
      </c>
      <c r="E141" s="113">
        <f>E125</f>
        <v>9299054.7950981148</v>
      </c>
      <c r="F141" s="113">
        <f>F125</f>
        <v>13358323.040759718</v>
      </c>
      <c r="G141" s="113">
        <f>G125</f>
        <v>13956001.651260244</v>
      </c>
      <c r="H141" s="113">
        <f>H125</f>
        <v>14206408.37945273</v>
      </c>
      <c r="I141" s="163">
        <f t="shared" ref="I141:I145" si="72">NPV(_TauxDActualisation_Select,D141:H141)</f>
        <v>44691553.905031733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1987315.7292597354</v>
      </c>
      <c r="E142" s="113">
        <f>E$133</f>
        <v>2086241.8441012055</v>
      </c>
      <c r="F142" s="113">
        <f t="shared" ref="F142:H142" si="73">F$133</f>
        <v>2226387.1734599532</v>
      </c>
      <c r="G142" s="113">
        <f t="shared" si="73"/>
        <v>2326000.2752100411</v>
      </c>
      <c r="H142" s="113">
        <f t="shared" si="73"/>
        <v>2367734.7299087881</v>
      </c>
      <c r="I142" s="163">
        <f t="shared" si="72"/>
        <v>8837089.0900124833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464293.23232262785</v>
      </c>
      <c r="E143" s="113">
        <f t="shared" ref="E143:H143" si="74">E$90</f>
        <v>464293.23232262785</v>
      </c>
      <c r="F143" s="113">
        <f t="shared" si="74"/>
        <v>464293.23232262785</v>
      </c>
      <c r="G143" s="113">
        <f t="shared" si="74"/>
        <v>464293.23232262785</v>
      </c>
      <c r="H143" s="113">
        <f t="shared" si="74"/>
        <v>464293.23232262785</v>
      </c>
      <c r="I143" s="163">
        <f t="shared" si="72"/>
        <v>1878476.97875418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8413556.1493615694</v>
      </c>
      <c r="E145" s="122">
        <f>SUM(E140:E144)</f>
        <v>11849589.871521948</v>
      </c>
      <c r="F145" s="122">
        <f>SUM(F140:F144)</f>
        <v>16049003.446542298</v>
      </c>
      <c r="G145" s="122">
        <f>SUM(G140:G144)</f>
        <v>16746295.158792913</v>
      </c>
      <c r="H145" s="122">
        <f>SUM(H140:H144)</f>
        <v>17038436.341684148</v>
      </c>
      <c r="I145" s="165">
        <f t="shared" si="72"/>
        <v>55407119.973798394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0</v>
      </c>
      <c r="E147" s="117">
        <f t="shared" si="76"/>
        <v>0</v>
      </c>
      <c r="F147" s="117">
        <f t="shared" si="76"/>
        <v>0</v>
      </c>
      <c r="G147" s="117">
        <f t="shared" si="76"/>
        <v>0</v>
      </c>
      <c r="H147" s="117">
        <f t="shared" si="76"/>
        <v>0</v>
      </c>
      <c r="I147" s="162">
        <f>SUM(D147:H147)</f>
        <v>0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5961947.1877792059</v>
      </c>
      <c r="E148" s="113">
        <f t="shared" si="76"/>
        <v>8650283.5303238276</v>
      </c>
      <c r="F148" s="113">
        <f t="shared" si="76"/>
        <v>11559392.571776934</v>
      </c>
      <c r="G148" s="113">
        <f t="shared" si="76"/>
        <v>11234031.037275406</v>
      </c>
      <c r="H148" s="113">
        <f t="shared" si="76"/>
        <v>10637766.120753735</v>
      </c>
      <c r="I148" s="163">
        <f t="shared" ref="I148:I152" si="77">SUM(D148:H148)</f>
        <v>48043420.447909109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1987315.7292597354</v>
      </c>
      <c r="E149" s="113">
        <f>E142*E$136</f>
        <v>1940690.0875360051</v>
      </c>
      <c r="F149" s="113">
        <f t="shared" si="78"/>
        <v>1926565.4286294891</v>
      </c>
      <c r="G149" s="113">
        <f t="shared" si="78"/>
        <v>1872338.5062125681</v>
      </c>
      <c r="H149" s="113">
        <f t="shared" si="78"/>
        <v>1772961.0201256224</v>
      </c>
      <c r="I149" s="163">
        <f t="shared" si="77"/>
        <v>9499870.7717634197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464293.23232262785</v>
      </c>
      <c r="E150" s="113">
        <f t="shared" si="79"/>
        <v>431900.6812303515</v>
      </c>
      <c r="F150" s="113">
        <f t="shared" si="79"/>
        <v>401768.07556311769</v>
      </c>
      <c r="G150" s="113">
        <f t="shared" si="79"/>
        <v>373737.74470987695</v>
      </c>
      <c r="H150" s="113">
        <f t="shared" si="79"/>
        <v>347663.01833476924</v>
      </c>
      <c r="I150" s="163">
        <f t="shared" si="77"/>
        <v>2019362.7521607433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8413556.1493615694</v>
      </c>
      <c r="E152" s="122">
        <f t="shared" ref="E152" si="81">SUM(E147:E151)</f>
        <v>11022874.299090184</v>
      </c>
      <c r="F152" s="122">
        <f t="shared" ref="F152" si="82">SUM(F147:F151)</f>
        <v>13887726.075969541</v>
      </c>
      <c r="G152" s="122">
        <f t="shared" ref="G152" si="83">SUM(G147:G151)</f>
        <v>13480107.288197851</v>
      </c>
      <c r="H152" s="122">
        <f t="shared" ref="H152" si="84">SUM(H147:H151)</f>
        <v>12758390.159214126</v>
      </c>
      <c r="I152" s="165">
        <f t="shared" si="77"/>
        <v>59562653.971833274</v>
      </c>
    </row>
    <row r="153" spans="1:17" x14ac:dyDescent="0.2">
      <c r="M153" s="182">
        <f>SUM(D140:D144)</f>
        <v>8413556.1493615694</v>
      </c>
      <c r="N153" s="182">
        <f t="shared" ref="N153:Q153" si="85">SUM(E140:E144)</f>
        <v>11849589.871521948</v>
      </c>
      <c r="O153" s="182">
        <f t="shared" si="85"/>
        <v>16049003.446542298</v>
      </c>
      <c r="P153" s="182">
        <f t="shared" si="85"/>
        <v>16746295.158792913</v>
      </c>
      <c r="Q153" s="182">
        <f t="shared" si="85"/>
        <v>17038436.341684148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0</v>
      </c>
      <c r="E156" s="166">
        <f t="shared" si="86"/>
        <v>0</v>
      </c>
      <c r="F156" s="166">
        <f t="shared" si="86"/>
        <v>0</v>
      </c>
      <c r="G156" s="166">
        <f t="shared" si="86"/>
        <v>0</v>
      </c>
      <c r="H156" s="166">
        <f t="shared" si="86"/>
        <v>0</v>
      </c>
      <c r="I156" s="168">
        <f t="shared" si="86"/>
        <v>0</v>
      </c>
      <c r="M156" s="182">
        <f>M153/((1+_TauxDActualisation_Select)^D1)</f>
        <v>7826563.8598712273</v>
      </c>
      <c r="N156" s="182">
        <f>N153/((1+_TauxDActualisation_Select)^E1)</f>
        <v>10253836.557293195</v>
      </c>
      <c r="O156" s="182">
        <f>O153/((1+_TauxDActualisation_Select)^F1)</f>
        <v>12918814.954390271</v>
      </c>
      <c r="P156" s="182">
        <f>P153/((1+_TauxDActualisation_Select)^G1)</f>
        <v>12539634.686695674</v>
      </c>
      <c r="Q156" s="182">
        <f>Q153/((1+_TauxDActualisation_Select)^H1)</f>
        <v>11868269.915548027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0.11649484536082488</v>
      </c>
      <c r="E157" s="167">
        <f t="shared" si="86"/>
        <v>0.1817010309278356</v>
      </c>
      <c r="F157" s="167">
        <f t="shared" si="86"/>
        <v>0.26101804123711381</v>
      </c>
      <c r="G157" s="167">
        <f t="shared" si="86"/>
        <v>0.27269652061855676</v>
      </c>
      <c r="H157" s="167">
        <f t="shared" si="86"/>
        <v>0.27758940077319627</v>
      </c>
      <c r="I157" s="169">
        <f>I141/I$171</f>
        <v>0.59463541784154361</v>
      </c>
      <c r="M157" s="182">
        <f>SUM(M156:Q156)</f>
        <v>55407119.973798394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3.8831615120274963E-2</v>
      </c>
      <c r="E158" s="167">
        <f t="shared" si="86"/>
        <v>4.0764604810996634E-2</v>
      </c>
      <c r="F158" s="167">
        <f t="shared" si="86"/>
        <v>4.3503006872852301E-2</v>
      </c>
      <c r="G158" s="167">
        <f t="shared" si="86"/>
        <v>4.5449420103092802E-2</v>
      </c>
      <c r="H158" s="167">
        <f t="shared" si="86"/>
        <v>4.6264900128866047E-2</v>
      </c>
      <c r="I158" s="169">
        <f t="shared" si="86"/>
        <v>0.11758029659718068</v>
      </c>
      <c r="K158" s="182">
        <f>C172+M157</f>
        <v>-76494366.481493607</v>
      </c>
      <c r="M158" s="215">
        <f>K158/I171</f>
        <v>-1.0177820102631499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9.0721649484536079E-3</v>
      </c>
      <c r="E159" s="167">
        <f t="shared" si="86"/>
        <v>9.0721649484536079E-3</v>
      </c>
      <c r="F159" s="167">
        <f t="shared" si="86"/>
        <v>9.0721649484536079E-3</v>
      </c>
      <c r="G159" s="167">
        <f t="shared" si="86"/>
        <v>9.0721649484536079E-3</v>
      </c>
      <c r="H159" s="167">
        <f t="shared" si="86"/>
        <v>9.0721649484536079E-3</v>
      </c>
      <c r="I159" s="169">
        <f t="shared" si="86"/>
        <v>2.4993736971885654E-2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0.16439862542955347</v>
      </c>
      <c r="E161" s="170">
        <f t="shared" si="86"/>
        <v>0.23153780068728583</v>
      </c>
      <c r="F161" s="170">
        <f t="shared" si="86"/>
        <v>0.3135932130584197</v>
      </c>
      <c r="G161" s="170">
        <f t="shared" si="86"/>
        <v>0.32721810567010318</v>
      </c>
      <c r="H161" s="170">
        <f t="shared" si="86"/>
        <v>0.332926465850516</v>
      </c>
      <c r="I161" s="171">
        <f t="shared" si="86"/>
        <v>0.73720945141061001</v>
      </c>
      <c r="J161" s="216">
        <f>I171-I179</f>
        <v>55407119.973798424</v>
      </c>
      <c r="K161" s="219">
        <f>J161/I171</f>
        <v>0.73720945141061034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0</v>
      </c>
      <c r="E163" s="166">
        <f t="shared" si="87"/>
        <v>0</v>
      </c>
      <c r="F163" s="166">
        <f t="shared" si="87"/>
        <v>0</v>
      </c>
      <c r="G163" s="166">
        <f t="shared" si="87"/>
        <v>0</v>
      </c>
      <c r="H163" s="166">
        <f t="shared" si="87"/>
        <v>0</v>
      </c>
      <c r="I163" s="168">
        <f t="shared" si="87"/>
        <v>0</v>
      </c>
      <c r="L163" s="1">
        <f>D171*M140</f>
        <v>51177776.744653299</v>
      </c>
      <c r="M163" s="1">
        <f t="shared" ref="M163:P163" si="88">E171*N140</f>
        <v>47595332.37252757</v>
      </c>
      <c r="N163" s="1">
        <f t="shared" si="88"/>
        <v>44268776.884125106</v>
      </c>
      <c r="O163" s="1">
        <f t="shared" si="88"/>
        <v>41198110.279445909</v>
      </c>
      <c r="P163" s="1">
        <f t="shared" si="88"/>
        <v>38332154.781745322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0.11649484536082488</v>
      </c>
      <c r="E164" s="167">
        <f t="shared" si="87"/>
        <v>0.1817010309278356</v>
      </c>
      <c r="F164" s="167">
        <f t="shared" si="87"/>
        <v>0.26101804123711381</v>
      </c>
      <c r="G164" s="167">
        <f t="shared" si="87"/>
        <v>0.27269652061855676</v>
      </c>
      <c r="H164" s="167">
        <f t="shared" si="87"/>
        <v>0.27758940077319627</v>
      </c>
      <c r="I164" s="169">
        <f t="shared" si="87"/>
        <v>0.5297697407485138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3.8831615120274963E-2</v>
      </c>
      <c r="E165" s="167">
        <f t="shared" si="87"/>
        <v>4.0764604810996634E-2</v>
      </c>
      <c r="F165" s="167">
        <f t="shared" si="87"/>
        <v>4.3503006872852301E-2</v>
      </c>
      <c r="G165" s="167">
        <f t="shared" si="87"/>
        <v>4.5449420103092809E-2</v>
      </c>
      <c r="H165" s="167">
        <f t="shared" si="87"/>
        <v>4.6264900128866047E-2</v>
      </c>
      <c r="I165" s="169">
        <f t="shared" si="87"/>
        <v>0.10475407514663165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9.0721649484536079E-3</v>
      </c>
      <c r="E166" s="167">
        <f t="shared" si="87"/>
        <v>9.0721649484536079E-3</v>
      </c>
      <c r="F166" s="167">
        <f t="shared" si="87"/>
        <v>9.0721649484536079E-3</v>
      </c>
      <c r="G166" s="167">
        <f t="shared" si="87"/>
        <v>9.0721649484536079E-3</v>
      </c>
      <c r="H166" s="167">
        <f t="shared" si="87"/>
        <v>9.0721649484536079E-3</v>
      </c>
      <c r="I166" s="169">
        <f t="shared" si="87"/>
        <v>2.2267300531803848E-2</v>
      </c>
      <c r="K166" s="167">
        <f>((L171-I179)/I171)</f>
        <v>-0.26279054858938966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0.16439862542955347</v>
      </c>
      <c r="E168" s="170">
        <f t="shared" si="87"/>
        <v>0.23153780068728583</v>
      </c>
      <c r="F168" s="170">
        <f t="shared" si="87"/>
        <v>0.3135932130584197</v>
      </c>
      <c r="G168" s="170">
        <f t="shared" si="87"/>
        <v>0.32721810567010318</v>
      </c>
      <c r="H168" s="170">
        <f t="shared" si="87"/>
        <v>0.33292646585051594</v>
      </c>
      <c r="I168" s="171">
        <f t="shared" si="87"/>
        <v>0.65679111642694932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0.73720945141061034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-131901486.455292</v>
      </c>
      <c r="D171" s="117">
        <f>D$93-D$94-D$95-D$97-D$98-D$99-D$100-D$101-D$102-D$104</f>
        <v>51177776.744653299</v>
      </c>
      <c r="E171" s="117">
        <f t="shared" ref="E171:G171" si="89">E$93-E$94-E$95-E$97-E$98-E$99-E$100-E$101-E$102-E$104</f>
        <v>51177776.744653299</v>
      </c>
      <c r="F171" s="117">
        <f t="shared" si="89"/>
        <v>51177776.744653299</v>
      </c>
      <c r="G171" s="117">
        <f t="shared" si="89"/>
        <v>51177776.744653299</v>
      </c>
      <c r="H171" s="117">
        <f>H$93-H$94-H$95-H$97-H$98-H$99-H$100-H$101-H$102-H$104</f>
        <v>51177776.744653299</v>
      </c>
      <c r="I171" s="162">
        <f>NPV(_TauxDActualisation_Select,D171:H171)+C171</f>
        <v>75157907.793748304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-131901486.455292</v>
      </c>
      <c r="D172" s="135">
        <f>D171*D$136</f>
        <v>51177776.744653299</v>
      </c>
      <c r="E172" s="135">
        <f>E171*E$136</f>
        <v>47607234.181072839</v>
      </c>
      <c r="F172" s="135">
        <f>F171*F$136</f>
        <v>44285799.238207296</v>
      </c>
      <c r="G172" s="135">
        <f>G171*G$136</f>
        <v>41196092.314611435</v>
      </c>
      <c r="H172" s="135">
        <f>H171*H$136</f>
        <v>38321946.339173429</v>
      </c>
      <c r="I172" s="164">
        <f>SUM(C172:H172)</f>
        <v>90687362.362426296</v>
      </c>
      <c r="K172" s="1">
        <f>K171/176945019</f>
        <v>0.97277386485798734</v>
      </c>
    </row>
    <row r="173" spans="1:16" x14ac:dyDescent="0.2">
      <c r="C173" s="218">
        <f>C171</f>
        <v>-131901486.455292</v>
      </c>
      <c r="D173" s="6">
        <f>D171/(1+K173)</f>
        <v>47607234.181072839</v>
      </c>
      <c r="E173" s="6">
        <f>E171/(1+K173)^2</f>
        <v>44285799.238207296</v>
      </c>
      <c r="F173" s="6">
        <f>F171/(1+K173)^3</f>
        <v>41196092.314611435</v>
      </c>
      <c r="G173" s="6">
        <f>G171/(1+K173)^4</f>
        <v>38321946.339173429</v>
      </c>
      <c r="H173" s="6">
        <f>H171/(1+K173)^5</f>
        <v>35648322.175975285</v>
      </c>
      <c r="I173" s="6">
        <f>SUM(C173:H173)</f>
        <v>75157907.793748289</v>
      </c>
      <c r="K173" s="1">
        <v>7.4999999999999997E-2</v>
      </c>
    </row>
    <row r="174" spans="1:16" x14ac:dyDescent="0.2">
      <c r="A174" s="152" t="s">
        <v>327</v>
      </c>
      <c r="I174" s="6" t="s">
        <v>302</v>
      </c>
      <c r="L174" s="216">
        <f>I171-I179</f>
        <v>55407119.973798424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-131901486.455292</v>
      </c>
      <c r="D175" s="117">
        <f>D$171-D141</f>
        <v>45215829.556874096</v>
      </c>
      <c r="E175" s="117">
        <f t="shared" ref="E175:H175" si="90">E$171-E141</f>
        <v>41878721.949555188</v>
      </c>
      <c r="F175" s="117">
        <f t="shared" si="90"/>
        <v>37819453.70389358</v>
      </c>
      <c r="G175" s="117">
        <f t="shared" si="90"/>
        <v>37221775.093393058</v>
      </c>
      <c r="H175" s="117">
        <f t="shared" si="90"/>
        <v>36971368.365200572</v>
      </c>
      <c r="I175" s="162">
        <f>NPV(_TauxDActualisation_Select,D175:H175)+C175</f>
        <v>30466353.888716534</v>
      </c>
      <c r="K175" s="1" t="s">
        <v>325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-131901486.455292</v>
      </c>
      <c r="D176" s="135">
        <f>D$172-D148</f>
        <v>45215829.556874096</v>
      </c>
      <c r="E176" s="135">
        <f t="shared" ref="E176:H176" si="91">E$172-E148</f>
        <v>38956950.650749013</v>
      </c>
      <c r="F176" s="135">
        <f t="shared" si="91"/>
        <v>32726406.666430362</v>
      </c>
      <c r="G176" s="135">
        <f t="shared" si="91"/>
        <v>29962061.277336031</v>
      </c>
      <c r="H176" s="135">
        <f t="shared" si="91"/>
        <v>27684180.218419693</v>
      </c>
      <c r="I176" s="164">
        <f>SUM(C176:H176)</f>
        <v>42643941.914517194</v>
      </c>
      <c r="K176" s="216">
        <f>I171-I179</f>
        <v>55407119.973798424</v>
      </c>
    </row>
    <row r="177" spans="1:17" x14ac:dyDescent="0.2">
      <c r="I177" s="6" t="s">
        <v>303</v>
      </c>
      <c r="K177" s="215">
        <f>K176/I171</f>
        <v>0.73720945141061034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47607234.181072839</v>
      </c>
      <c r="N178" s="1">
        <f>E171/((1+_TauxDActualisation_Select)^E1)</f>
        <v>44285799.238207296</v>
      </c>
      <c r="O178" s="1">
        <f>F171/((1+_TauxDActualisation_Select)^F1)</f>
        <v>41196092.314611435</v>
      </c>
      <c r="P178" s="1">
        <f>G171/((1+_TauxDActualisation_Select)^G1)</f>
        <v>38321946.339173429</v>
      </c>
      <c r="Q178" s="1">
        <f>H171/((1+_TauxDActualisation_Select)^H1)</f>
        <v>35648322.175975285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-131901486.455292</v>
      </c>
      <c r="D179" s="117">
        <f>D$171-D$145</f>
        <v>42764220.595291734</v>
      </c>
      <c r="E179" s="117">
        <f>E$171-E$145</f>
        <v>39328186.87313135</v>
      </c>
      <c r="F179" s="117">
        <f>F$171-F$145</f>
        <v>35128773.298110999</v>
      </c>
      <c r="G179" s="117">
        <f>G$171-G$145</f>
        <v>34431481.585860386</v>
      </c>
      <c r="H179" s="117">
        <f>H$171-H$145</f>
        <v>34139340.402969152</v>
      </c>
      <c r="I179" s="162">
        <f>NPV(_TauxDActualisation_Select,D179:H179)+C179</f>
        <v>19750787.81994988</v>
      </c>
      <c r="M179" s="1">
        <f>SUM(M178:Q178)</f>
        <v>207059394.24904031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-131901486.455292</v>
      </c>
      <c r="D180" s="135">
        <f>D$172-D$152</f>
        <v>42764220.595291734</v>
      </c>
      <c r="E180" s="135">
        <f>E$172-E$152</f>
        <v>36584359.881982654</v>
      </c>
      <c r="F180" s="135">
        <f>F$172-F$152</f>
        <v>30398073.162237756</v>
      </c>
      <c r="G180" s="135">
        <f>G$172-G$152</f>
        <v>27715985.026413582</v>
      </c>
      <c r="H180" s="135">
        <f>H$172-H$152</f>
        <v>25563556.179959305</v>
      </c>
      <c r="I180" s="164">
        <f>SUM(C180:H180)</f>
        <v>31124708.39059303</v>
      </c>
      <c r="K180" s="1">
        <f>_TauxDActualisation_Select</f>
        <v>7.4999999999999997E-2</v>
      </c>
      <c r="M180" s="182">
        <f>C171+M179</f>
        <v>75157907.793748304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17841776.543546576</v>
      </c>
    </row>
    <row r="182" spans="1:17" x14ac:dyDescent="0.2">
      <c r="A182" s="152" t="s">
        <v>310</v>
      </c>
      <c r="K182" s="1">
        <f>K181/1.08</f>
        <v>16520163.466246828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0.27104086031152019</v>
      </c>
      <c r="K183" s="182">
        <f>SUM(C180:H180)</f>
        <v>31124708.39059303</v>
      </c>
      <c r="M183" s="1">
        <f>D179/((1+_TauxDActualisation_Select)^D1)</f>
        <v>39780670.321201615</v>
      </c>
      <c r="N183" s="1">
        <f>E179/((1+_TauxDActualisation_Select)^E1)</f>
        <v>34031962.680914097</v>
      </c>
      <c r="O183" s="1">
        <f>F179/((1+_TauxDActualisation_Select)^F1)</f>
        <v>28277277.360221166</v>
      </c>
      <c r="P183" s="1">
        <f>G179/((1+_TauxDActualisation_Select)^G1)</f>
        <v>25782311.652477752</v>
      </c>
      <c r="Q183" s="1">
        <f>H179/((1+_TauxDActualisation_Select)^H1)</f>
        <v>23780052.260427255</v>
      </c>
    </row>
    <row r="184" spans="1:17" x14ac:dyDescent="0.2">
      <c r="H184" s="221">
        <f>MAX(0,IRR($C172:H172))</f>
        <v>0.21699349403850565</v>
      </c>
      <c r="M184" s="1">
        <f>SUM(M183:Q183)</f>
        <v>151652274.27524188</v>
      </c>
    </row>
    <row r="185" spans="1:17" x14ac:dyDescent="0.2">
      <c r="A185" s="152" t="s">
        <v>326</v>
      </c>
      <c r="M185" s="182">
        <f>-C179+M184</f>
        <v>283553760.7305339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9.1439310908830285E-2</v>
      </c>
      <c r="H186" s="180">
        <f>MAX(0,IRR($C175:H175))</f>
        <v>0.16199443796693958</v>
      </c>
      <c r="M186" s="182">
        <f>M180-M185</f>
        <v>-208395852.93678558</v>
      </c>
    </row>
    <row r="187" spans="1:17" x14ac:dyDescent="0.2">
      <c r="H187" s="221">
        <f>MAX(0,IRR($C176:H176))</f>
        <v>0.11180960570026599</v>
      </c>
      <c r="M187" s="215">
        <f>M186/M180</f>
        <v>-2.7727734719369095</v>
      </c>
      <c r="N187" s="216">
        <f>I171-I179</f>
        <v>55407119.973798424</v>
      </c>
    </row>
    <row r="188" spans="1:17" x14ac:dyDescent="0.2">
      <c r="A188" s="152" t="s">
        <v>311</v>
      </c>
      <c r="N188" s="1">
        <f>N187/I171</f>
        <v>0.73720945141061034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6.0730135413856745E-2</v>
      </c>
      <c r="H189" s="180">
        <f>MAX(0,IRR($C179:H179))</f>
        <v>0.13238878944286037</v>
      </c>
    </row>
    <row r="190" spans="1:17" x14ac:dyDescent="0.2">
      <c r="H190" s="221">
        <f>MAX(0,IRR($C180:H180))</f>
        <v>8.304380841722514E-2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0.54808030222438331</v>
      </c>
      <c r="H192" s="180">
        <f t="shared" si="92"/>
        <v>0.40232466137854034</v>
      </c>
    </row>
    <row r="194" spans="1:11" x14ac:dyDescent="0.2">
      <c r="A194" s="152" t="s">
        <v>312</v>
      </c>
    </row>
    <row r="195" spans="1:11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0.6998539887350349</v>
      </c>
      <c r="H195" s="180">
        <f>IF(H$183&gt;0,(H$183-H189)/H$183,0)</f>
        <v>0.51155412770347752</v>
      </c>
    </row>
    <row r="198" spans="1:11" x14ac:dyDescent="0.2">
      <c r="C198" s="6">
        <v>-197263413</v>
      </c>
      <c r="D198" s="6">
        <v>47189600</v>
      </c>
      <c r="E198" s="6">
        <v>47189599</v>
      </c>
      <c r="F198" s="6">
        <v>47189600</v>
      </c>
      <c r="G198" s="6">
        <v>46647126</v>
      </c>
      <c r="H198" s="6">
        <v>46240269</v>
      </c>
      <c r="I198" s="213">
        <f>NPV(7.5,D198:H198)</f>
        <v>6291679.5316908676</v>
      </c>
    </row>
    <row r="200" spans="1:11" x14ac:dyDescent="0.2">
      <c r="I200" s="213">
        <f>I198+C198</f>
        <v>-190971733.46830913</v>
      </c>
    </row>
    <row r="201" spans="1:11" x14ac:dyDescent="0.2">
      <c r="D201" s="6">
        <f>D179/(1+_TauxDActualisation_Select)^D1</f>
        <v>39780670.321201615</v>
      </c>
      <c r="E201" s="6">
        <f>E198/(1+_TauxDActualisation_Select)^E1</f>
        <v>40834698.972417526</v>
      </c>
      <c r="F201" s="6">
        <f>F198/(1+_TauxDActualisation_Select)^F1</f>
        <v>37985767.290930361</v>
      </c>
      <c r="G201" s="6">
        <f>G198/(1+_TauxDActualisation_Select)^G1</f>
        <v>34929392.661345311</v>
      </c>
      <c r="H201" s="6">
        <f>H198/(1+_TauxDActualisation_Select)^H1</f>
        <v>32209058.534141473</v>
      </c>
    </row>
    <row r="202" spans="1:11" x14ac:dyDescent="0.2">
      <c r="H202" s="220">
        <f>SUM(C198,I198)</f>
        <v>-190971733.46830913</v>
      </c>
    </row>
    <row r="205" spans="1:11" x14ac:dyDescent="0.2">
      <c r="D205" s="6">
        <f>C198+F205</f>
        <v>-11523825.2199637</v>
      </c>
      <c r="F205" s="6">
        <f>SUM(D201:H201)</f>
        <v>185739587.7800363</v>
      </c>
    </row>
    <row r="206" spans="1:11" x14ac:dyDescent="0.2">
      <c r="G206" s="218">
        <f>D179/(1+_TauxDActualisation_Select)^D1</f>
        <v>39780670.321201615</v>
      </c>
      <c r="H206" s="218">
        <f>E179/(1+_TauxDActualisation_Select)^E1</f>
        <v>34031962.680914097</v>
      </c>
      <c r="I206" s="218">
        <f>F179/(1+_TauxDActualisation_Select)^F1</f>
        <v>28277277.360221166</v>
      </c>
      <c r="J206" s="218">
        <f>G179/(1+_TauxDActualisation_Select)^G1</f>
        <v>25782311.652477752</v>
      </c>
      <c r="K206" s="218">
        <f>H179/(1+_TauxDActualisation_Select)^H1</f>
        <v>23780052.260427255</v>
      </c>
    </row>
    <row r="208" spans="1:11" x14ac:dyDescent="0.2">
      <c r="K208" s="182">
        <f>SUM(G206:K206)</f>
        <v>151652274.27524188</v>
      </c>
    </row>
    <row r="209" spans="11:11" x14ac:dyDescent="0.2">
      <c r="K209" s="182">
        <f>C179+K208</f>
        <v>19750787.81994988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320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319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319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319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319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319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319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321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321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321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321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321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321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321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321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321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321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321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321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322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322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321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321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321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321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321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321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321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321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321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321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321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321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322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322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2018-06-18T11:08:37Z</dcterms:modified>
</cp:coreProperties>
</file>