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8EDAC2E0-BE4E-4A67-B3C1-CDD38C369118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B42" i="4" l="1"/>
  <c r="B56" i="4"/>
  <c r="E69" i="4"/>
  <c r="C68" i="4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C43" i="4"/>
  <c r="B46" i="4"/>
  <c r="C46" i="4"/>
  <c r="B47" i="4"/>
  <c r="C47" i="4"/>
  <c r="B53" i="4"/>
  <c r="C53" i="4"/>
  <c r="B48" i="4"/>
  <c r="C48" i="4"/>
  <c r="B54" i="4"/>
  <c r="C54" i="4"/>
  <c r="B49" i="4"/>
  <c r="C49" i="4"/>
  <c r="B44" i="4"/>
  <c r="C44" i="4"/>
  <c r="B50" i="4"/>
  <c r="C50" i="4"/>
  <c r="B59" i="4"/>
  <c r="C59" i="4"/>
  <c r="B51" i="4"/>
  <c r="C51" i="4"/>
  <c r="B45" i="4"/>
  <c r="C45" i="4"/>
  <c r="B60" i="4"/>
  <c r="C60" i="4"/>
  <c r="B52" i="4"/>
  <c r="C52" i="4"/>
  <c r="C22" i="4"/>
  <c r="E22" i="4"/>
  <c r="C33" i="4"/>
  <c r="E33" i="4"/>
  <c r="C17" i="4"/>
  <c r="E17" i="4"/>
  <c r="F26" i="2"/>
  <c r="C24" i="4"/>
  <c r="E24" i="4"/>
  <c r="C8" i="4"/>
  <c r="E8" i="4"/>
  <c r="C20" i="2"/>
  <c r="C19" i="4"/>
  <c r="E19" i="4"/>
  <c r="F28" i="2"/>
  <c r="C13" i="4"/>
  <c r="E13" i="4"/>
  <c r="C26" i="2"/>
  <c r="C34" i="4"/>
  <c r="E34" i="4"/>
  <c r="C28" i="4"/>
  <c r="E28" i="4"/>
  <c r="C11" i="4"/>
  <c r="E11" i="4"/>
  <c r="C23" i="2"/>
  <c r="C25" i="4"/>
  <c r="E25" i="4"/>
  <c r="C31" i="4"/>
  <c r="E31" i="4"/>
  <c r="K22" i="2"/>
  <c r="C14" i="4"/>
  <c r="E14" i="4"/>
  <c r="C27" i="2"/>
  <c r="C23" i="4"/>
  <c r="E23" i="4"/>
  <c r="C10" i="4"/>
  <c r="E10" i="4"/>
  <c r="C22" i="2"/>
  <c r="C16" i="4"/>
  <c r="E16" i="4"/>
  <c r="F19" i="2"/>
  <c r="C30" i="4"/>
  <c r="E30" i="4"/>
  <c r="K21" i="2"/>
  <c r="C9" i="4"/>
  <c r="E9" i="4"/>
  <c r="C21" i="2"/>
  <c r="C12" i="4"/>
  <c r="E12" i="4"/>
  <c r="C24" i="2"/>
  <c r="C26" i="4"/>
  <c r="E26" i="4"/>
  <c r="C32" i="4"/>
  <c r="E32" i="4"/>
  <c r="K23" i="2"/>
  <c r="C15" i="4"/>
  <c r="E15" i="4"/>
  <c r="C28" i="2"/>
  <c r="C29" i="4"/>
  <c r="E29" i="4"/>
  <c r="C18" i="4"/>
  <c r="E18" i="4"/>
  <c r="F27" i="2"/>
  <c r="C7" i="4"/>
  <c r="E7" i="4"/>
  <c r="C19" i="2"/>
  <c r="C21" i="4"/>
  <c r="E21" i="4"/>
  <c r="C27" i="4"/>
  <c r="E27" i="4"/>
  <c r="C20" i="4"/>
  <c r="E20" i="4"/>
  <c r="D80" i="4"/>
  <c r="J80" i="4"/>
  <c r="D77" i="4"/>
  <c r="J77" i="4"/>
  <c r="D81" i="4"/>
  <c r="J81" i="4"/>
  <c r="D79" i="4"/>
  <c r="J79" i="4"/>
  <c r="B58" i="4"/>
  <c r="R19" i="5"/>
  <c r="D78" i="4"/>
  <c r="J78" i="4"/>
  <c r="J29" i="2"/>
  <c r="H136" i="7"/>
  <c r="F136" i="7"/>
  <c r="E136" i="7"/>
  <c r="D136" i="7"/>
  <c r="G136" i="7"/>
  <c r="J26" i="2"/>
  <c r="G131" i="7"/>
  <c r="H131" i="7"/>
  <c r="E131" i="7"/>
  <c r="D131" i="7"/>
  <c r="F131" i="7"/>
  <c r="G38" i="4"/>
  <c r="G40" i="4"/>
  <c r="D85" i="4"/>
  <c r="F34" i="2"/>
  <c r="C38" i="2"/>
  <c r="J21" i="2"/>
  <c r="C45" i="2"/>
  <c r="C35" i="2"/>
  <c r="C37" i="2"/>
  <c r="C34" i="2"/>
  <c r="J23" i="2"/>
  <c r="J22" i="2"/>
  <c r="C36" i="2"/>
  <c r="K54" i="2"/>
  <c r="D36" i="7"/>
  <c r="K56" i="2"/>
  <c r="D56" i="7"/>
  <c r="K55" i="2"/>
  <c r="D46" i="7"/>
  <c r="K52" i="2"/>
  <c r="D16" i="7"/>
  <c r="C41" i="2"/>
  <c r="C43" i="2"/>
  <c r="F29" i="2"/>
  <c r="C29" i="2"/>
  <c r="C42" i="2"/>
  <c r="C81" i="4"/>
  <c r="I81" i="4"/>
  <c r="C77" i="4"/>
  <c r="I77" i="4"/>
  <c r="C85" i="4"/>
  <c r="C79" i="4"/>
  <c r="I79" i="4"/>
  <c r="C80" i="4"/>
  <c r="I80" i="4"/>
  <c r="C78" i="4"/>
  <c r="I78" i="4"/>
  <c r="G69" i="4"/>
  <c r="G68" i="4"/>
  <c r="C69" i="4"/>
  <c r="E6" i="2"/>
  <c r="C73" i="4"/>
  <c r="E10" i="2"/>
  <c r="E5" i="2"/>
  <c r="G71" i="4"/>
  <c r="E73" i="4"/>
  <c r="G73" i="4"/>
  <c r="G72" i="4"/>
  <c r="F70" i="4"/>
  <c r="C72" i="4"/>
  <c r="E9" i="2"/>
  <c r="F72" i="4"/>
  <c r="F68" i="4"/>
  <c r="F73" i="4"/>
  <c r="F71" i="4"/>
  <c r="C70" i="4"/>
  <c r="E7" i="2"/>
  <c r="C71" i="4"/>
  <c r="E8" i="2"/>
  <c r="E72" i="4"/>
  <c r="E68" i="4"/>
  <c r="E71" i="4"/>
  <c r="G70" i="4"/>
  <c r="E70" i="4"/>
  <c r="F69" i="4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1" i="7"/>
  <c r="C175" i="7"/>
  <c r="C172" i="7"/>
  <c r="C180" i="7"/>
  <c r="C179" i="7"/>
  <c r="C176" i="7"/>
  <c r="L85" i="4"/>
  <c r="K85" i="4"/>
  <c r="D66" i="7"/>
  <c r="D93" i="7"/>
  <c r="E85" i="4"/>
  <c r="M85" i="4"/>
  <c r="D81" i="7"/>
  <c r="G102" i="7"/>
  <c r="G98" i="7"/>
  <c r="H93" i="7"/>
  <c r="D65" i="7"/>
  <c r="E97" i="7"/>
  <c r="F81" i="7"/>
  <c r="F82" i="7"/>
  <c r="H100" i="7"/>
  <c r="D24" i="7"/>
  <c r="D29" i="7"/>
  <c r="H97" i="7"/>
  <c r="H81" i="7"/>
  <c r="E102" i="7"/>
  <c r="E94" i="7"/>
  <c r="H75" i="7"/>
  <c r="G81" i="7"/>
  <c r="H82" i="7"/>
  <c r="D44" i="7"/>
  <c r="D49" i="7"/>
  <c r="D97" i="7"/>
  <c r="E81" i="7"/>
  <c r="D101" i="7"/>
  <c r="D102" i="7"/>
  <c r="H102" i="7"/>
  <c r="G94" i="7"/>
  <c r="D98" i="7"/>
  <c r="D95" i="7"/>
  <c r="F88" i="7"/>
  <c r="D80" i="7"/>
  <c r="J17" i="2"/>
  <c r="E101" i="7"/>
  <c r="G101" i="7"/>
  <c r="F102" i="7"/>
  <c r="G82" i="7"/>
  <c r="F94" i="7"/>
  <c r="H98" i="7"/>
  <c r="E95" i="7"/>
  <c r="H88" i="7"/>
  <c r="E104" i="7"/>
  <c r="F80" i="7"/>
  <c r="F99" i="7"/>
  <c r="E99" i="7"/>
  <c r="G95" i="7"/>
  <c r="E93" i="7"/>
  <c r="F98" i="7"/>
  <c r="F95" i="7"/>
  <c r="D75" i="7"/>
  <c r="E88" i="7"/>
  <c r="D88" i="7"/>
  <c r="F100" i="7"/>
  <c r="G100" i="7"/>
  <c r="G99" i="7"/>
  <c r="D14" i="7"/>
  <c r="D19" i="7"/>
  <c r="D34" i="7"/>
  <c r="D39" i="7"/>
  <c r="D54" i="7"/>
  <c r="D59" i="7"/>
  <c r="F97" i="7"/>
  <c r="G97" i="7"/>
  <c r="F101" i="7"/>
  <c r="H101" i="7"/>
  <c r="D82" i="7"/>
  <c r="E82" i="7"/>
  <c r="D94" i="7"/>
  <c r="H94" i="7"/>
  <c r="E98" i="7"/>
  <c r="E75" i="7"/>
  <c r="G75" i="7"/>
  <c r="H95" i="7"/>
  <c r="F104" i="7"/>
  <c r="G88" i="7"/>
  <c r="D100" i="7"/>
  <c r="H80" i="7"/>
  <c r="G80" i="7"/>
  <c r="D99" i="7"/>
  <c r="G93" i="7"/>
  <c r="F75" i="7"/>
  <c r="G104" i="7"/>
  <c r="D104" i="7"/>
  <c r="H104" i="7"/>
  <c r="E100" i="7"/>
  <c r="E80" i="7"/>
  <c r="H99" i="7"/>
  <c r="F93" i="7"/>
  <c r="J54" i="2"/>
  <c r="D35" i="7"/>
  <c r="D38" i="7"/>
  <c r="J56" i="2"/>
  <c r="D55" i="7"/>
  <c r="D58" i="7"/>
  <c r="J55" i="2"/>
  <c r="D45" i="7"/>
  <c r="D48" i="7"/>
  <c r="J53" i="2"/>
  <c r="D25" i="7"/>
  <c r="D28" i="7"/>
  <c r="H70" i="4"/>
  <c r="P70" i="4"/>
  <c r="J52" i="2"/>
  <c r="D15" i="7"/>
  <c r="D18" i="7"/>
  <c r="K53" i="2"/>
  <c r="D26" i="7"/>
  <c r="H71" i="4"/>
  <c r="S71" i="4"/>
  <c r="H68" i="4"/>
  <c r="P68" i="4"/>
  <c r="H72" i="4"/>
  <c r="H69" i="4"/>
  <c r="H73" i="4"/>
  <c r="D171" i="7"/>
  <c r="D183" i="7"/>
  <c r="D120" i="7"/>
  <c r="H120" i="7"/>
  <c r="H171" i="7"/>
  <c r="D71" i="7"/>
  <c r="I59" i="2"/>
  <c r="H83" i="7"/>
  <c r="E83" i="7"/>
  <c r="F83" i="7"/>
  <c r="G83" i="7"/>
  <c r="D83" i="7"/>
  <c r="F120" i="7"/>
  <c r="F171" i="7"/>
  <c r="G120" i="7"/>
  <c r="G171" i="7"/>
  <c r="E120" i="7"/>
  <c r="E171" i="7"/>
  <c r="E55" i="2"/>
  <c r="G132" i="7"/>
  <c r="B54" i="2"/>
  <c r="D121" i="7"/>
  <c r="I60" i="2"/>
  <c r="D67" i="7"/>
  <c r="I61" i="2"/>
  <c r="D68" i="7"/>
  <c r="D70" i="7"/>
  <c r="B52" i="2"/>
  <c r="D84" i="7"/>
  <c r="D60" i="7"/>
  <c r="D61" i="7"/>
  <c r="D62" i="7"/>
  <c r="E59" i="7"/>
  <c r="E58" i="7"/>
  <c r="D50" i="7"/>
  <c r="D51" i="7"/>
  <c r="D52" i="7"/>
  <c r="E48" i="7"/>
  <c r="E38" i="7"/>
  <c r="D40" i="7"/>
  <c r="D41" i="7"/>
  <c r="D42" i="7"/>
  <c r="E28" i="7"/>
  <c r="D30" i="7"/>
  <c r="D31" i="7"/>
  <c r="D32" i="7"/>
  <c r="E18" i="7"/>
  <c r="D20" i="7"/>
  <c r="D21" i="7"/>
  <c r="D22" i="7"/>
  <c r="Q70" i="4"/>
  <c r="T70" i="4"/>
  <c r="R70" i="4"/>
  <c r="S70" i="4"/>
  <c r="Q71" i="4"/>
  <c r="R68" i="4"/>
  <c r="T68" i="4"/>
  <c r="Q68" i="4"/>
  <c r="S68" i="4"/>
  <c r="R71" i="4"/>
  <c r="P71" i="4"/>
  <c r="T71" i="4"/>
  <c r="S73" i="4"/>
  <c r="P73" i="4"/>
  <c r="R73" i="4"/>
  <c r="Q73" i="4"/>
  <c r="T73" i="4"/>
  <c r="P69" i="4"/>
  <c r="T69" i="4"/>
  <c r="Q69" i="4"/>
  <c r="S69" i="4"/>
  <c r="R69" i="4"/>
  <c r="T72" i="4"/>
  <c r="R72" i="4"/>
  <c r="Q72" i="4"/>
  <c r="S72" i="4"/>
  <c r="P72" i="4"/>
  <c r="D122" i="7"/>
  <c r="G183" i="7"/>
  <c r="D195" i="7"/>
  <c r="J11" i="2"/>
  <c r="D192" i="7"/>
  <c r="J6" i="2"/>
  <c r="F183" i="7"/>
  <c r="H183" i="7"/>
  <c r="E183" i="7"/>
  <c r="I171" i="7"/>
  <c r="H172" i="7"/>
  <c r="E172" i="7"/>
  <c r="F172" i="7"/>
  <c r="G172" i="7"/>
  <c r="D172" i="7"/>
  <c r="D85" i="7"/>
  <c r="D55" i="2"/>
  <c r="F132" i="7"/>
  <c r="F55" i="2"/>
  <c r="H132" i="7"/>
  <c r="B55" i="2"/>
  <c r="D132" i="7"/>
  <c r="C55" i="2"/>
  <c r="E132" i="7"/>
  <c r="D54" i="2"/>
  <c r="F121" i="7"/>
  <c r="F122" i="7"/>
  <c r="F54" i="2"/>
  <c r="H121" i="7"/>
  <c r="H122" i="7"/>
  <c r="C54" i="2"/>
  <c r="E121" i="7"/>
  <c r="E122" i="7"/>
  <c r="E54" i="2"/>
  <c r="G121" i="7"/>
  <c r="G122" i="7"/>
  <c r="B53" i="2"/>
  <c r="D116" i="7"/>
  <c r="C53" i="2"/>
  <c r="E116" i="7"/>
  <c r="F53" i="2"/>
  <c r="H116" i="7"/>
  <c r="D53" i="2"/>
  <c r="F116" i="7"/>
  <c r="E53" i="2"/>
  <c r="G116" i="7"/>
  <c r="E70" i="7"/>
  <c r="B57" i="2"/>
  <c r="D76" i="7"/>
  <c r="D77" i="7"/>
  <c r="D56" i="2"/>
  <c r="F89" i="7"/>
  <c r="F90" i="7"/>
  <c r="C57" i="2"/>
  <c r="E76" i="7"/>
  <c r="E77" i="7"/>
  <c r="C52" i="2"/>
  <c r="E84" i="7"/>
  <c r="E85" i="7"/>
  <c r="E140" i="7"/>
  <c r="B56" i="2"/>
  <c r="D89" i="7"/>
  <c r="D90" i="7"/>
  <c r="F56" i="2"/>
  <c r="H89" i="7"/>
  <c r="H90" i="7"/>
  <c r="D57" i="2"/>
  <c r="F76" i="7"/>
  <c r="F77" i="7"/>
  <c r="F52" i="2"/>
  <c r="H84" i="7"/>
  <c r="H85" i="7"/>
  <c r="H140" i="7"/>
  <c r="E56" i="2"/>
  <c r="G89" i="7"/>
  <c r="G90" i="7"/>
  <c r="D52" i="2"/>
  <c r="F84" i="7"/>
  <c r="F85" i="7"/>
  <c r="F140" i="7"/>
  <c r="C56" i="2"/>
  <c r="E89" i="7"/>
  <c r="E90" i="7"/>
  <c r="F57" i="2"/>
  <c r="H76" i="7"/>
  <c r="H77" i="7"/>
  <c r="E57" i="2"/>
  <c r="G76" i="7"/>
  <c r="G77" i="7"/>
  <c r="E52" i="2"/>
  <c r="G84" i="7"/>
  <c r="G85" i="7"/>
  <c r="G140" i="7"/>
  <c r="E50" i="7"/>
  <c r="E51" i="7"/>
  <c r="F48" i="7"/>
  <c r="E49" i="7"/>
  <c r="D10" i="7"/>
  <c r="E39" i="7"/>
  <c r="D9" i="7"/>
  <c r="E60" i="7"/>
  <c r="E61" i="7"/>
  <c r="F58" i="7"/>
  <c r="E40" i="7"/>
  <c r="E41" i="7"/>
  <c r="F38" i="7"/>
  <c r="D11" i="7"/>
  <c r="E29" i="7"/>
  <c r="D8" i="7"/>
  <c r="E19" i="7"/>
  <c r="D7" i="7"/>
  <c r="F28" i="7"/>
  <c r="E30" i="7"/>
  <c r="E31" i="7"/>
  <c r="E20" i="7"/>
  <c r="E21" i="7"/>
  <c r="E22" i="7"/>
  <c r="F18" i="7"/>
  <c r="E192" i="7"/>
  <c r="E195" i="7"/>
  <c r="F192" i="7"/>
  <c r="F195" i="7"/>
  <c r="I172" i="7"/>
  <c r="D103" i="7"/>
  <c r="D140" i="7"/>
  <c r="G96" i="7"/>
  <c r="G144" i="7"/>
  <c r="E143" i="7"/>
  <c r="G143" i="7"/>
  <c r="F96" i="7"/>
  <c r="F144" i="7"/>
  <c r="D143" i="7"/>
  <c r="D159" i="7"/>
  <c r="E96" i="7"/>
  <c r="E144" i="7"/>
  <c r="D96" i="7"/>
  <c r="D144" i="7"/>
  <c r="D160" i="7"/>
  <c r="H96" i="7"/>
  <c r="H144" i="7"/>
  <c r="H143" i="7"/>
  <c r="F143" i="7"/>
  <c r="G103" i="7"/>
  <c r="F103" i="7"/>
  <c r="H103" i="7"/>
  <c r="E103" i="7"/>
  <c r="F70" i="7"/>
  <c r="E32" i="7"/>
  <c r="F29" i="7"/>
  <c r="E62" i="7"/>
  <c r="E11" i="7"/>
  <c r="F60" i="7"/>
  <c r="F61" i="7"/>
  <c r="G58" i="7"/>
  <c r="E42" i="7"/>
  <c r="E9" i="7"/>
  <c r="G48" i="7"/>
  <c r="F50" i="7"/>
  <c r="F51" i="7"/>
  <c r="D12" i="7"/>
  <c r="F40" i="7"/>
  <c r="F41" i="7"/>
  <c r="G38" i="7"/>
  <c r="E52" i="7"/>
  <c r="E10" i="7"/>
  <c r="F19" i="7"/>
  <c r="E7" i="7"/>
  <c r="F30" i="7"/>
  <c r="F31" i="7"/>
  <c r="G28" i="7"/>
  <c r="F20" i="7"/>
  <c r="F21" i="7"/>
  <c r="G18" i="7"/>
  <c r="I140" i="7"/>
  <c r="I156" i="7"/>
  <c r="D156" i="7"/>
  <c r="D147" i="7"/>
  <c r="D163" i="7"/>
  <c r="H5" i="2"/>
  <c r="F147" i="7"/>
  <c r="F163" i="7"/>
  <c r="F156" i="7"/>
  <c r="H151" i="7"/>
  <c r="H167" i="7"/>
  <c r="H160" i="7"/>
  <c r="F151" i="7"/>
  <c r="F167" i="7"/>
  <c r="F160" i="7"/>
  <c r="H147" i="7"/>
  <c r="H163" i="7"/>
  <c r="H156" i="7"/>
  <c r="G147" i="7"/>
  <c r="G163" i="7"/>
  <c r="G156" i="7"/>
  <c r="H150" i="7"/>
  <c r="H166" i="7"/>
  <c r="H159" i="7"/>
  <c r="G150" i="7"/>
  <c r="G166" i="7"/>
  <c r="G159" i="7"/>
  <c r="G151" i="7"/>
  <c r="G167" i="7"/>
  <c r="G160" i="7"/>
  <c r="E147" i="7"/>
  <c r="E163" i="7"/>
  <c r="E156" i="7"/>
  <c r="F150" i="7"/>
  <c r="F166" i="7"/>
  <c r="F159" i="7"/>
  <c r="E151" i="7"/>
  <c r="E167" i="7"/>
  <c r="E160" i="7"/>
  <c r="E150" i="7"/>
  <c r="E166" i="7"/>
  <c r="E159" i="7"/>
  <c r="I144" i="7"/>
  <c r="I160" i="7"/>
  <c r="I143" i="7"/>
  <c r="I159" i="7"/>
  <c r="D151" i="7"/>
  <c r="D167" i="7"/>
  <c r="H10" i="2"/>
  <c r="D150" i="7"/>
  <c r="D166" i="7"/>
  <c r="H9" i="2"/>
  <c r="G70" i="7"/>
  <c r="D105" i="7"/>
  <c r="D106" i="7"/>
  <c r="E8" i="7"/>
  <c r="E12" i="7"/>
  <c r="F59" i="7"/>
  <c r="F62" i="7"/>
  <c r="F11" i="7"/>
  <c r="F32" i="7"/>
  <c r="G29" i="7"/>
  <c r="F22" i="7"/>
  <c r="G19" i="7"/>
  <c r="F49" i="7"/>
  <c r="F52" i="7"/>
  <c r="F10" i="7"/>
  <c r="F39" i="7"/>
  <c r="F42" i="7"/>
  <c r="F9" i="7"/>
  <c r="G40" i="7"/>
  <c r="G41" i="7"/>
  <c r="H38" i="7"/>
  <c r="G60" i="7"/>
  <c r="G61" i="7"/>
  <c r="H58" i="7"/>
  <c r="H60" i="7"/>
  <c r="H61" i="7"/>
  <c r="H48" i="7"/>
  <c r="G50" i="7"/>
  <c r="G51" i="7"/>
  <c r="H28" i="7"/>
  <c r="H30" i="7"/>
  <c r="H31" i="7"/>
  <c r="G30" i="7"/>
  <c r="G31" i="7"/>
  <c r="G20" i="7"/>
  <c r="G21" i="7"/>
  <c r="H18" i="7"/>
  <c r="D72" i="7"/>
  <c r="D126" i="7"/>
  <c r="I147" i="7"/>
  <c r="I163" i="7"/>
  <c r="I5" i="2"/>
  <c r="I151" i="7"/>
  <c r="I167" i="7"/>
  <c r="I10" i="2"/>
  <c r="I150" i="7"/>
  <c r="I166" i="7"/>
  <c r="I9" i="2"/>
  <c r="H70" i="7"/>
  <c r="D110" i="7"/>
  <c r="D107" i="7"/>
  <c r="F8" i="7"/>
  <c r="E105" i="7"/>
  <c r="E106" i="7"/>
  <c r="E126" i="7"/>
  <c r="G59" i="7"/>
  <c r="G62" i="7"/>
  <c r="G11" i="7"/>
  <c r="G49" i="7"/>
  <c r="G52" i="7"/>
  <c r="G10" i="7"/>
  <c r="F7" i="7"/>
  <c r="G39" i="7"/>
  <c r="G42" i="7"/>
  <c r="G9" i="7"/>
  <c r="G32" i="7"/>
  <c r="G8" i="7"/>
  <c r="G22" i="7"/>
  <c r="H19" i="7"/>
  <c r="H51" i="7"/>
  <c r="H50" i="7"/>
  <c r="H40" i="7"/>
  <c r="H41" i="7"/>
  <c r="H20" i="7"/>
  <c r="H21" i="7"/>
  <c r="D111" i="7"/>
  <c r="D112" i="7"/>
  <c r="E71" i="7"/>
  <c r="E72" i="7"/>
  <c r="F12" i="7"/>
  <c r="F105" i="7"/>
  <c r="F106" i="7"/>
  <c r="F126" i="7"/>
  <c r="E110" i="7"/>
  <c r="E107" i="7"/>
  <c r="H29" i="7"/>
  <c r="H32" i="7"/>
  <c r="H8" i="7"/>
  <c r="H49" i="7"/>
  <c r="H52" i="7"/>
  <c r="H10" i="7"/>
  <c r="G7" i="7"/>
  <c r="G12" i="7"/>
  <c r="H22" i="7"/>
  <c r="H7" i="7"/>
  <c r="H39" i="7"/>
  <c r="H42" i="7"/>
  <c r="H9" i="7"/>
  <c r="H59" i="7"/>
  <c r="H62" i="7"/>
  <c r="H11" i="7"/>
  <c r="D115" i="7"/>
  <c r="D117" i="7"/>
  <c r="F71" i="7"/>
  <c r="F72" i="7"/>
  <c r="E111" i="7"/>
  <c r="E112" i="7"/>
  <c r="F107" i="7"/>
  <c r="F110" i="7"/>
  <c r="G105" i="7"/>
  <c r="G106" i="7"/>
  <c r="G126" i="7"/>
  <c r="H12" i="7"/>
  <c r="D125" i="7"/>
  <c r="D141" i="7"/>
  <c r="D175" i="7"/>
  <c r="E115" i="7"/>
  <c r="E117" i="7"/>
  <c r="G110" i="7"/>
  <c r="G107" i="7"/>
  <c r="G71" i="7"/>
  <c r="G72" i="7"/>
  <c r="F111" i="7"/>
  <c r="F112" i="7"/>
  <c r="H105" i="7"/>
  <c r="H106" i="7"/>
  <c r="H126" i="7"/>
  <c r="D186" i="7"/>
  <c r="E125" i="7"/>
  <c r="E141" i="7"/>
  <c r="E175" i="7"/>
  <c r="F115" i="7"/>
  <c r="F117" i="7"/>
  <c r="H71" i="7"/>
  <c r="H72" i="7"/>
  <c r="G111" i="7"/>
  <c r="G112" i="7"/>
  <c r="H110" i="7"/>
  <c r="H107" i="7"/>
  <c r="E186" i="7"/>
  <c r="D127" i="7"/>
  <c r="F125" i="7"/>
  <c r="F141" i="7"/>
  <c r="F175" i="7"/>
  <c r="H111" i="7"/>
  <c r="H112" i="7"/>
  <c r="G115" i="7"/>
  <c r="G117" i="7"/>
  <c r="F186" i="7"/>
  <c r="D130" i="7"/>
  <c r="D133" i="7"/>
  <c r="D142" i="7"/>
  <c r="D158" i="7"/>
  <c r="D157" i="7"/>
  <c r="E148" i="7"/>
  <c r="E127" i="7"/>
  <c r="G125" i="7"/>
  <c r="G141" i="7"/>
  <c r="G175" i="7"/>
  <c r="G186" i="7"/>
  <c r="G192" i="7"/>
  <c r="H115" i="7"/>
  <c r="H117" i="7"/>
  <c r="E164" i="7"/>
  <c r="E176" i="7"/>
  <c r="D149" i="7"/>
  <c r="D145" i="7"/>
  <c r="D179" i="7"/>
  <c r="E157" i="7"/>
  <c r="D148" i="7"/>
  <c r="F157" i="7"/>
  <c r="E130" i="7"/>
  <c r="E133" i="7"/>
  <c r="E142" i="7"/>
  <c r="E149" i="7"/>
  <c r="E165" i="7"/>
  <c r="H125" i="7"/>
  <c r="H141" i="7"/>
  <c r="H175" i="7"/>
  <c r="H186" i="7"/>
  <c r="H192" i="7"/>
  <c r="K6" i="2"/>
  <c r="D189" i="7"/>
  <c r="D164" i="7"/>
  <c r="H6" i="2"/>
  <c r="D176" i="7"/>
  <c r="D165" i="7"/>
  <c r="H8" i="2"/>
  <c r="D161" i="7"/>
  <c r="D152" i="7"/>
  <c r="G148" i="7"/>
  <c r="G157" i="7"/>
  <c r="F130" i="7"/>
  <c r="F133" i="7"/>
  <c r="F142" i="7"/>
  <c r="F145" i="7"/>
  <c r="E158" i="7"/>
  <c r="E152" i="7"/>
  <c r="E145" i="7"/>
  <c r="G127" i="7"/>
  <c r="F148" i="7"/>
  <c r="F164" i="7"/>
  <c r="F176" i="7"/>
  <c r="G164" i="7"/>
  <c r="G176" i="7"/>
  <c r="E161" i="7"/>
  <c r="E179" i="7"/>
  <c r="E168" i="7"/>
  <c r="E180" i="7"/>
  <c r="F161" i="7"/>
  <c r="F179" i="7"/>
  <c r="D168" i="7"/>
  <c r="H11" i="2"/>
  <c r="D180" i="7"/>
  <c r="F127" i="7"/>
  <c r="I141" i="7"/>
  <c r="I157" i="7"/>
  <c r="H127" i="7"/>
  <c r="F149" i="7"/>
  <c r="F158" i="7"/>
  <c r="G130" i="7"/>
  <c r="G133" i="7"/>
  <c r="G142" i="7"/>
  <c r="G158" i="7"/>
  <c r="E189" i="7"/>
  <c r="F189" i="7"/>
  <c r="H157" i="7"/>
  <c r="H130" i="7"/>
  <c r="H133" i="7"/>
  <c r="H142" i="7"/>
  <c r="H158" i="7"/>
  <c r="H148" i="7"/>
  <c r="G149" i="7"/>
  <c r="G165" i="7"/>
  <c r="G145" i="7"/>
  <c r="F165" i="7"/>
  <c r="F152" i="7"/>
  <c r="H164" i="7"/>
  <c r="H176" i="7"/>
  <c r="F168" i="7"/>
  <c r="F180" i="7"/>
  <c r="G161" i="7"/>
  <c r="G179" i="7"/>
  <c r="G152" i="7"/>
  <c r="H149" i="7"/>
  <c r="H165" i="7"/>
  <c r="H145" i="7"/>
  <c r="I175" i="7"/>
  <c r="I148" i="7"/>
  <c r="I164" i="7"/>
  <c r="I142" i="7"/>
  <c r="I158" i="7"/>
  <c r="G189" i="7"/>
  <c r="G195" i="7"/>
  <c r="I6" i="2"/>
  <c r="H161" i="7"/>
  <c r="H179" i="7"/>
  <c r="H189" i="7"/>
  <c r="G168" i="7"/>
  <c r="G180" i="7"/>
  <c r="I149" i="7"/>
  <c r="I165" i="7"/>
  <c r="H152" i="7"/>
  <c r="I145" i="7"/>
  <c r="I161" i="7"/>
  <c r="H195" i="7"/>
  <c r="K11" i="2"/>
  <c r="I8" i="2"/>
  <c r="I179" i="7"/>
  <c r="H168" i="7"/>
  <c r="H180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<sst xmlns="http://schemas.openxmlformats.org/spreadsheetml/2006/main" count="828" uniqueCount="327">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</sst>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23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zoomScaleNormal="100" workbookViewId="0">
      <selection activeCell="E5" sqref="E5"/>
    </sheetView>
  </sheetViews>
  <sheetFormatPr baseColWidth="10" defaultColWidth="12.83203125" defaultRowHeight="12.75" x14ac:dyDescent="0.2"/>
  <cols>
    <col min="1" max="16384" width="12.83203125" style="1"/>
  </cols>
  <sheetData>
    <row r="1" spans="1:11" ht="23.25" x14ac:dyDescent="0.2">
      <c r="A1" s="34" t="s">
        <v>240</v>
      </c>
      <c r="D1" s="34" t="s">
        <v>318</v>
      </c>
      <c r="I1" s="34"/>
    </row>
    <row r="3" spans="1:11" x14ac:dyDescent="0.2">
      <c r="A3" s="1" t="str">
        <f>VLOOKUP(_Donnee,_Tables,4,FALSE)</f>
        <v>Données</v>
      </c>
      <c r="B3" s="5" t="s">
        <v>229</v>
      </c>
      <c r="E3" s="216" t="s">
        <v>317</v>
      </c>
      <c r="F3" s="217"/>
      <c r="G3" s="218"/>
      <c r="H3" s="214" t="s">
        <v>325</v>
      </c>
      <c r="I3" s="215"/>
      <c r="J3" s="214" t="s">
        <v>326</v>
      </c>
      <c r="K3" s="215"/>
    </row>
    <row r="4" spans="1:11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1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8.6999999999999994E-2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7.3784810126582279E-2</v>
      </c>
      <c r="I5" s="198">
        <f>Modèle!I163</f>
        <v>7.3784810126582265E-2</v>
      </c>
      <c r="J5" s="208"/>
      <c r="K5" s="209"/>
    </row>
    <row r="6" spans="1:11" x14ac:dyDescent="0.2">
      <c r="D6" s="199" t="str">
        <f>VLOOKUP(CONCATENATE(_Impot,_Impot_IS),_Tables,3,FALSE)</f>
        <v>IS</v>
      </c>
      <c r="E6" s="201">
        <f>Select!C69</f>
        <v>0.35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19">
        <f>Modèle!D164</f>
        <v>0.27174915611814349</v>
      </c>
      <c r="I6" s="221">
        <f>Modèle!I164</f>
        <v>0.27698511809808679</v>
      </c>
      <c r="J6" s="219">
        <f>Modèle!D192</f>
        <v>0</v>
      </c>
      <c r="K6" s="221">
        <f>Modèle!H192</f>
        <v>0.73717564368863553</v>
      </c>
    </row>
    <row r="7" spans="1:11" x14ac:dyDescent="0.2">
      <c r="A7" s="1" t="str">
        <f>VLOOKUP(_Pays,_Tables,4,FALSE)</f>
        <v>Pays</v>
      </c>
      <c r="B7" s="5" t="s">
        <v>24</v>
      </c>
      <c r="D7" s="200" t="str">
        <f>VLOOKUP(CONCATENATE(_Impot,_Impot_IMF),_Tables,3,FALSE)</f>
        <v>IMF</v>
      </c>
      <c r="E7" s="202">
        <f>Select!C70</f>
        <v>1.4999999999999999E-2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0"/>
      <c r="I7" s="222"/>
      <c r="J7" s="220"/>
      <c r="K7" s="222"/>
    </row>
    <row r="8" spans="1:11" x14ac:dyDescent="0.2">
      <c r="D8" s="56" t="str">
        <f>VLOOKUP(CONCATENATE(_Impot,_Impot_IRVM),_Tables,3,FALSE)</f>
        <v>IRVM</v>
      </c>
      <c r="E8" s="194">
        <f>Select!C71</f>
        <v>0.2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7.7642616033755302E-2</v>
      </c>
      <c r="I8" s="198">
        <f>Modèle!I165</f>
        <v>7.9138605170881962E-2</v>
      </c>
      <c r="J8" s="208"/>
      <c r="K8" s="209"/>
    </row>
    <row r="9" spans="1:11" x14ac:dyDescent="0.2">
      <c r="A9" s="1" t="str">
        <f>VLOOKUP(_Regime,_Tables,4,FALSE)</f>
        <v>Régime</v>
      </c>
      <c r="B9" s="5" t="s">
        <v>44</v>
      </c>
      <c r="D9" s="38" t="str">
        <f>VLOOKUP(CONCATENATE(_Impot,_Impot_IRC),_Tables,3,FALSE)</f>
        <v>IRC</v>
      </c>
      <c r="E9" s="183">
        <f>Select!C72</f>
        <v>0.2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1.3924050632911397E-2</v>
      </c>
      <c r="I9" s="172">
        <f>Modèle!I166</f>
        <v>1.3924050632911395E-2</v>
      </c>
      <c r="J9" s="210"/>
      <c r="K9" s="211"/>
    </row>
    <row r="10" spans="1:11" x14ac:dyDescent="0.2">
      <c r="B10" s="19" t="str">
        <f>Select!B62</f>
        <v/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1" x14ac:dyDescent="0.2">
      <c r="B11" s="19" t="str">
        <f>Select!B63</f>
        <v/>
      </c>
      <c r="D11" s="173" t="s">
        <v>267</v>
      </c>
      <c r="E11" s="173"/>
      <c r="F11" s="51"/>
      <c r="G11" s="52"/>
      <c r="H11" s="189">
        <f>Modèle!D168</f>
        <v>0.43710063291139256</v>
      </c>
      <c r="I11" s="174">
        <f>Modèle!I168</f>
        <v>0.44383258402846243</v>
      </c>
      <c r="J11" s="189">
        <f>Modèle!D195</f>
        <v>0</v>
      </c>
      <c r="K11" s="174">
        <f>Modèle!H195</f>
        <v>1</v>
      </c>
    </row>
    <row r="12" spans="1:11" x14ac:dyDescent="0.2">
      <c r="B12" s="19" t="str">
        <f>Select!B64</f>
        <v/>
      </c>
    </row>
    <row r="14" spans="1:11" ht="23.25" x14ac:dyDescent="0.2">
      <c r="A14" s="34" t="s">
        <v>241</v>
      </c>
    </row>
    <row r="16" spans="1:11" x14ac:dyDescent="0.2">
      <c r="A16" s="212" t="str">
        <f>VLOOKUP(_Bilan,_Tables,4,FALSE)</f>
        <v>Bilan à l'ouverture</v>
      </c>
      <c r="B16" s="212"/>
      <c r="C16" s="212"/>
      <c r="D16" s="212"/>
      <c r="E16" s="212"/>
      <c r="F16" s="212"/>
      <c r="H16" s="73" t="str">
        <f>VLOOKUP(_PIBPNB,_Tables,4,FALSE)</f>
        <v>PIB ou PNB</v>
      </c>
      <c r="I16" s="67"/>
      <c r="J16" s="67"/>
      <c r="K16" s="68"/>
    </row>
    <row r="17" spans="1:11" x14ac:dyDescent="0.2">
      <c r="A17" s="213" t="str">
        <f>VLOOKUP(_Actif,_Tables,4,FALSE)</f>
        <v>Actif</v>
      </c>
      <c r="B17" s="213"/>
      <c r="C17" s="213"/>
      <c r="D17" s="213" t="str">
        <f>VLOOKUP(_Passif,_Tables,4,FALSE)</f>
        <v>Passif</v>
      </c>
      <c r="E17" s="213"/>
      <c r="F17" s="213"/>
      <c r="H17" s="56" t="str">
        <f>_PIBPNB_Liste</f>
        <v>PIB/tête</v>
      </c>
      <c r="I17" s="57"/>
      <c r="J17" s="69">
        <f>_PIBPNB_Select</f>
        <v>506611.40425374068</v>
      </c>
      <c r="K17" s="70" t="s">
        <v>251</v>
      </c>
    </row>
    <row r="18" spans="1:11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</row>
    <row r="19" spans="1:11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1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1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1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1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1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1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1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1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1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1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0.08</v>
      </c>
      <c r="K29" s="70"/>
    </row>
    <row r="31" spans="1:11" x14ac:dyDescent="0.2">
      <c r="A31" s="212" t="str">
        <f>VLOOKUP(_CompteDeResultat,_Tables,4,FALSE)</f>
        <v>Compte de résultat</v>
      </c>
      <c r="B31" s="212"/>
      <c r="C31" s="212"/>
      <c r="D31" s="212"/>
      <c r="E31" s="212"/>
      <c r="F31" s="212"/>
    </row>
    <row r="32" spans="1:11" x14ac:dyDescent="0.2">
      <c r="A32" s="213" t="str">
        <f>VLOOKUP(_Charges,_Tables,4,FALSE)</f>
        <v>Charges</v>
      </c>
      <c r="B32" s="213"/>
      <c r="C32" s="213"/>
      <c r="D32" s="213" t="str">
        <f>VLOOKUP(_Produits,_Tables,4,FALSE)</f>
        <v>Produits</v>
      </c>
      <c r="E32" s="213"/>
      <c r="F32" s="213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875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8.6999999999999994E-2</v>
      </c>
      <c r="C52" s="80">
        <f>_CFE_Taux_Select2</f>
        <v>8.6999999999999994E-2</v>
      </c>
      <c r="D52" s="80">
        <f>_CFE_Taux_Select3</f>
        <v>8.6999999999999994E-2</v>
      </c>
      <c r="E52" s="80">
        <f>_CFE_Taux_Select4</f>
        <v>8.6999999999999994E-2</v>
      </c>
      <c r="F52" s="81">
        <f>_CFE_Taux_Select5</f>
        <v>8.6999999999999994E-2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0.35</v>
      </c>
      <c r="C53" s="80">
        <f>_IS_Taux_Select2</f>
        <v>0.35</v>
      </c>
      <c r="D53" s="80">
        <f>_IS_Taux_Select3</f>
        <v>0.35</v>
      </c>
      <c r="E53" s="80">
        <f>_IS_Taux_Select4</f>
        <v>0.35</v>
      </c>
      <c r="F53" s="81">
        <f>_IS_Taux_Select5</f>
        <v>0.35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1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1.4999999999999999E-2</v>
      </c>
      <c r="C54" s="80">
        <f>_IMF_Taux_Select2</f>
        <v>1.4999999999999999E-2</v>
      </c>
      <c r="D54" s="80">
        <f>_IMF_Taux_Select3</f>
        <v>1.4999999999999999E-2</v>
      </c>
      <c r="E54" s="80">
        <f>_IMF_Taux_Select4</f>
        <v>1.4999999999999999E-2</v>
      </c>
      <c r="F54" s="81">
        <f>_IMF_Taux_Select5</f>
        <v>1.4999999999999999E-2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0.2</v>
      </c>
      <c r="C55" s="80">
        <f>_IRVM_Taux_Select2</f>
        <v>0.2</v>
      </c>
      <c r="D55" s="80">
        <f>_IRVM_Taux_Select3</f>
        <v>0.2</v>
      </c>
      <c r="E55" s="80">
        <f>_IRVM_Taux_Select4</f>
        <v>0.2</v>
      </c>
      <c r="F55" s="81">
        <f>_IRVM_Taux_Select5</f>
        <v>0.2</v>
      </c>
      <c r="H55" s="38" t="str">
        <f>VLOOKUP(_Informatique,_Tables,4,FALSE)</f>
        <v>Matériel informatique</v>
      </c>
      <c r="I55" s="39"/>
      <c r="J55" s="40">
        <f>_Informatique_DureeLineaire_Select</f>
        <v>3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0.2</v>
      </c>
      <c r="C56" s="80">
        <f>_IRC_Taux_Select2</f>
        <v>0.2</v>
      </c>
      <c r="D56" s="80">
        <f>_IRC_Taux_Select3</f>
        <v>0.2</v>
      </c>
      <c r="E56" s="80">
        <f>_IRC_Taux_Select4</f>
        <v>0.2</v>
      </c>
      <c r="F56" s="81">
        <f>_IRC_Taux_Select5</f>
        <v>0.2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H3:I3"/>
    <mergeCell ref="J3:K3"/>
    <mergeCell ref="E3:G3"/>
    <mergeCell ref="H6:H7"/>
    <mergeCell ref="I6:I7"/>
    <mergeCell ref="J6:J7"/>
    <mergeCell ref="K6:K7"/>
    <mergeCell ref="A31:F31"/>
    <mergeCell ref="A32:C32"/>
    <mergeCell ref="D32:F32"/>
    <mergeCell ref="A16:F16"/>
    <mergeCell ref="A17:C17"/>
    <mergeCell ref="D17:F1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abSelected="1" topLeftCell="A61" zoomScaleNormal="100" workbookViewId="0">
      <selection activeCell="C44" sqref="C44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5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5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5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5" x14ac:dyDescent="0.2">
      <c r="B20" s="3" t="str">
        <f>_Achats</f>
        <v>_Achats</v>
      </c>
      <c r="C20" s="13">
        <f t="shared" si="0"/>
        <v>875</v>
      </c>
      <c r="D20" s="27"/>
      <c r="E20" s="26">
        <f t="shared" si="1"/>
        <v>875</v>
      </c>
    </row>
    <row r="21" spans="2:5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5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5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5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5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5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5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5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</row>
    <row r="29" spans="2:5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5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5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5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0.08</v>
      </c>
      <c r="D34" s="28"/>
      <c r="E34" s="29">
        <f t="shared" si="1"/>
        <v>0.08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506611.40425374068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506611.40425374068</v>
      </c>
    </row>
    <row r="42" spans="1:7" x14ac:dyDescent="0.2">
      <c r="A42" s="1" t="str">
        <f>_Pays</f>
        <v>_Pays</v>
      </c>
      <c r="B42" s="19" t="str">
        <f>VLOOKUP(1,$C43:$D54,2,FALSE)</f>
        <v>_TCD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0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4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4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4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4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4" x14ac:dyDescent="0.2">
      <c r="B53" s="3" t="str">
        <f t="shared" si="2"/>
        <v>Tchad</v>
      </c>
      <c r="C53" s="3">
        <f t="shared" si="3"/>
        <v>1</v>
      </c>
      <c r="D53" s="3" t="str">
        <f>_Pays_TCD</f>
        <v>_TCD</v>
      </c>
    </row>
    <row r="54" spans="1:4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4" x14ac:dyDescent="0.2">
      <c r="A56" s="1" t="str">
        <f>_Colonne</f>
        <v>_Colonne</v>
      </c>
      <c r="B56" s="19">
        <f>HLOOKUP(_Pays_Select,BaseFisc!$E$1:$R$2,2,FALSE)</f>
        <v>17</v>
      </c>
    </row>
    <row r="58" spans="1:4" x14ac:dyDescent="0.2">
      <c r="A58" s="1" t="str">
        <f>_Regime</f>
        <v>_Regime</v>
      </c>
      <c r="B58" s="19" t="str">
        <f>VLOOKUP(1,$C59:$D60,2,FALSE)</f>
        <v>_Gen</v>
      </c>
    </row>
    <row r="59" spans="1:4" x14ac:dyDescent="0.2">
      <c r="B59" s="3" t="str">
        <f>VLOOKUP(CONCATENATE(_Regime,$D59),_Tables,4,FALSE)</f>
        <v>Régime général</v>
      </c>
      <c r="C59" s="3">
        <f>IF(_Regime_Liste=$B59,1,0)</f>
        <v>1</v>
      </c>
      <c r="D59" s="3" t="str">
        <f>_Regime_Gen</f>
        <v>_Gen</v>
      </c>
    </row>
    <row r="60" spans="1:4" x14ac:dyDescent="0.2">
      <c r="B60" s="3" t="str">
        <f>VLOOKUP(CONCATENATE(_Regime,$D60),_Tables,4,FALSE)</f>
        <v>Régime des investissements</v>
      </c>
      <c r="C60" s="3">
        <f>IF(_Regime_Liste=$B60,1,0)</f>
        <v>0</v>
      </c>
      <c r="D60" s="3" t="str">
        <f>_Regime_Inv</f>
        <v>_Inv</v>
      </c>
    </row>
    <row r="62" spans="1:4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/>
      </c>
    </row>
    <row r="63" spans="1:4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/>
      </c>
    </row>
    <row r="64" spans="1:4" x14ac:dyDescent="0.2">
      <c r="A64" s="1" t="str">
        <f>_Zone</f>
        <v>_Zone</v>
      </c>
      <c r="B64" s="19" t="str">
        <f>IF(_Regime_Select=_Regime_Inv,VLOOKUP(CONCATENATE(_Regime_Inv,_Zone),_BaseFisc,_ColonneFisc_Select,FALSE),"")</f>
        <v/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8.6999999999999994E-2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 t="shared" ref="P68:T73" si="6">IF(J68&lt;&gt;"",J68,IF(OR(_Regime_Select=_Regime_Gen,$H68=_Regime_Gen),$C68,IF($E68&lt;P$67,$C68,IF($H68=_Information_Taux,$F68,IF($H68=_Information_ReducExo,(1-$G68)*$C68,_Error)))))</f>
        <v>8.6999999999999994E-2</v>
      </c>
      <c r="Q68" s="24">
        <f t="shared" si="6"/>
        <v>8.6999999999999994E-2</v>
      </c>
      <c r="R68" s="24">
        <f t="shared" si="6"/>
        <v>8.6999999999999994E-2</v>
      </c>
      <c r="S68" s="24">
        <f t="shared" si="6"/>
        <v>8.6999999999999994E-2</v>
      </c>
      <c r="T68" s="24">
        <f t="shared" si="6"/>
        <v>8.6999999999999994E-2</v>
      </c>
    </row>
    <row r="69" spans="1:20" x14ac:dyDescent="0.2">
      <c r="B69" s="3" t="str">
        <f>_Impot_IS</f>
        <v>_IS</v>
      </c>
      <c r="C69" s="12">
        <f t="shared" ref="C68:C73" si="7">IF(VLOOKUP(CONCATENATE($C$66,$B69,C$67),_BaseFisc,_ColonneFisc_Select,FALSE)="","",VLOOKUP(CONCATENATE($C$66,$B69,C$67),_BaseFisc,_ColonneFisc_Select,FALSE))</f>
        <v>0.35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1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 t="shared" si="6"/>
        <v>0.35</v>
      </c>
      <c r="Q69" s="24">
        <f t="shared" si="6"/>
        <v>0.35</v>
      </c>
      <c r="R69" s="24">
        <f t="shared" si="6"/>
        <v>0.35</v>
      </c>
      <c r="S69" s="24">
        <f t="shared" si="6"/>
        <v>0.35</v>
      </c>
      <c r="T69" s="24">
        <f t="shared" si="6"/>
        <v>0.35</v>
      </c>
    </row>
    <row r="70" spans="1:20" x14ac:dyDescent="0.2">
      <c r="B70" s="3" t="str">
        <f>_Impot_IMF</f>
        <v>_IMF</v>
      </c>
      <c r="C70" s="12">
        <f t="shared" si="7"/>
        <v>1.4999999999999999E-2</v>
      </c>
      <c r="E70" s="23">
        <f t="shared" si="4"/>
        <v>5</v>
      </c>
      <c r="F70" s="12" t="str">
        <f t="shared" si="4"/>
        <v/>
      </c>
      <c r="G70" s="10">
        <f t="shared" si="4"/>
        <v>1</v>
      </c>
      <c r="H70" s="3" t="str">
        <f t="shared" si="5"/>
        <v>_ReducExo</v>
      </c>
      <c r="J70" s="25"/>
      <c r="K70" s="25"/>
      <c r="L70" s="25"/>
      <c r="M70" s="25"/>
      <c r="N70" s="25"/>
      <c r="P70" s="24">
        <f t="shared" si="6"/>
        <v>1.4999999999999999E-2</v>
      </c>
      <c r="Q70" s="24">
        <f t="shared" si="6"/>
        <v>1.4999999999999999E-2</v>
      </c>
      <c r="R70" s="24">
        <f t="shared" si="6"/>
        <v>1.4999999999999999E-2</v>
      </c>
      <c r="S70" s="24">
        <f t="shared" si="6"/>
        <v>1.4999999999999999E-2</v>
      </c>
      <c r="T70" s="24">
        <f t="shared" si="6"/>
        <v>1.4999999999999999E-2</v>
      </c>
    </row>
    <row r="71" spans="1:20" x14ac:dyDescent="0.2">
      <c r="B71" s="3" t="str">
        <f>_Impot_IRVM</f>
        <v>_IRVM</v>
      </c>
      <c r="C71" s="12">
        <f t="shared" si="7"/>
        <v>0.2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0.2</v>
      </c>
      <c r="Q71" s="24">
        <f t="shared" si="6"/>
        <v>0.2</v>
      </c>
      <c r="R71" s="24">
        <f t="shared" si="6"/>
        <v>0.2</v>
      </c>
      <c r="S71" s="24">
        <f t="shared" si="6"/>
        <v>0.2</v>
      </c>
      <c r="T71" s="24">
        <f t="shared" si="6"/>
        <v>0.2</v>
      </c>
    </row>
    <row r="72" spans="1:20" x14ac:dyDescent="0.2">
      <c r="B72" s="3" t="str">
        <f>_Impot_IRC</f>
        <v>_IRC</v>
      </c>
      <c r="C72" s="12">
        <f t="shared" si="7"/>
        <v>0.2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0.2</v>
      </c>
      <c r="Q72" s="24">
        <f t="shared" si="6"/>
        <v>0.2</v>
      </c>
      <c r="R72" s="24">
        <f t="shared" si="6"/>
        <v>0.2</v>
      </c>
      <c r="S72" s="24">
        <f t="shared" si="6"/>
        <v>0.2</v>
      </c>
      <c r="T72" s="24">
        <f t="shared" si="6"/>
        <v>0.2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1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1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3</v>
      </c>
      <c r="D80" s="23" t="str">
        <f t="shared" si="8"/>
        <v/>
      </c>
      <c r="F80" s="27"/>
      <c r="G80" s="27"/>
      <c r="I80" s="26">
        <f>IF(F80&lt;&gt;"",F80,IF(C80&lt;1,_Error,C80))</f>
        <v>3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topLeftCell="A76" zoomScaleNormal="100" workbookViewId="0"/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446686.61040326342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2" x14ac:dyDescent="0.2">
      <c r="A17" s="17" t="str">
        <f>VLOOKUP(_Passif,_Tables,4,FALSE)</f>
        <v>Passif</v>
      </c>
    </row>
    <row r="18" spans="1:2" x14ac:dyDescent="0.2">
      <c r="A18" s="17" t="str">
        <f>VLOOKUP(_CapitauxPropres,_Tables,4,FALSE)</f>
        <v>Capitaux propres</v>
      </c>
    </row>
    <row r="19" spans="1:2" x14ac:dyDescent="0.2">
      <c r="A19" s="4" t="str">
        <f>_CapitalSocial</f>
        <v>_CapitalSocial</v>
      </c>
      <c r="B19" s="13">
        <v>102</v>
      </c>
    </row>
    <row r="20" spans="1:2" x14ac:dyDescent="0.2">
      <c r="A20" s="17" t="str">
        <f>VLOOKUP(_Dettes,_Tables,4,FALSE)</f>
        <v>Dettes</v>
      </c>
    </row>
    <row r="21" spans="1:2" x14ac:dyDescent="0.2">
      <c r="A21" s="4" t="str">
        <f>_DettesLT</f>
        <v>_DettesLT</v>
      </c>
      <c r="B21" s="13">
        <v>43</v>
      </c>
    </row>
    <row r="22" spans="1:2" x14ac:dyDescent="0.2">
      <c r="A22" s="4" t="str">
        <f>_DettesCT</f>
        <v>_DettesCT</v>
      </c>
      <c r="B22" s="13">
        <v>55</v>
      </c>
    </row>
    <row r="23" spans="1:2" x14ac:dyDescent="0.2">
      <c r="A23" s="4" t="str">
        <f>_DettesFournisseurs</f>
        <v>_DettesFournisseurs</v>
      </c>
      <c r="B23" s="13">
        <v>50</v>
      </c>
    </row>
    <row r="25" spans="1:2" x14ac:dyDescent="0.2">
      <c r="A25" s="17" t="str">
        <f>VLOOKUP(_CompteDeResultat,_Tables,4,FALSE)</f>
        <v>Compte de résultat</v>
      </c>
    </row>
    <row r="26" spans="1:2" x14ac:dyDescent="0.2">
      <c r="A26" s="17" t="str">
        <f>VLOOKUP(_Charges,_Tables,4,FALSE)</f>
        <v>Charges</v>
      </c>
    </row>
    <row r="27" spans="1:2" x14ac:dyDescent="0.2">
      <c r="A27" s="17" t="str">
        <f>VLOOKUP(_AchatsBetS,_Tables,4,FALSE)</f>
        <v>Achats de biens et services</v>
      </c>
    </row>
    <row r="28" spans="1:2" x14ac:dyDescent="0.2">
      <c r="A28" s="4" t="str">
        <f>_Achats</f>
        <v>_Achats</v>
      </c>
      <c r="B28" s="13">
        <v>875</v>
      </c>
    </row>
    <row r="29" spans="1:2" x14ac:dyDescent="0.2">
      <c r="A29" s="4" t="str">
        <f>_Petrole</f>
        <v>_Petrole</v>
      </c>
      <c r="B29" s="13">
        <v>0</v>
      </c>
    </row>
    <row r="30" spans="1:2" x14ac:dyDescent="0.2">
      <c r="A30" s="4" t="str">
        <f>_DepensesAdministratives</f>
        <v>_DepensesAdministratives</v>
      </c>
      <c r="B30" s="13">
        <v>10</v>
      </c>
    </row>
    <row r="31" spans="1:2" x14ac:dyDescent="0.2">
      <c r="A31" s="4" t="str">
        <f>_DepensesPublicitaires</f>
        <v>_DepensesPublicitaires</v>
      </c>
      <c r="B31" s="13">
        <v>10.5</v>
      </c>
    </row>
    <row r="32" spans="1:2" x14ac:dyDescent="0.2">
      <c r="A32" s="4" t="str">
        <f>_DepensesDEntretien</f>
        <v>_DepensesDEntretien</v>
      </c>
      <c r="B32" s="13">
        <v>3</v>
      </c>
    </row>
    <row r="33" spans="1:3" x14ac:dyDescent="0.2">
      <c r="A33" s="17" t="str">
        <f>VLOOKUP(_ImpotsEtTaxes,_Tables,4,FALSE)</f>
        <v>Impôts et taxes</v>
      </c>
    </row>
    <row r="34" spans="1:3" x14ac:dyDescent="0.2">
      <c r="A34" s="17" t="str">
        <f>VLOOKUP(_MasseSalariale,_Tables,4,FALSE)</f>
        <v>Masse salariale</v>
      </c>
    </row>
    <row r="35" spans="1:3" x14ac:dyDescent="0.2">
      <c r="A35" s="17" t="str">
        <f>VLOOKUP(_ChargesFinancieres,_Tables,4,FALSE)</f>
        <v>Charges financières</v>
      </c>
    </row>
    <row r="36" spans="1:3" x14ac:dyDescent="0.2">
      <c r="A36" s="4" t="str">
        <f>_ChargesFinancieres</f>
        <v>_ChargesFinancieres</v>
      </c>
      <c r="B36" s="13">
        <v>5.5</v>
      </c>
    </row>
    <row r="37" spans="1:3" x14ac:dyDescent="0.2">
      <c r="A37" s="17" t="str">
        <f>VLOOKUP(_Amortissement,_Tables,4,FALSE)</f>
        <v>Amortissement</v>
      </c>
    </row>
    <row r="38" spans="1:3" x14ac:dyDescent="0.2">
      <c r="A38" s="17" t="str">
        <f>VLOOKUP(_Produits,_Tables,4,FALSE)</f>
        <v>Produits</v>
      </c>
    </row>
    <row r="39" spans="1:3" x14ac:dyDescent="0.2">
      <c r="A39" s="17" t="str">
        <f>VLOOKUP(_Ventes,_Tables,4,FALSE)</f>
        <v>Ventes</v>
      </c>
    </row>
    <row r="40" spans="1:3" x14ac:dyDescent="0.2">
      <c r="A40" s="4" t="str">
        <f>_Ventes</f>
        <v>_Ventes</v>
      </c>
      <c r="B40" s="13">
        <v>1050</v>
      </c>
    </row>
    <row r="42" spans="1:3" x14ac:dyDescent="0.2">
      <c r="A42" s="17" t="str">
        <f>VLOOKUP(_Salaries,_Tables,4,FALSE)</f>
        <v>Salariés</v>
      </c>
    </row>
    <row r="43" spans="1:3" x14ac:dyDescent="0.2">
      <c r="A43" s="17" t="str">
        <f>VLOOKUP(_Nombre,_Tables,4,FALSE)</f>
        <v>Nombre</v>
      </c>
    </row>
    <row r="44" spans="1:3" x14ac:dyDescent="0.2">
      <c r="A44" s="4" t="s">
        <v>212</v>
      </c>
      <c r="B44" s="13">
        <v>4</v>
      </c>
    </row>
    <row r="45" spans="1:3" x14ac:dyDescent="0.2">
      <c r="A45" s="4" t="s">
        <v>213</v>
      </c>
      <c r="B45" s="13">
        <v>8</v>
      </c>
    </row>
    <row r="46" spans="1:3" x14ac:dyDescent="0.2">
      <c r="A46" s="4" t="s">
        <v>214</v>
      </c>
      <c r="B46" s="13">
        <v>48</v>
      </c>
    </row>
    <row r="47" spans="1:3" s="33" customFormat="1" x14ac:dyDescent="0.2">
      <c r="A47" s="17" t="str">
        <f>VLOOKUP(_Indice,_Tables,4,FALSE)</f>
        <v>Indice salarial</v>
      </c>
      <c r="B47" s="7"/>
      <c r="C47" s="7"/>
    </row>
    <row r="48" spans="1:3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0.08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5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6384" width="10.83203125" style="1"/>
  </cols>
  <sheetData>
    <row r="1" spans="1:8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8" x14ac:dyDescent="0.2">
      <c r="A3" s="89" t="s">
        <v>255</v>
      </c>
    </row>
    <row r="4" spans="1:8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73458653.616792396</v>
      </c>
      <c r="D4" s="91"/>
      <c r="E4" s="91"/>
      <c r="F4" s="91"/>
      <c r="G4" s="91"/>
      <c r="H4" s="92"/>
    </row>
    <row r="6" spans="1:8" x14ac:dyDescent="0.2">
      <c r="A6" s="89" t="s">
        <v>257</v>
      </c>
    </row>
    <row r="7" spans="1:8" x14ac:dyDescent="0.2">
      <c r="A7" s="115" t="s">
        <v>72</v>
      </c>
      <c r="B7" s="97" t="s">
        <v>251</v>
      </c>
      <c r="C7" s="116"/>
      <c r="D7" s="117">
        <f>D$22</f>
        <v>1013222.8085074815</v>
      </c>
      <c r="E7" s="117">
        <f t="shared" ref="E7:H7" si="0">E$22</f>
        <v>1013222.8085074815</v>
      </c>
      <c r="F7" s="117">
        <f t="shared" si="0"/>
        <v>1013222.8085074816</v>
      </c>
      <c r="G7" s="117">
        <f t="shared" si="0"/>
        <v>1013222.8085074815</v>
      </c>
      <c r="H7" s="118">
        <f t="shared" si="0"/>
        <v>1013222.8085074815</v>
      </c>
    </row>
    <row r="8" spans="1:8" x14ac:dyDescent="0.2">
      <c r="A8" s="101" t="s">
        <v>258</v>
      </c>
      <c r="B8" s="102" t="s">
        <v>251</v>
      </c>
      <c r="C8" s="119"/>
      <c r="D8" s="113">
        <f>D$32</f>
        <v>3039668.4255224443</v>
      </c>
      <c r="E8" s="113">
        <f t="shared" ref="E8:H8" si="1">E$32</f>
        <v>3039668.4255224438</v>
      </c>
      <c r="F8" s="113">
        <f t="shared" si="1"/>
        <v>3039668.4255224443</v>
      </c>
      <c r="G8" s="113">
        <f t="shared" si="1"/>
        <v>3039668.4255224443</v>
      </c>
      <c r="H8" s="120">
        <f t="shared" si="1"/>
        <v>3039668.4255224448</v>
      </c>
    </row>
    <row r="9" spans="1:8" x14ac:dyDescent="0.2">
      <c r="A9" s="101" t="s">
        <v>74</v>
      </c>
      <c r="B9" s="102" t="s">
        <v>251</v>
      </c>
      <c r="C9" s="119"/>
      <c r="D9" s="113">
        <f>D$42</f>
        <v>844352.34042290109</v>
      </c>
      <c r="E9" s="113">
        <f t="shared" ref="E9:H9" si="2">E$42</f>
        <v>844352.34042290121</v>
      </c>
      <c r="F9" s="113">
        <f t="shared" si="2"/>
        <v>844352.34042290121</v>
      </c>
      <c r="G9" s="113">
        <f t="shared" si="2"/>
        <v>0</v>
      </c>
      <c r="H9" s="120">
        <f t="shared" si="2"/>
        <v>0</v>
      </c>
    </row>
    <row r="10" spans="1:8" x14ac:dyDescent="0.2">
      <c r="A10" s="101" t="s">
        <v>76</v>
      </c>
      <c r="B10" s="102" t="s">
        <v>251</v>
      </c>
      <c r="C10" s="119"/>
      <c r="D10" s="113">
        <f>D$52</f>
        <v>844352.34042290109</v>
      </c>
      <c r="E10" s="113">
        <f t="shared" ref="E10:H10" si="3">E$52</f>
        <v>844352.34042290121</v>
      </c>
      <c r="F10" s="113">
        <f t="shared" si="3"/>
        <v>844352.34042290121</v>
      </c>
      <c r="G10" s="113">
        <f t="shared" si="3"/>
        <v>0</v>
      </c>
      <c r="H10" s="120">
        <f t="shared" si="3"/>
        <v>0</v>
      </c>
    </row>
    <row r="11" spans="1:8" x14ac:dyDescent="0.2">
      <c r="A11" s="101" t="s">
        <v>75</v>
      </c>
      <c r="B11" s="102" t="s">
        <v>251</v>
      </c>
      <c r="C11" s="119"/>
      <c r="D11" s="113">
        <f>D$62</f>
        <v>253305.70212687037</v>
      </c>
      <c r="E11" s="113">
        <f t="shared" ref="E11:H11" si="4">E$62</f>
        <v>253305.70212687034</v>
      </c>
      <c r="F11" s="113">
        <f t="shared" si="4"/>
        <v>253305.70212687034</v>
      </c>
      <c r="G11" s="113">
        <f t="shared" si="4"/>
        <v>253305.70212687031</v>
      </c>
      <c r="H11" s="120">
        <f t="shared" si="4"/>
        <v>253305.70212687031</v>
      </c>
    </row>
    <row r="12" spans="1:8" x14ac:dyDescent="0.2">
      <c r="A12" s="108" t="s">
        <v>267</v>
      </c>
      <c r="B12" s="109" t="s">
        <v>251</v>
      </c>
      <c r="C12" s="121"/>
      <c r="D12" s="122">
        <f>SUM(D7:D11)</f>
        <v>5994901.617002598</v>
      </c>
      <c r="E12" s="122">
        <f t="shared" ref="E12:H12" si="5">SUM(E7:E11)</f>
        <v>5994901.617002598</v>
      </c>
      <c r="F12" s="122">
        <f t="shared" si="5"/>
        <v>5994901.617002598</v>
      </c>
      <c r="G12" s="122">
        <f t="shared" si="5"/>
        <v>4306196.9361567963</v>
      </c>
      <c r="H12" s="123">
        <f t="shared" si="5"/>
        <v>4306196.9361567963</v>
      </c>
    </row>
    <row r="14" spans="1:8" x14ac:dyDescent="0.2">
      <c r="A14" s="89" t="s">
        <v>72</v>
      </c>
      <c r="B14" s="1" t="s">
        <v>251</v>
      </c>
      <c r="D14" s="95">
        <f>_Constructions_Select*_PIBPNB_Select</f>
        <v>20264456.170149628</v>
      </c>
    </row>
    <row r="15" spans="1:8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8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8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</row>
    <row r="19" spans="1:8" x14ac:dyDescent="0.2">
      <c r="A19" s="101" t="s">
        <v>262</v>
      </c>
      <c r="B19" s="102" t="s">
        <v>251</v>
      </c>
      <c r="C19" s="102"/>
      <c r="D19" s="103">
        <f>D14</f>
        <v>20264456.170149628</v>
      </c>
      <c r="E19" s="104">
        <f>D19-D22</f>
        <v>19251233.361642148</v>
      </c>
      <c r="F19" s="104">
        <f t="shared" ref="F19:H19" si="7">E19-E22</f>
        <v>18238010.553134669</v>
      </c>
      <c r="G19" s="104">
        <f t="shared" si="7"/>
        <v>17224787.744627185</v>
      </c>
      <c r="H19" s="105">
        <f t="shared" si="7"/>
        <v>16211564.936119704</v>
      </c>
    </row>
    <row r="20" spans="1:8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8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8" x14ac:dyDescent="0.2">
      <c r="A22" s="108" t="s">
        <v>266</v>
      </c>
      <c r="B22" s="109" t="s">
        <v>251</v>
      </c>
      <c r="C22" s="109"/>
      <c r="D22" s="110">
        <f>D19*D21</f>
        <v>1013222.8085074815</v>
      </c>
      <c r="E22" s="110">
        <f t="shared" ref="E22:H22" si="9">E19*E21</f>
        <v>1013222.8085074815</v>
      </c>
      <c r="F22" s="110">
        <f t="shared" si="9"/>
        <v>1013222.8085074816</v>
      </c>
      <c r="G22" s="110">
        <f t="shared" si="9"/>
        <v>1013222.8085074815</v>
      </c>
      <c r="H22" s="111">
        <f t="shared" si="9"/>
        <v>1013222.8085074815</v>
      </c>
    </row>
    <row r="24" spans="1:8" x14ac:dyDescent="0.2">
      <c r="A24" s="89" t="s">
        <v>73</v>
      </c>
      <c r="B24" s="1" t="s">
        <v>251</v>
      </c>
      <c r="D24" s="95">
        <f>_Equipement_Select*_PIBPNB_Select</f>
        <v>30396684.25522444</v>
      </c>
    </row>
    <row r="25" spans="1:8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8" x14ac:dyDescent="0.2">
      <c r="A26" s="1" t="s">
        <v>107</v>
      </c>
      <c r="B26" s="1" t="s">
        <v>260</v>
      </c>
      <c r="D26" s="94">
        <f>_Equipement_CoefDegressif_Select</f>
        <v>1</v>
      </c>
    </row>
    <row r="28" spans="1:8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8" x14ac:dyDescent="0.2">
      <c r="A29" s="101" t="s">
        <v>262</v>
      </c>
      <c r="B29" s="102" t="s">
        <v>251</v>
      </c>
      <c r="C29" s="102"/>
      <c r="D29" s="103">
        <f>D24</f>
        <v>30396684.25522444</v>
      </c>
      <c r="E29" s="104">
        <f>D29-D32</f>
        <v>27357015.829701997</v>
      </c>
      <c r="F29" s="104">
        <f t="shared" ref="F29" si="13">E29-E32</f>
        <v>24317347.404179554</v>
      </c>
      <c r="G29" s="104">
        <f t="shared" ref="G29" si="14">F29-F32</f>
        <v>21277678.978657112</v>
      </c>
      <c r="H29" s="105">
        <f t="shared" ref="H29" si="15">G29-G32</f>
        <v>18238010.553134669</v>
      </c>
    </row>
    <row r="30" spans="1:8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8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0.1</v>
      </c>
      <c r="E31" s="106">
        <f>IF(E28=0,0,IF($D26*$D30&gt;100%,100%,IF($D26*$D30&gt;E30,$D26*$D30,E30)))</f>
        <v>0.1111111111111111</v>
      </c>
      <c r="F31" s="106">
        <f>IF(F28=0,0,IF($D26*$D30&gt;100%,100%,IF($D26*$D30&gt;F30,$D26*$D30,F30)))</f>
        <v>0.125</v>
      </c>
      <c r="G31" s="106">
        <f>IF(G28=0,0,IF($D26*$D30&gt;100%,100%,IF($D26*$D30&gt;G30,$D26*$D30,G30)))</f>
        <v>0.14285714285714285</v>
      </c>
      <c r="H31" s="107">
        <f>IF(H28=0,0,IF($D26*$D30&gt;100%,100%,IF($D26*$D30&gt;H30,$D26*$D30,H30)))</f>
        <v>0.16666666666666666</v>
      </c>
    </row>
    <row r="32" spans="1:8" x14ac:dyDescent="0.2">
      <c r="A32" s="108" t="s">
        <v>266</v>
      </c>
      <c r="B32" s="109" t="s">
        <v>251</v>
      </c>
      <c r="C32" s="109"/>
      <c r="D32" s="110">
        <f>D29*D31</f>
        <v>3039668.4255224443</v>
      </c>
      <c r="E32" s="110">
        <f t="shared" ref="E32:H32" si="17">E29*E31</f>
        <v>3039668.4255224438</v>
      </c>
      <c r="F32" s="110">
        <f t="shared" si="17"/>
        <v>3039668.4255224443</v>
      </c>
      <c r="G32" s="110">
        <f t="shared" si="17"/>
        <v>3039668.4255224443</v>
      </c>
      <c r="H32" s="111">
        <f t="shared" si="17"/>
        <v>3039668.4255224448</v>
      </c>
    </row>
    <row r="34" spans="1:8" x14ac:dyDescent="0.2">
      <c r="A34" s="89" t="s">
        <v>74</v>
      </c>
      <c r="B34" s="1" t="s">
        <v>251</v>
      </c>
      <c r="D34" s="95">
        <f>_Camion_Select*_PIBPNB_Select</f>
        <v>2533057.0212687035</v>
      </c>
    </row>
    <row r="35" spans="1:8" x14ac:dyDescent="0.2">
      <c r="A35" s="1" t="s">
        <v>90</v>
      </c>
      <c r="B35" s="1" t="s">
        <v>259</v>
      </c>
      <c r="D35" s="94">
        <f>_Camion_DureeLineaire_Select</f>
        <v>3</v>
      </c>
    </row>
    <row r="36" spans="1:8" x14ac:dyDescent="0.2">
      <c r="A36" s="1" t="s">
        <v>107</v>
      </c>
      <c r="B36" s="1" t="s">
        <v>260</v>
      </c>
      <c r="D36" s="94">
        <f>_Camion_CoefDegressif_Select</f>
        <v>1</v>
      </c>
    </row>
    <row r="38" spans="1:8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</row>
    <row r="39" spans="1:8" x14ac:dyDescent="0.2">
      <c r="A39" s="101" t="s">
        <v>262</v>
      </c>
      <c r="B39" s="102" t="s">
        <v>251</v>
      </c>
      <c r="C39" s="102"/>
      <c r="D39" s="103">
        <f>D34</f>
        <v>2533057.0212687035</v>
      </c>
      <c r="E39" s="104">
        <f>D39-D42</f>
        <v>1688704.6808458024</v>
      </c>
      <c r="F39" s="104">
        <f t="shared" ref="F39" si="21">E39-E42</f>
        <v>844352.34042290121</v>
      </c>
      <c r="G39" s="104">
        <f t="shared" ref="G39" si="22">F39-F42</f>
        <v>0</v>
      </c>
      <c r="H39" s="105">
        <f t="shared" ref="H39" si="23">G39-G42</f>
        <v>0</v>
      </c>
    </row>
    <row r="40" spans="1:8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8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8" x14ac:dyDescent="0.2">
      <c r="A42" s="108" t="s">
        <v>266</v>
      </c>
      <c r="B42" s="109" t="s">
        <v>251</v>
      </c>
      <c r="C42" s="109"/>
      <c r="D42" s="110">
        <f>D39*D41</f>
        <v>844352.34042290109</v>
      </c>
      <c r="E42" s="110">
        <f t="shared" ref="E42:H42" si="25">E39*E41</f>
        <v>844352.34042290121</v>
      </c>
      <c r="F42" s="110">
        <f t="shared" si="25"/>
        <v>844352.34042290121</v>
      </c>
      <c r="G42" s="110">
        <f t="shared" si="25"/>
        <v>0</v>
      </c>
      <c r="H42" s="111">
        <f t="shared" si="25"/>
        <v>0</v>
      </c>
    </row>
    <row r="44" spans="1:8" x14ac:dyDescent="0.2">
      <c r="A44" s="89" t="s">
        <v>76</v>
      </c>
      <c r="B44" s="1" t="s">
        <v>251</v>
      </c>
      <c r="D44" s="95">
        <f>_Informatique_Select*_PIBPNB_Select</f>
        <v>2533057.0212687035</v>
      </c>
    </row>
    <row r="45" spans="1:8" x14ac:dyDescent="0.2">
      <c r="A45" s="1" t="s">
        <v>90</v>
      </c>
      <c r="B45" s="1" t="s">
        <v>259</v>
      </c>
      <c r="D45" s="94">
        <f>_Informatique_DureeLineaire_Select</f>
        <v>3</v>
      </c>
    </row>
    <row r="46" spans="1:8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8" x14ac:dyDescent="0.2">
      <c r="A48" s="96" t="s">
        <v>261</v>
      </c>
      <c r="B48" s="97" t="s">
        <v>259</v>
      </c>
      <c r="C48" s="97"/>
      <c r="D48" s="98">
        <f>D45</f>
        <v>3</v>
      </c>
      <c r="E48" s="99">
        <f>IF(D48-1&gt;0,D48-1,0)</f>
        <v>2</v>
      </c>
      <c r="F48" s="99">
        <f t="shared" ref="F48" si="26">IF(E48-1&gt;0,E48-1,0)</f>
        <v>1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2533057.0212687035</v>
      </c>
      <c r="E49" s="104">
        <f>D49-D52</f>
        <v>1688704.6808458024</v>
      </c>
      <c r="F49" s="104">
        <f t="shared" ref="F49" si="29">E49-E52</f>
        <v>844352.34042290121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0.33333333333333331</v>
      </c>
      <c r="E50" s="106">
        <f t="shared" ref="E50:H50" si="32">IF(E48&gt;0,1/E48,0)</f>
        <v>0.5</v>
      </c>
      <c r="F50" s="106">
        <f t="shared" si="32"/>
        <v>1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0.33333333333333331</v>
      </c>
      <c r="E51" s="106">
        <f>IF(E48=0,0,IF($D46*$D50&gt;100%,100%,IF($D46*$D50&gt;E50,$D46*$D50,E50)))</f>
        <v>0.5</v>
      </c>
      <c r="F51" s="106">
        <f>IF(F48=0,0,IF($D46*$D50&gt;100%,100%,IF($D46*$D50&gt;F50,$D46*$D50,F50)))</f>
        <v>1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844352.34042290109</v>
      </c>
      <c r="E52" s="110">
        <f t="shared" ref="E52:H52" si="33">E49*E51</f>
        <v>844352.34042290121</v>
      </c>
      <c r="F52" s="110">
        <f t="shared" si="33"/>
        <v>844352.34042290121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2533057.0212687035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2533057.0212687035</v>
      </c>
      <c r="E59" s="104">
        <f>D59-D62</f>
        <v>2279751.3191418331</v>
      </c>
      <c r="F59" s="104">
        <f t="shared" ref="F59" si="37">E59-E62</f>
        <v>2026445.6170149627</v>
      </c>
      <c r="G59" s="104">
        <f t="shared" ref="G59" si="38">F59-F62</f>
        <v>1773139.9148880923</v>
      </c>
      <c r="H59" s="105">
        <f t="shared" ref="H59" si="39">G59-G62</f>
        <v>1519834.2127612219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253305.70212687037</v>
      </c>
      <c r="E62" s="110">
        <f t="shared" ref="E62:H62" si="41">E59*E61</f>
        <v>253305.70212687034</v>
      </c>
      <c r="F62" s="110">
        <f t="shared" si="41"/>
        <v>253305.70212687034</v>
      </c>
      <c r="G62" s="110">
        <f t="shared" si="41"/>
        <v>253305.70212687031</v>
      </c>
      <c r="H62" s="111">
        <f t="shared" si="41"/>
        <v>253305.70212687031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73458653.616792396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4559502.6382836662</v>
      </c>
      <c r="E80" s="127">
        <f>_Nombre_Cadres_Select*_Indice_Cadres_Select*_PIBPNB_Select</f>
        <v>4559502.6382836662</v>
      </c>
      <c r="F80" s="127">
        <f>_Nombre_Cadres_Select*_Indice_Cadres_Select*_PIBPNB_Select</f>
        <v>4559502.6382836662</v>
      </c>
      <c r="G80" s="127">
        <f>_Nombre_Cadres_Select*_Indice_Cadres_Select*_PIBPNB_Select</f>
        <v>4559502.6382836662</v>
      </c>
      <c r="H80" s="128">
        <f>_Nombre_Cadres_Select*_Indice_Cadres_Select*_PIBPNB_Select</f>
        <v>4559502.6382836662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5066114.042537407</v>
      </c>
      <c r="E81" s="129">
        <f>_Nombre_Secretaires_Select*_Indice_Secretaires_Select*_PIBPNB_Select</f>
        <v>5066114.042537407</v>
      </c>
      <c r="F81" s="129">
        <f>_Nombre_Secretaires_Select*_Indice_Secretaires_Select*_PIBPNB_Select</f>
        <v>5066114.042537407</v>
      </c>
      <c r="G81" s="129">
        <f>_Nombre_Secretaires_Select*_Indice_Secretaires_Select*_PIBPNB_Select</f>
        <v>5066114.042537407</v>
      </c>
      <c r="H81" s="130">
        <f>_Nombre_Secretaires_Select*_Indice_Secretaires_Select*_PIBPNB_Select</f>
        <v>5066114.042537407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24317347.404179551</v>
      </c>
      <c r="E82" s="129">
        <f>_Nombre_Ouvriers_Select*_Indice_Ouvriers_Select*_PIBPNB_Select</f>
        <v>24317347.404179551</v>
      </c>
      <c r="F82" s="129">
        <f>_Nombre_Ouvriers_Select*_Indice_Ouvriers_Select*_PIBPNB_Select</f>
        <v>24317347.404179551</v>
      </c>
      <c r="G82" s="129">
        <f>_Nombre_Ouvriers_Select*_Indice_Ouvriers_Select*_PIBPNB_Select</f>
        <v>24317347.404179551</v>
      </c>
      <c r="H82" s="130">
        <f>_Nombre_Ouvriers_Select*_Indice_Ouvriers_Select*_PIBPNB_Select</f>
        <v>24317347.404179551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33942964.085000619</v>
      </c>
      <c r="E83" s="114">
        <f t="shared" ref="E83:H83" si="47">SUM(E80:E82)</f>
        <v>33942964.085000619</v>
      </c>
      <c r="F83" s="114">
        <f t="shared" si="47"/>
        <v>33942964.085000619</v>
      </c>
      <c r="G83" s="114">
        <f t="shared" si="47"/>
        <v>33942964.085000619</v>
      </c>
      <c r="H83" s="131">
        <f t="shared" si="47"/>
        <v>33942964.085000619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8.6999999999999994E-2</v>
      </c>
      <c r="E84" s="125">
        <f>_CFE_Taux_Select2</f>
        <v>8.6999999999999994E-2</v>
      </c>
      <c r="F84" s="125">
        <f>_CFE_Taux_Select3</f>
        <v>8.6999999999999994E-2</v>
      </c>
      <c r="G84" s="125">
        <f>_CFE_Taux_Select4</f>
        <v>8.6999999999999994E-2</v>
      </c>
      <c r="H84" s="126">
        <f>_CFE_Taux_Select5</f>
        <v>8.6999999999999994E-2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2953037.8753950535</v>
      </c>
      <c r="E85" s="110">
        <f t="shared" ref="E85:H85" si="48">E83*E84</f>
        <v>2953037.8753950535</v>
      </c>
      <c r="F85" s="110">
        <f t="shared" si="48"/>
        <v>2953037.8753950535</v>
      </c>
      <c r="G85" s="110">
        <f t="shared" si="48"/>
        <v>2953037.8753950535</v>
      </c>
      <c r="H85" s="111">
        <f t="shared" si="48"/>
        <v>2953037.8753950535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2786362.7233955739</v>
      </c>
      <c r="E88" s="127">
        <f>_ChargesFinancieres_Select*_PIBPNB_Select</f>
        <v>2786362.7233955739</v>
      </c>
      <c r="F88" s="127">
        <f>_ChargesFinancieres_Select*_PIBPNB_Select</f>
        <v>2786362.7233955739</v>
      </c>
      <c r="G88" s="127">
        <f>_ChargesFinancieres_Select*_PIBPNB_Select</f>
        <v>2786362.7233955739</v>
      </c>
      <c r="H88" s="128">
        <f>_ChargesFinancieres_Select*_PIBPNB_Select</f>
        <v>2786362.7233955739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0.2</v>
      </c>
      <c r="E89" s="125">
        <f>_IRC_Taux_Select2</f>
        <v>0.2</v>
      </c>
      <c r="F89" s="125">
        <f>_IRC_Taux_Select3</f>
        <v>0.2</v>
      </c>
      <c r="G89" s="125">
        <f>_IRC_Taux_Select4</f>
        <v>0.2</v>
      </c>
      <c r="H89" s="126">
        <f>_IRC_Taux_Select5</f>
        <v>0.2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557272.54467911483</v>
      </c>
      <c r="E90" s="110">
        <f t="shared" ref="E90" si="49">E88*E89</f>
        <v>557272.54467911483</v>
      </c>
      <c r="F90" s="110">
        <f t="shared" ref="F90" si="50">F88*F89</f>
        <v>557272.54467911483</v>
      </c>
      <c r="G90" s="110">
        <f t="shared" ref="G90" si="51">G88*G89</f>
        <v>557272.54467911483</v>
      </c>
      <c r="H90" s="111">
        <f t="shared" ref="H90" si="52">H88*H89</f>
        <v>557272.54467911483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531941974.46642768</v>
      </c>
      <c r="E93" s="93">
        <f>_Ventes_Select*_PIBPNB_Select</f>
        <v>531941974.46642768</v>
      </c>
      <c r="F93" s="93">
        <f>_Ventes_Select*_PIBPNB_Select</f>
        <v>531941974.46642768</v>
      </c>
      <c r="G93" s="93">
        <f>_Ventes_Select*_PIBPNB_Select</f>
        <v>531941974.46642768</v>
      </c>
      <c r="H93" s="137">
        <f>_Ventes_Select*_PIBPNB_Select</f>
        <v>531941974.46642768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443284978.72202307</v>
      </c>
      <c r="E94" s="129">
        <f>_Achats_Select*_PIBPNB_Select</f>
        <v>443284978.72202307</v>
      </c>
      <c r="F94" s="129">
        <f>_Achats_Select*_PIBPNB_Select</f>
        <v>443284978.72202307</v>
      </c>
      <c r="G94" s="129">
        <f>_Achats_Select*_PIBPNB_Select</f>
        <v>443284978.72202307</v>
      </c>
      <c r="H94" s="130">
        <f>_Achats_Select*_PIBPNB_Select</f>
        <v>443284978.72202307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8" x14ac:dyDescent="0.2">
      <c r="A97" s="101" t="s">
        <v>175</v>
      </c>
      <c r="B97" s="102" t="s">
        <v>251</v>
      </c>
      <c r="C97" s="119"/>
      <c r="D97" s="129">
        <f>_DepensesAdministratives_Select*_PIBPNB_Select</f>
        <v>5066114.042537407</v>
      </c>
      <c r="E97" s="129">
        <f>_DepensesAdministratives_Select*_PIBPNB_Select</f>
        <v>5066114.042537407</v>
      </c>
      <c r="F97" s="129">
        <f>_DepensesAdministratives_Select*_PIBPNB_Select</f>
        <v>5066114.042537407</v>
      </c>
      <c r="G97" s="129">
        <f>_DepensesAdministratives_Select*_PIBPNB_Select</f>
        <v>5066114.042537407</v>
      </c>
      <c r="H97" s="130">
        <f>_DepensesAdministratives_Select*_PIBPNB_Select</f>
        <v>5066114.042537407</v>
      </c>
    </row>
    <row r="98" spans="1:8" x14ac:dyDescent="0.2">
      <c r="A98" s="101" t="s">
        <v>176</v>
      </c>
      <c r="B98" s="102" t="s">
        <v>251</v>
      </c>
      <c r="C98" s="119"/>
      <c r="D98" s="129">
        <f>_DepensesPublicitaires_Select*_PIBPNB_Select</f>
        <v>5319419.744664277</v>
      </c>
      <c r="E98" s="129">
        <f>_DepensesPublicitaires_Select*_PIBPNB_Select</f>
        <v>5319419.744664277</v>
      </c>
      <c r="F98" s="129">
        <f>_DepensesPublicitaires_Select*_PIBPNB_Select</f>
        <v>5319419.744664277</v>
      </c>
      <c r="G98" s="129">
        <f>_DepensesPublicitaires_Select*_PIBPNB_Select</f>
        <v>5319419.744664277</v>
      </c>
      <c r="H98" s="130">
        <f>_DepensesPublicitaires_Select*_PIBPNB_Select</f>
        <v>5319419.744664277</v>
      </c>
    </row>
    <row r="99" spans="1:8" x14ac:dyDescent="0.2">
      <c r="A99" s="101" t="s">
        <v>177</v>
      </c>
      <c r="B99" s="102" t="s">
        <v>251</v>
      </c>
      <c r="C99" s="119"/>
      <c r="D99" s="129">
        <f>_DepensesDEntretien_Select*_PIBPNB_Select</f>
        <v>1519834.2127612219</v>
      </c>
      <c r="E99" s="129">
        <f>_DepensesDEntretien_Select*_PIBPNB_Select</f>
        <v>1519834.2127612219</v>
      </c>
      <c r="F99" s="129">
        <f>_DepensesDEntretien_Select*_PIBPNB_Select</f>
        <v>1519834.2127612219</v>
      </c>
      <c r="G99" s="129">
        <f>_DepensesDEntretien_Select*_PIBPNB_Select</f>
        <v>1519834.2127612219</v>
      </c>
      <c r="H99" s="130">
        <f>_DepensesDEntretien_Select*_PIBPNB_Select</f>
        <v>1519834.2127612219</v>
      </c>
    </row>
    <row r="100" spans="1:8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4559502.6382836662</v>
      </c>
      <c r="E100" s="127">
        <f>_Nombre_Cadres_Select*_Indice_Cadres_Select*_PIBPNB_Select</f>
        <v>4559502.6382836662</v>
      </c>
      <c r="F100" s="127">
        <f>_Nombre_Cadres_Select*_Indice_Cadres_Select*_PIBPNB_Select</f>
        <v>4559502.6382836662</v>
      </c>
      <c r="G100" s="127">
        <f>_Nombre_Cadres_Select*_Indice_Cadres_Select*_PIBPNB_Select</f>
        <v>4559502.6382836662</v>
      </c>
      <c r="H100" s="128">
        <f>_Nombre_Cadres_Select*_Indice_Cadres_Select*_PIBPNB_Select</f>
        <v>4559502.6382836662</v>
      </c>
    </row>
    <row r="101" spans="1:8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5066114.042537407</v>
      </c>
      <c r="E101" s="129">
        <f>_Nombre_Secretaires_Select*_Indice_Secretaires_Select*_PIBPNB_Select</f>
        <v>5066114.042537407</v>
      </c>
      <c r="F101" s="129">
        <f>_Nombre_Secretaires_Select*_Indice_Secretaires_Select*_PIBPNB_Select</f>
        <v>5066114.042537407</v>
      </c>
      <c r="G101" s="129">
        <f>_Nombre_Secretaires_Select*_Indice_Secretaires_Select*_PIBPNB_Select</f>
        <v>5066114.042537407</v>
      </c>
      <c r="H101" s="130">
        <f>_Nombre_Secretaires_Select*_Indice_Secretaires_Select*_PIBPNB_Select</f>
        <v>5066114.042537407</v>
      </c>
    </row>
    <row r="102" spans="1:8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24317347.404179551</v>
      </c>
      <c r="E102" s="129">
        <f>_Nombre_Ouvriers_Select*_Indice_Ouvriers_Select*_PIBPNB_Select</f>
        <v>24317347.404179551</v>
      </c>
      <c r="F102" s="129">
        <f>_Nombre_Ouvriers_Select*_Indice_Ouvriers_Select*_PIBPNB_Select</f>
        <v>24317347.404179551</v>
      </c>
      <c r="G102" s="129">
        <f>_Nombre_Ouvriers_Select*_Indice_Ouvriers_Select*_PIBPNB_Select</f>
        <v>24317347.404179551</v>
      </c>
      <c r="H102" s="130">
        <f>_Nombre_Ouvriers_Select*_Indice_Ouvriers_Select*_PIBPNB_Select</f>
        <v>24317347.404179551</v>
      </c>
    </row>
    <row r="103" spans="1:8" x14ac:dyDescent="0.2">
      <c r="A103" s="108" t="s">
        <v>54</v>
      </c>
      <c r="B103" s="109" t="s">
        <v>251</v>
      </c>
      <c r="C103" s="121"/>
      <c r="D103" s="135">
        <f>D$85</f>
        <v>2953037.8753950535</v>
      </c>
      <c r="E103" s="135">
        <f t="shared" ref="E103:H103" si="54">E$85</f>
        <v>2953037.8753950535</v>
      </c>
      <c r="F103" s="135">
        <f t="shared" si="54"/>
        <v>2953037.8753950535</v>
      </c>
      <c r="G103" s="135">
        <f t="shared" si="54"/>
        <v>2953037.8753950535</v>
      </c>
      <c r="H103" s="136">
        <f t="shared" si="54"/>
        <v>2953037.8753950535</v>
      </c>
    </row>
    <row r="104" spans="1:8" x14ac:dyDescent="0.2">
      <c r="A104" s="101" t="s">
        <v>179</v>
      </c>
      <c r="B104" s="102" t="s">
        <v>251</v>
      </c>
      <c r="C104" s="119"/>
      <c r="D104" s="129">
        <f>_ChargesFinancieres_Select*_PIBPNB_Select</f>
        <v>2786362.7233955739</v>
      </c>
      <c r="E104" s="129">
        <f>_ChargesFinancieres_Select*_PIBPNB_Select</f>
        <v>2786362.7233955739</v>
      </c>
      <c r="F104" s="129">
        <f>_ChargesFinancieres_Select*_PIBPNB_Select</f>
        <v>2786362.7233955739</v>
      </c>
      <c r="G104" s="129">
        <f>_ChargesFinancieres_Select*_PIBPNB_Select</f>
        <v>2786362.7233955739</v>
      </c>
      <c r="H104" s="130">
        <f>_ChargesFinancieres_Select*_PIBPNB_Select</f>
        <v>2786362.7233955739</v>
      </c>
    </row>
    <row r="105" spans="1:8" x14ac:dyDescent="0.2">
      <c r="A105" s="90" t="s">
        <v>279</v>
      </c>
      <c r="B105" s="79" t="s">
        <v>251</v>
      </c>
      <c r="C105" s="91"/>
      <c r="D105" s="112">
        <f>D$12</f>
        <v>5994901.617002598</v>
      </c>
      <c r="E105" s="112">
        <f t="shared" ref="E105:H105" si="55">E$12</f>
        <v>5994901.617002598</v>
      </c>
      <c r="F105" s="112">
        <f t="shared" si="55"/>
        <v>5994901.617002598</v>
      </c>
      <c r="G105" s="112">
        <f t="shared" si="55"/>
        <v>4306196.9361567963</v>
      </c>
      <c r="H105" s="134">
        <f t="shared" si="55"/>
        <v>4306196.9361567963</v>
      </c>
    </row>
    <row r="106" spans="1:8" x14ac:dyDescent="0.2">
      <c r="A106" s="115" t="s">
        <v>280</v>
      </c>
      <c r="B106" s="97" t="s">
        <v>251</v>
      </c>
      <c r="C106" s="116"/>
      <c r="D106" s="153">
        <f>D93-SUM(D94:D105)</f>
        <v>31074361.443647861</v>
      </c>
      <c r="E106" s="153">
        <f>E93-SUM(E94:E105)</f>
        <v>31074361.443647861</v>
      </c>
      <c r="F106" s="153">
        <f>F93-SUM(F94:F105)</f>
        <v>31074361.443647861</v>
      </c>
      <c r="G106" s="153">
        <f>G93-SUM(G94:G105)</f>
        <v>32763066.124493659</v>
      </c>
      <c r="H106" s="154">
        <f>H93-SUM(H94:H105)</f>
        <v>32763066.124493659</v>
      </c>
    </row>
    <row r="107" spans="1:8" x14ac:dyDescent="0.2">
      <c r="A107" s="108" t="s">
        <v>294</v>
      </c>
      <c r="B107" s="109" t="s">
        <v>281</v>
      </c>
      <c r="C107" s="121"/>
      <c r="D107" s="132">
        <f>D106/D$93</f>
        <v>5.8416825396825398E-2</v>
      </c>
      <c r="E107" s="132">
        <f t="shared" ref="E107:H107" si="56">E106/E$93</f>
        <v>5.8416825396825398E-2</v>
      </c>
      <c r="F107" s="132">
        <f t="shared" si="56"/>
        <v>5.8416825396825398E-2</v>
      </c>
      <c r="G107" s="132">
        <f t="shared" si="56"/>
        <v>6.1591428571428568E-2</v>
      </c>
      <c r="H107" s="133">
        <f t="shared" si="56"/>
        <v>6.1591428571428568E-2</v>
      </c>
    </row>
    <row r="109" spans="1:8" x14ac:dyDescent="0.2">
      <c r="A109" s="152" t="s">
        <v>283</v>
      </c>
    </row>
    <row r="110" spans="1:8" x14ac:dyDescent="0.2">
      <c r="A110" s="96" t="s">
        <v>280</v>
      </c>
      <c r="B110" s="97" t="s">
        <v>251</v>
      </c>
      <c r="C110" s="116"/>
      <c r="D110" s="117">
        <f>D106</f>
        <v>31074361.443647861</v>
      </c>
      <c r="E110" s="117">
        <f t="shared" ref="E110:H110" si="57">E106</f>
        <v>31074361.443647861</v>
      </c>
      <c r="F110" s="117">
        <f t="shared" si="57"/>
        <v>31074361.443647861</v>
      </c>
      <c r="G110" s="117">
        <f t="shared" si="57"/>
        <v>32763066.124493659</v>
      </c>
      <c r="H110" s="118">
        <f t="shared" si="57"/>
        <v>32763066.124493659</v>
      </c>
    </row>
    <row r="111" spans="1:8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8" x14ac:dyDescent="0.2">
      <c r="A112" s="149" t="s">
        <v>284</v>
      </c>
      <c r="B112" s="109" t="s">
        <v>251</v>
      </c>
      <c r="C112" s="121"/>
      <c r="D112" s="122">
        <f>D110-D111</f>
        <v>31074361.443647861</v>
      </c>
      <c r="E112" s="122">
        <f t="shared" ref="E112:H112" si="58">E110-E111</f>
        <v>31074361.443647861</v>
      </c>
      <c r="F112" s="122">
        <f t="shared" si="58"/>
        <v>31074361.443647861</v>
      </c>
      <c r="G112" s="122">
        <f t="shared" si="58"/>
        <v>32763066.124493659</v>
      </c>
      <c r="H112" s="123">
        <f t="shared" si="58"/>
        <v>32763066.124493659</v>
      </c>
    </row>
    <row r="114" spans="1:8" x14ac:dyDescent="0.2">
      <c r="A114" s="89" t="s">
        <v>285</v>
      </c>
    </row>
    <row r="115" spans="1:8" x14ac:dyDescent="0.2">
      <c r="A115" s="115" t="s">
        <v>284</v>
      </c>
      <c r="B115" s="97" t="s">
        <v>251</v>
      </c>
      <c r="C115" s="116"/>
      <c r="D115" s="117">
        <f>D$112</f>
        <v>31074361.443647861</v>
      </c>
      <c r="E115" s="117">
        <f t="shared" ref="E115:H115" si="59">E$112</f>
        <v>31074361.443647861</v>
      </c>
      <c r="F115" s="117">
        <f t="shared" si="59"/>
        <v>31074361.443647861</v>
      </c>
      <c r="G115" s="117">
        <f t="shared" si="59"/>
        <v>32763066.124493659</v>
      </c>
      <c r="H115" s="118">
        <f t="shared" si="59"/>
        <v>32763066.124493659</v>
      </c>
    </row>
    <row r="116" spans="1:8" x14ac:dyDescent="0.2">
      <c r="A116" s="101" t="s">
        <v>89</v>
      </c>
      <c r="B116" s="102" t="s">
        <v>286</v>
      </c>
      <c r="C116" s="119"/>
      <c r="D116" s="125">
        <f>_IS_Taux_Select1</f>
        <v>0.35</v>
      </c>
      <c r="E116" s="125">
        <f>_IS_Taux_Select2</f>
        <v>0.35</v>
      </c>
      <c r="F116" s="125">
        <f>_IS_Taux_Select3</f>
        <v>0.35</v>
      </c>
      <c r="G116" s="125">
        <f>_IS_Taux_Select4</f>
        <v>0.35</v>
      </c>
      <c r="H116" s="126">
        <f>_IS_Taux_Select5</f>
        <v>0.35</v>
      </c>
    </row>
    <row r="117" spans="1:8" x14ac:dyDescent="0.2">
      <c r="A117" s="108" t="s">
        <v>57</v>
      </c>
      <c r="B117" s="109" t="s">
        <v>251</v>
      </c>
      <c r="C117" s="121"/>
      <c r="D117" s="110">
        <f>D115*D116</f>
        <v>10876026.505276751</v>
      </c>
      <c r="E117" s="110">
        <f t="shared" ref="E117:H117" si="60">E115*E116</f>
        <v>10876026.505276751</v>
      </c>
      <c r="F117" s="110">
        <f t="shared" si="60"/>
        <v>10876026.505276751</v>
      </c>
      <c r="G117" s="110">
        <f t="shared" si="60"/>
        <v>11467073.143572779</v>
      </c>
      <c r="H117" s="111">
        <f t="shared" si="60"/>
        <v>11467073.143572779</v>
      </c>
    </row>
    <row r="119" spans="1:8" x14ac:dyDescent="0.2">
      <c r="A119" s="89" t="s">
        <v>287</v>
      </c>
    </row>
    <row r="120" spans="1:8" x14ac:dyDescent="0.2">
      <c r="A120" s="115" t="s">
        <v>173</v>
      </c>
      <c r="B120" s="97" t="s">
        <v>251</v>
      </c>
      <c r="C120" s="116"/>
      <c r="D120" s="117">
        <f>D$93</f>
        <v>531941974.46642768</v>
      </c>
      <c r="E120" s="117">
        <f t="shared" ref="E120:H120" si="61">E$93</f>
        <v>531941974.46642768</v>
      </c>
      <c r="F120" s="117">
        <f t="shared" si="61"/>
        <v>531941974.46642768</v>
      </c>
      <c r="G120" s="117">
        <f t="shared" si="61"/>
        <v>531941974.46642768</v>
      </c>
      <c r="H120" s="118">
        <f t="shared" si="61"/>
        <v>531941974.46642768</v>
      </c>
    </row>
    <row r="121" spans="1:8" x14ac:dyDescent="0.2">
      <c r="A121" s="101" t="s">
        <v>89</v>
      </c>
      <c r="B121" s="102" t="s">
        <v>281</v>
      </c>
      <c r="C121" s="119"/>
      <c r="D121" s="125">
        <f>_IMF_Taux_Select1</f>
        <v>1.4999999999999999E-2</v>
      </c>
      <c r="E121" s="125">
        <f>_IMF_Taux_Select2</f>
        <v>1.4999999999999999E-2</v>
      </c>
      <c r="F121" s="125">
        <f>_IMF_Taux_Select3</f>
        <v>1.4999999999999999E-2</v>
      </c>
      <c r="G121" s="125">
        <f>_IMF_Taux_Select4</f>
        <v>1.4999999999999999E-2</v>
      </c>
      <c r="H121" s="126">
        <f>_IMF_Taux_Select5</f>
        <v>1.4999999999999999E-2</v>
      </c>
    </row>
    <row r="122" spans="1:8" x14ac:dyDescent="0.2">
      <c r="A122" s="108" t="s">
        <v>58</v>
      </c>
      <c r="B122" s="109" t="s">
        <v>251</v>
      </c>
      <c r="C122" s="121"/>
      <c r="D122" s="110">
        <f>D120*D121</f>
        <v>7979129.616996415</v>
      </c>
      <c r="E122" s="110">
        <f t="shared" ref="E122" si="62">E120*E121</f>
        <v>7979129.616996415</v>
      </c>
      <c r="F122" s="110">
        <f t="shared" ref="F122" si="63">F120*F121</f>
        <v>7979129.616996415</v>
      </c>
      <c r="G122" s="110">
        <f t="shared" ref="G122" si="64">G120*G121</f>
        <v>7979129.616996415</v>
      </c>
      <c r="H122" s="111">
        <f t="shared" ref="H122" si="65">H120*H121</f>
        <v>7979129.616996415</v>
      </c>
    </row>
    <row r="124" spans="1:8" x14ac:dyDescent="0.2">
      <c r="A124" s="152" t="s">
        <v>288</v>
      </c>
    </row>
    <row r="125" spans="1:8" x14ac:dyDescent="0.2">
      <c r="A125" s="175" t="s">
        <v>288</v>
      </c>
      <c r="B125" s="97"/>
      <c r="C125" s="116"/>
      <c r="D125" s="155">
        <f>IF(D$117&gt;D$122,D$117,D$122)</f>
        <v>10876026.505276751</v>
      </c>
      <c r="E125" s="155">
        <f>IF(E$117&gt;E$122,E$117,E$122)</f>
        <v>10876026.505276751</v>
      </c>
      <c r="F125" s="155">
        <f>IF(F$117&gt;F$122,F$117,F$122)</f>
        <v>10876026.505276751</v>
      </c>
      <c r="G125" s="155">
        <f>IF(G$117&gt;G$122,G$117,G$122)</f>
        <v>11467073.143572779</v>
      </c>
      <c r="H125" s="156">
        <f>IF(H$117&gt;H$122,H$117,H$122)</f>
        <v>11467073.143572779</v>
      </c>
    </row>
    <row r="126" spans="1:8" x14ac:dyDescent="0.2">
      <c r="A126" s="101" t="s">
        <v>295</v>
      </c>
      <c r="B126" s="102" t="s">
        <v>251</v>
      </c>
      <c r="C126" s="119"/>
      <c r="D126" s="113">
        <f>D$106</f>
        <v>31074361.443647861</v>
      </c>
      <c r="E126" s="113">
        <f t="shared" ref="E126:H126" si="66">E$106</f>
        <v>31074361.443647861</v>
      </c>
      <c r="F126" s="113">
        <f t="shared" si="66"/>
        <v>31074361.443647861</v>
      </c>
      <c r="G126" s="113">
        <f t="shared" si="66"/>
        <v>32763066.124493659</v>
      </c>
      <c r="H126" s="120">
        <f t="shared" si="66"/>
        <v>32763066.124493659</v>
      </c>
    </row>
    <row r="127" spans="1:8" x14ac:dyDescent="0.2">
      <c r="A127" s="108" t="s">
        <v>293</v>
      </c>
      <c r="B127" s="109" t="s">
        <v>281</v>
      </c>
      <c r="C127" s="121"/>
      <c r="D127" s="132">
        <f>D126/D$93</f>
        <v>5.8416825396825398E-2</v>
      </c>
      <c r="E127" s="132">
        <f t="shared" ref="E127:H127" si="67">E126/E$93</f>
        <v>5.8416825396825398E-2</v>
      </c>
      <c r="F127" s="132">
        <f t="shared" si="67"/>
        <v>5.8416825396825398E-2</v>
      </c>
      <c r="G127" s="132">
        <f t="shared" si="67"/>
        <v>6.1591428571428568E-2</v>
      </c>
      <c r="H127" s="133">
        <f t="shared" si="67"/>
        <v>6.1591428571428568E-2</v>
      </c>
    </row>
    <row r="129" spans="1:9" x14ac:dyDescent="0.2">
      <c r="A129" s="89" t="s">
        <v>289</v>
      </c>
    </row>
    <row r="130" spans="1:9" x14ac:dyDescent="0.2">
      <c r="A130" s="115" t="s">
        <v>295</v>
      </c>
      <c r="B130" s="97" t="s">
        <v>251</v>
      </c>
      <c r="C130" s="116"/>
      <c r="D130" s="117">
        <f>D126</f>
        <v>31074361.443647861</v>
      </c>
      <c r="E130" s="117">
        <f t="shared" ref="E130:H130" si="68">E126</f>
        <v>31074361.443647861</v>
      </c>
      <c r="F130" s="117">
        <f t="shared" si="68"/>
        <v>31074361.443647861</v>
      </c>
      <c r="G130" s="117">
        <f t="shared" si="68"/>
        <v>32763066.124493659</v>
      </c>
      <c r="H130" s="118">
        <f t="shared" si="68"/>
        <v>32763066.124493659</v>
      </c>
    </row>
    <row r="131" spans="1:9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9" x14ac:dyDescent="0.2">
      <c r="A132" s="101" t="s">
        <v>89</v>
      </c>
      <c r="B132" s="102" t="s">
        <v>296</v>
      </c>
      <c r="C132" s="119"/>
      <c r="D132" s="125">
        <f>_IRVM_Taux_Select1</f>
        <v>0.2</v>
      </c>
      <c r="E132" s="125">
        <f>_IRVM_Taux_Select2</f>
        <v>0.2</v>
      </c>
      <c r="F132" s="125">
        <f>_IRVM_Taux_Select3</f>
        <v>0.2</v>
      </c>
      <c r="G132" s="125">
        <f>_IRVM_Taux_Select4</f>
        <v>0.2</v>
      </c>
      <c r="H132" s="126">
        <f>_IRVM_Taux_Select5</f>
        <v>0.2</v>
      </c>
    </row>
    <row r="133" spans="1:9" x14ac:dyDescent="0.2">
      <c r="A133" s="108" t="s">
        <v>59</v>
      </c>
      <c r="B133" s="109" t="s">
        <v>251</v>
      </c>
      <c r="C133" s="121"/>
      <c r="D133" s="110">
        <f>D130*D131*D132</f>
        <v>3107436.1443647863</v>
      </c>
      <c r="E133" s="110">
        <f t="shared" ref="E133:H133" si="69">E130*E131*E132</f>
        <v>3107436.1443647863</v>
      </c>
      <c r="F133" s="110">
        <f t="shared" si="69"/>
        <v>3107436.1443647863</v>
      </c>
      <c r="G133" s="110">
        <f t="shared" si="69"/>
        <v>3276306.6124493661</v>
      </c>
      <c r="H133" s="111">
        <f t="shared" si="69"/>
        <v>3276306.6124493661</v>
      </c>
    </row>
    <row r="135" spans="1:9" x14ac:dyDescent="0.2">
      <c r="A135" s="152" t="s">
        <v>298</v>
      </c>
    </row>
    <row r="136" spans="1:9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0.92592592592592582</v>
      </c>
      <c r="F136" s="160">
        <f>1/POWER((1+_TauxDActualisation_Select),2)</f>
        <v>0.85733882030178321</v>
      </c>
      <c r="G136" s="160">
        <f>1/POWER((1+_TauxDActualisation_Select),3)</f>
        <v>0.79383224102016958</v>
      </c>
      <c r="H136" s="161">
        <f>1/POWER((1+_TauxDActualisation_Select),4)</f>
        <v>0.73502985279645328</v>
      </c>
    </row>
    <row r="138" spans="1:9" x14ac:dyDescent="0.2">
      <c r="A138" s="89" t="s">
        <v>290</v>
      </c>
    </row>
    <row r="139" spans="1:9" x14ac:dyDescent="0.2">
      <c r="A139" s="17" t="s">
        <v>291</v>
      </c>
      <c r="I139" s="6" t="s">
        <v>302</v>
      </c>
    </row>
    <row r="140" spans="1:9" x14ac:dyDescent="0.2">
      <c r="A140" s="115" t="s">
        <v>54</v>
      </c>
      <c r="B140" s="97" t="s">
        <v>251</v>
      </c>
      <c r="C140" s="116"/>
      <c r="D140" s="117">
        <f>D$85</f>
        <v>2953037.8753950535</v>
      </c>
      <c r="E140" s="117">
        <f t="shared" ref="E140:H140" si="70">E$85</f>
        <v>2953037.8753950535</v>
      </c>
      <c r="F140" s="117">
        <f t="shared" si="70"/>
        <v>2953037.8753950535</v>
      </c>
      <c r="G140" s="117">
        <f t="shared" si="70"/>
        <v>2953037.8753950535</v>
      </c>
      <c r="H140" s="117">
        <f t="shared" si="70"/>
        <v>2953037.8753950535</v>
      </c>
      <c r="I140" s="162">
        <f t="shared" ref="I140:I145" si="71">NPV(_TauxDActualisation_Select,D140:H140)</f>
        <v>11790623.964961573</v>
      </c>
    </row>
    <row r="141" spans="1:9" x14ac:dyDescent="0.2">
      <c r="A141" s="101" t="s">
        <v>288</v>
      </c>
      <c r="B141" s="102" t="s">
        <v>251</v>
      </c>
      <c r="C141" s="119"/>
      <c r="D141" s="113">
        <f>D125</f>
        <v>10876026.505276751</v>
      </c>
      <c r="E141" s="113">
        <f>E125</f>
        <v>10876026.505276751</v>
      </c>
      <c r="F141" s="113">
        <f>F125</f>
        <v>10876026.505276751</v>
      </c>
      <c r="G141" s="113">
        <f>G125</f>
        <v>11467073.143572779</v>
      </c>
      <c r="H141" s="113">
        <f>H125</f>
        <v>11467073.143572779</v>
      </c>
      <c r="I141" s="163">
        <f t="shared" si="71"/>
        <v>44261513.525375903</v>
      </c>
    </row>
    <row r="142" spans="1:9" x14ac:dyDescent="0.2">
      <c r="A142" s="101" t="s">
        <v>59</v>
      </c>
      <c r="B142" s="102" t="s">
        <v>251</v>
      </c>
      <c r="C142" s="119"/>
      <c r="D142" s="113">
        <f>D$133</f>
        <v>3107436.1443647863</v>
      </c>
      <c r="E142" s="113">
        <f>E$133</f>
        <v>3107436.1443647863</v>
      </c>
      <c r="F142" s="113">
        <f t="shared" ref="F142:H142" si="72">F$133</f>
        <v>3107436.1443647863</v>
      </c>
      <c r="G142" s="113">
        <f t="shared" si="72"/>
        <v>3276306.6124493661</v>
      </c>
      <c r="H142" s="113">
        <f t="shared" si="72"/>
        <v>3276306.6124493661</v>
      </c>
      <c r="I142" s="163">
        <f t="shared" si="71"/>
        <v>12646146.721535973</v>
      </c>
    </row>
    <row r="143" spans="1:9" x14ac:dyDescent="0.2">
      <c r="A143" s="101" t="s">
        <v>60</v>
      </c>
      <c r="B143" s="102" t="s">
        <v>251</v>
      </c>
      <c r="C143" s="119"/>
      <c r="D143" s="113">
        <f>D$90</f>
        <v>557272.54467911483</v>
      </c>
      <c r="E143" s="113">
        <f t="shared" ref="E143:H143" si="73">E$90</f>
        <v>557272.54467911483</v>
      </c>
      <c r="F143" s="113">
        <f t="shared" si="73"/>
        <v>557272.54467911483</v>
      </c>
      <c r="G143" s="113">
        <f t="shared" si="73"/>
        <v>557272.54467911483</v>
      </c>
      <c r="H143" s="113">
        <f t="shared" si="73"/>
        <v>557272.54467911483</v>
      </c>
      <c r="I143" s="163">
        <f t="shared" si="71"/>
        <v>2225027.6825283477</v>
      </c>
    </row>
    <row r="144" spans="1:9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4">E$77</f>
        <v>0</v>
      </c>
      <c r="F144" s="113">
        <f t="shared" si="74"/>
        <v>0</v>
      </c>
      <c r="G144" s="113">
        <f t="shared" si="74"/>
        <v>0</v>
      </c>
      <c r="H144" s="113">
        <f t="shared" si="74"/>
        <v>0</v>
      </c>
      <c r="I144" s="163">
        <f t="shared" si="71"/>
        <v>0</v>
      </c>
    </row>
    <row r="145" spans="1:9" x14ac:dyDescent="0.2">
      <c r="A145" s="108" t="s">
        <v>267</v>
      </c>
      <c r="B145" s="109" t="s">
        <v>251</v>
      </c>
      <c r="C145" s="121"/>
      <c r="D145" s="122">
        <f>SUM(D140:D144)</f>
        <v>17493773.069715708</v>
      </c>
      <c r="E145" s="122">
        <f>SUM(E140:E144)</f>
        <v>17493773.069715708</v>
      </c>
      <c r="F145" s="122">
        <f>SUM(F140:F144)</f>
        <v>17493773.069715708</v>
      </c>
      <c r="G145" s="122">
        <f>SUM(G140:G144)</f>
        <v>18253690.176096316</v>
      </c>
      <c r="H145" s="122">
        <f>SUM(H140:H144)</f>
        <v>18253690.176096316</v>
      </c>
      <c r="I145" s="165">
        <f t="shared" si="71"/>
        <v>70923311.894401804</v>
      </c>
    </row>
    <row r="146" spans="1:9" x14ac:dyDescent="0.2">
      <c r="A146" s="147" t="s">
        <v>300</v>
      </c>
      <c r="I146" s="6" t="s">
        <v>303</v>
      </c>
    </row>
    <row r="147" spans="1:9" x14ac:dyDescent="0.2">
      <c r="A147" s="115" t="s">
        <v>54</v>
      </c>
      <c r="B147" s="97" t="s">
        <v>251</v>
      </c>
      <c r="C147" s="116"/>
      <c r="D147" s="117">
        <f t="shared" ref="D147:H148" si="75">D140*D$136</f>
        <v>2953037.8753950535</v>
      </c>
      <c r="E147" s="117">
        <f t="shared" si="75"/>
        <v>2734294.3290694938</v>
      </c>
      <c r="F147" s="117">
        <f t="shared" si="75"/>
        <v>2531754.0083976793</v>
      </c>
      <c r="G147" s="117">
        <f t="shared" si="75"/>
        <v>2344216.6744422955</v>
      </c>
      <c r="H147" s="117">
        <f t="shared" si="75"/>
        <v>2170570.9948539771</v>
      </c>
      <c r="I147" s="162">
        <f>SUM(D147:H147)</f>
        <v>12733873.882158499</v>
      </c>
    </row>
    <row r="148" spans="1:9" x14ac:dyDescent="0.2">
      <c r="A148" s="101" t="s">
        <v>288</v>
      </c>
      <c r="B148" s="102" t="s">
        <v>251</v>
      </c>
      <c r="C148" s="119"/>
      <c r="D148" s="113">
        <f t="shared" si="75"/>
        <v>10876026.505276751</v>
      </c>
      <c r="E148" s="113">
        <f t="shared" si="75"/>
        <v>10070394.912293287</v>
      </c>
      <c r="F148" s="113">
        <f t="shared" si="75"/>
        <v>9324439.733604895</v>
      </c>
      <c r="G148" s="113">
        <f t="shared" si="75"/>
        <v>9102932.3715045806</v>
      </c>
      <c r="H148" s="113">
        <f t="shared" si="75"/>
        <v>8428641.0847264621</v>
      </c>
      <c r="I148" s="163">
        <f t="shared" ref="I148:I152" si="76">SUM(D148:H148)</f>
        <v>47802434.607405975</v>
      </c>
    </row>
    <row r="149" spans="1:9" x14ac:dyDescent="0.2">
      <c r="A149" s="101" t="s">
        <v>59</v>
      </c>
      <c r="B149" s="102" t="s">
        <v>251</v>
      </c>
      <c r="C149" s="119"/>
      <c r="D149" s="113">
        <f t="shared" ref="D149:H149" si="77">D142*D$136</f>
        <v>3107436.1443647863</v>
      </c>
      <c r="E149" s="113">
        <f>E142*E$136</f>
        <v>2877255.6892266539</v>
      </c>
      <c r="F149" s="113">
        <f t="shared" si="77"/>
        <v>2664125.6381728277</v>
      </c>
      <c r="G149" s="113">
        <f t="shared" si="77"/>
        <v>2600837.8204298806</v>
      </c>
      <c r="H149" s="113">
        <f t="shared" si="77"/>
        <v>2408183.167064704</v>
      </c>
      <c r="I149" s="163">
        <f t="shared" si="76"/>
        <v>13657838.459258853</v>
      </c>
    </row>
    <row r="150" spans="1:9" x14ac:dyDescent="0.2">
      <c r="A150" s="101" t="s">
        <v>60</v>
      </c>
      <c r="B150" s="102" t="s">
        <v>251</v>
      </c>
      <c r="C150" s="119"/>
      <c r="D150" s="113">
        <f t="shared" ref="D150:H150" si="78">D143*D$136</f>
        <v>557272.54467911483</v>
      </c>
      <c r="E150" s="113">
        <f t="shared" si="78"/>
        <v>515993.09692510625</v>
      </c>
      <c r="F150" s="113">
        <f t="shared" si="78"/>
        <v>477771.3860417651</v>
      </c>
      <c r="G150" s="113">
        <f t="shared" si="78"/>
        <v>442380.9130016343</v>
      </c>
      <c r="H150" s="113">
        <f t="shared" si="78"/>
        <v>409611.95648299472</v>
      </c>
      <c r="I150" s="163">
        <f t="shared" si="76"/>
        <v>2403029.8971306151</v>
      </c>
    </row>
    <row r="151" spans="1:9" x14ac:dyDescent="0.2">
      <c r="A151" s="101" t="s">
        <v>61</v>
      </c>
      <c r="B151" s="102" t="s">
        <v>251</v>
      </c>
      <c r="C151" s="119"/>
      <c r="D151" s="113">
        <f t="shared" ref="D151:H151" si="79">D144*D$136</f>
        <v>0</v>
      </c>
      <c r="E151" s="113">
        <f t="shared" si="79"/>
        <v>0</v>
      </c>
      <c r="F151" s="113">
        <f t="shared" si="79"/>
        <v>0</v>
      </c>
      <c r="G151" s="113">
        <f t="shared" si="79"/>
        <v>0</v>
      </c>
      <c r="H151" s="113">
        <f t="shared" si="79"/>
        <v>0</v>
      </c>
      <c r="I151" s="163">
        <f t="shared" si="76"/>
        <v>0</v>
      </c>
    </row>
    <row r="152" spans="1:9" x14ac:dyDescent="0.2">
      <c r="A152" s="108" t="s">
        <v>267</v>
      </c>
      <c r="B152" s="109" t="s">
        <v>251</v>
      </c>
      <c r="C152" s="121"/>
      <c r="D152" s="122">
        <f>SUM(D147:D151)</f>
        <v>17493773.069715708</v>
      </c>
      <c r="E152" s="122">
        <f t="shared" ref="E152" si="80">SUM(E147:E151)</f>
        <v>16197938.02751454</v>
      </c>
      <c r="F152" s="122">
        <f t="shared" ref="F152" si="81">SUM(F147:F151)</f>
        <v>14998090.766217168</v>
      </c>
      <c r="G152" s="122">
        <f t="shared" ref="G152" si="82">SUM(G147:G151)</f>
        <v>14490367.77937839</v>
      </c>
      <c r="H152" s="122">
        <f t="shared" ref="H152" si="83">SUM(H147:H151)</f>
        <v>13417007.203128139</v>
      </c>
      <c r="I152" s="165">
        <f t="shared" si="76"/>
        <v>76597176.845953941</v>
      </c>
    </row>
    <row r="154" spans="1:9" x14ac:dyDescent="0.2">
      <c r="A154" s="152" t="s">
        <v>304</v>
      </c>
    </row>
    <row r="155" spans="1:9" x14ac:dyDescent="0.2">
      <c r="A155" s="17" t="s">
        <v>291</v>
      </c>
    </row>
    <row r="156" spans="1:9" x14ac:dyDescent="0.2">
      <c r="A156" s="115" t="s">
        <v>54</v>
      </c>
      <c r="B156" s="97" t="s">
        <v>305</v>
      </c>
      <c r="C156" s="116"/>
      <c r="D156" s="166">
        <f t="shared" ref="D156:I161" si="84">D140/D$171</f>
        <v>7.3784810126582279E-2</v>
      </c>
      <c r="E156" s="166">
        <f t="shared" si="84"/>
        <v>7.3784810126582279E-2</v>
      </c>
      <c r="F156" s="166">
        <f t="shared" si="84"/>
        <v>7.3784810126582279E-2</v>
      </c>
      <c r="G156" s="166">
        <f t="shared" si="84"/>
        <v>7.3784810126582279E-2</v>
      </c>
      <c r="H156" s="166">
        <f t="shared" si="84"/>
        <v>7.3784810126582279E-2</v>
      </c>
      <c r="I156" s="168">
        <f t="shared" si="84"/>
        <v>7.3784810126582265E-2</v>
      </c>
    </row>
    <row r="157" spans="1:9" x14ac:dyDescent="0.2">
      <c r="A157" s="101" t="s">
        <v>288</v>
      </c>
      <c r="B157" s="102" t="s">
        <v>305</v>
      </c>
      <c r="C157" s="119"/>
      <c r="D157" s="167">
        <f t="shared" si="84"/>
        <v>0.27174915611814349</v>
      </c>
      <c r="E157" s="167">
        <f t="shared" si="84"/>
        <v>0.27174915611814349</v>
      </c>
      <c r="F157" s="167">
        <f t="shared" si="84"/>
        <v>0.27174915611814349</v>
      </c>
      <c r="G157" s="167">
        <f t="shared" si="84"/>
        <v>0.28651708860759495</v>
      </c>
      <c r="H157" s="167">
        <f t="shared" si="84"/>
        <v>0.28651708860759495</v>
      </c>
      <c r="I157" s="169">
        <f>I141/I$171</f>
        <v>0.27698511809808679</v>
      </c>
    </row>
    <row r="158" spans="1:9" x14ac:dyDescent="0.2">
      <c r="A158" s="101" t="s">
        <v>59</v>
      </c>
      <c r="B158" s="102" t="s">
        <v>305</v>
      </c>
      <c r="C158" s="119"/>
      <c r="D158" s="167">
        <f t="shared" si="84"/>
        <v>7.7642616033755302E-2</v>
      </c>
      <c r="E158" s="167">
        <f t="shared" si="84"/>
        <v>7.7642616033755302E-2</v>
      </c>
      <c r="F158" s="167">
        <f t="shared" si="84"/>
        <v>7.7642616033755302E-2</v>
      </c>
      <c r="G158" s="167">
        <f t="shared" si="84"/>
        <v>8.1862025316455714E-2</v>
      </c>
      <c r="H158" s="167">
        <f t="shared" si="84"/>
        <v>8.1862025316455714E-2</v>
      </c>
      <c r="I158" s="169">
        <f t="shared" si="84"/>
        <v>7.9138605170881948E-2</v>
      </c>
    </row>
    <row r="159" spans="1:9" x14ac:dyDescent="0.2">
      <c r="A159" s="101" t="s">
        <v>60</v>
      </c>
      <c r="B159" s="102" t="s">
        <v>305</v>
      </c>
      <c r="C159" s="119"/>
      <c r="D159" s="167">
        <f t="shared" si="84"/>
        <v>1.3924050632911397E-2</v>
      </c>
      <c r="E159" s="167">
        <f t="shared" si="84"/>
        <v>1.3924050632911397E-2</v>
      </c>
      <c r="F159" s="167">
        <f t="shared" si="84"/>
        <v>1.3924050632911397E-2</v>
      </c>
      <c r="G159" s="167">
        <f t="shared" si="84"/>
        <v>1.3924050632911397E-2</v>
      </c>
      <c r="H159" s="167">
        <f t="shared" si="84"/>
        <v>1.3924050632911397E-2</v>
      </c>
      <c r="I159" s="169">
        <f t="shared" si="84"/>
        <v>1.3924050632911399E-2</v>
      </c>
    </row>
    <row r="160" spans="1:9" x14ac:dyDescent="0.2">
      <c r="A160" s="101" t="s">
        <v>61</v>
      </c>
      <c r="B160" s="102" t="s">
        <v>305</v>
      </c>
      <c r="C160" s="119"/>
      <c r="D160" s="167">
        <f t="shared" si="84"/>
        <v>0</v>
      </c>
      <c r="E160" s="167">
        <f t="shared" si="84"/>
        <v>0</v>
      </c>
      <c r="F160" s="167">
        <f t="shared" si="84"/>
        <v>0</v>
      </c>
      <c r="G160" s="167">
        <f t="shared" si="84"/>
        <v>0</v>
      </c>
      <c r="H160" s="167">
        <f t="shared" si="84"/>
        <v>0</v>
      </c>
      <c r="I160" s="169">
        <f t="shared" si="84"/>
        <v>0</v>
      </c>
    </row>
    <row r="161" spans="1:10" x14ac:dyDescent="0.2">
      <c r="A161" s="108" t="s">
        <v>267</v>
      </c>
      <c r="B161" s="109" t="s">
        <v>305</v>
      </c>
      <c r="C161" s="121"/>
      <c r="D161" s="170">
        <f t="shared" si="84"/>
        <v>0.43710063291139256</v>
      </c>
      <c r="E161" s="170">
        <f t="shared" si="84"/>
        <v>0.43710063291139256</v>
      </c>
      <c r="F161" s="170">
        <f t="shared" si="84"/>
        <v>0.43710063291139256</v>
      </c>
      <c r="G161" s="170">
        <f t="shared" si="84"/>
        <v>0.45608797468354439</v>
      </c>
      <c r="H161" s="170">
        <f t="shared" si="84"/>
        <v>0.45608797468354439</v>
      </c>
      <c r="I161" s="171">
        <f t="shared" si="84"/>
        <v>0.44383258402846248</v>
      </c>
    </row>
    <row r="162" spans="1:10" x14ac:dyDescent="0.2">
      <c r="A162" s="147" t="s">
        <v>300</v>
      </c>
    </row>
    <row r="163" spans="1:10" x14ac:dyDescent="0.2">
      <c r="A163" s="115" t="s">
        <v>54</v>
      </c>
      <c r="B163" s="97" t="s">
        <v>305</v>
      </c>
      <c r="C163" s="116"/>
      <c r="D163" s="166">
        <f t="shared" ref="D163:I168" si="85">D147/D$172</f>
        <v>7.3784810126582279E-2</v>
      </c>
      <c r="E163" s="166">
        <f t="shared" si="85"/>
        <v>7.3784810126582279E-2</v>
      </c>
      <c r="F163" s="166">
        <f t="shared" si="85"/>
        <v>7.3784810126582265E-2</v>
      </c>
      <c r="G163" s="166">
        <f t="shared" si="85"/>
        <v>7.3784810126582265E-2</v>
      </c>
      <c r="H163" s="166">
        <f t="shared" si="85"/>
        <v>7.3784810126582265E-2</v>
      </c>
      <c r="I163" s="168">
        <f t="shared" si="85"/>
        <v>7.3784810126582265E-2</v>
      </c>
    </row>
    <row r="164" spans="1:10" x14ac:dyDescent="0.2">
      <c r="A164" s="101" t="s">
        <v>288</v>
      </c>
      <c r="B164" s="102" t="s">
        <v>305</v>
      </c>
      <c r="C164" s="119"/>
      <c r="D164" s="167">
        <f t="shared" si="85"/>
        <v>0.27174915611814349</v>
      </c>
      <c r="E164" s="167">
        <f t="shared" si="85"/>
        <v>0.27174915611814354</v>
      </c>
      <c r="F164" s="167">
        <f t="shared" si="85"/>
        <v>0.27174915611814349</v>
      </c>
      <c r="G164" s="167">
        <f t="shared" si="85"/>
        <v>0.28651708860759495</v>
      </c>
      <c r="H164" s="167">
        <f t="shared" si="85"/>
        <v>0.28651708860759489</v>
      </c>
      <c r="I164" s="169">
        <f t="shared" si="85"/>
        <v>0.27698511809808679</v>
      </c>
    </row>
    <row r="165" spans="1:10" x14ac:dyDescent="0.2">
      <c r="A165" s="101" t="s">
        <v>59</v>
      </c>
      <c r="B165" s="102" t="s">
        <v>305</v>
      </c>
      <c r="C165" s="119"/>
      <c r="D165" s="167">
        <f t="shared" si="85"/>
        <v>7.7642616033755302E-2</v>
      </c>
      <c r="E165" s="167">
        <f t="shared" si="85"/>
        <v>7.7642616033755302E-2</v>
      </c>
      <c r="F165" s="167">
        <f t="shared" si="85"/>
        <v>7.7642616033755288E-2</v>
      </c>
      <c r="G165" s="167">
        <f t="shared" si="85"/>
        <v>8.1862025316455714E-2</v>
      </c>
      <c r="H165" s="167">
        <f t="shared" si="85"/>
        <v>8.1862025316455714E-2</v>
      </c>
      <c r="I165" s="169">
        <f t="shared" si="85"/>
        <v>7.9138605170881962E-2</v>
      </c>
    </row>
    <row r="166" spans="1:10" x14ac:dyDescent="0.2">
      <c r="A166" s="101" t="s">
        <v>60</v>
      </c>
      <c r="B166" s="102" t="s">
        <v>305</v>
      </c>
      <c r="C166" s="119"/>
      <c r="D166" s="167">
        <f t="shared" si="85"/>
        <v>1.3924050632911397E-2</v>
      </c>
      <c r="E166" s="167">
        <f t="shared" si="85"/>
        <v>1.3924050632911397E-2</v>
      </c>
      <c r="F166" s="167">
        <f t="shared" si="85"/>
        <v>1.3924050632911397E-2</v>
      </c>
      <c r="G166" s="167">
        <f t="shared" si="85"/>
        <v>1.3924050632911397E-2</v>
      </c>
      <c r="H166" s="167">
        <f t="shared" si="85"/>
        <v>1.3924050632911399E-2</v>
      </c>
      <c r="I166" s="169">
        <f t="shared" si="85"/>
        <v>1.3924050632911395E-2</v>
      </c>
    </row>
    <row r="167" spans="1:10" x14ac:dyDescent="0.2">
      <c r="A167" s="101" t="s">
        <v>61</v>
      </c>
      <c r="B167" s="102" t="s">
        <v>305</v>
      </c>
      <c r="C167" s="119"/>
      <c r="D167" s="167">
        <f t="shared" si="85"/>
        <v>0</v>
      </c>
      <c r="E167" s="167">
        <f t="shared" si="85"/>
        <v>0</v>
      </c>
      <c r="F167" s="167">
        <f t="shared" si="85"/>
        <v>0</v>
      </c>
      <c r="G167" s="167">
        <f t="shared" si="85"/>
        <v>0</v>
      </c>
      <c r="H167" s="167">
        <f t="shared" si="85"/>
        <v>0</v>
      </c>
      <c r="I167" s="169">
        <f t="shared" si="85"/>
        <v>0</v>
      </c>
    </row>
    <row r="168" spans="1:10" x14ac:dyDescent="0.2">
      <c r="A168" s="108" t="s">
        <v>267</v>
      </c>
      <c r="B168" s="109" t="s">
        <v>305</v>
      </c>
      <c r="C168" s="121"/>
      <c r="D168" s="170">
        <f t="shared" si="85"/>
        <v>0.43710063291139256</v>
      </c>
      <c r="E168" s="170">
        <f t="shared" si="85"/>
        <v>0.43710063291139251</v>
      </c>
      <c r="F168" s="170">
        <f t="shared" si="85"/>
        <v>0.43710063291139245</v>
      </c>
      <c r="G168" s="170">
        <f t="shared" si="85"/>
        <v>0.45608797468354428</v>
      </c>
      <c r="H168" s="170">
        <f t="shared" si="85"/>
        <v>0.45608797468354428</v>
      </c>
      <c r="I168" s="171">
        <f t="shared" si="85"/>
        <v>0.44383258402846243</v>
      </c>
    </row>
    <row r="170" spans="1:10" x14ac:dyDescent="0.2">
      <c r="A170" s="152" t="s">
        <v>301</v>
      </c>
      <c r="I170" s="6" t="s">
        <v>302</v>
      </c>
    </row>
    <row r="171" spans="1:10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-126652851.06343517</v>
      </c>
      <c r="D171" s="117">
        <f>D$93-D$94-D$95-D$97-D$98-D$99-D$100-D$101-D$102-D$104</f>
        <v>40022300.936045505</v>
      </c>
      <c r="E171" s="117">
        <f t="shared" ref="E171:G171" si="86">E$93-E$94-E$95-E$97-E$98-E$99-E$100-E$101-E$102-E$104</f>
        <v>40022300.936045505</v>
      </c>
      <c r="F171" s="117">
        <f t="shared" si="86"/>
        <v>40022300.936045505</v>
      </c>
      <c r="G171" s="117">
        <f t="shared" si="86"/>
        <v>40022300.936045505</v>
      </c>
      <c r="H171" s="117">
        <f>H$93-H$94-H$95-H$97-H$98-H$99-H$100-H$101-H$102-H$104</f>
        <v>40022300.936045505</v>
      </c>
      <c r="I171" s="162">
        <f>NPV(_TauxDActualisation_Select,D171:H171)</f>
        <v>159797442.65430853</v>
      </c>
      <c r="J171" s="182"/>
    </row>
    <row r="172" spans="1:10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-126652851.06343517</v>
      </c>
      <c r="D172" s="135">
        <f>D171*D$136</f>
        <v>40022300.936045505</v>
      </c>
      <c r="E172" s="135">
        <f>E171*E$136</f>
        <v>37057686.051893979</v>
      </c>
      <c r="F172" s="135">
        <f>F171*F$136</f>
        <v>34312672.27027221</v>
      </c>
      <c r="G172" s="135">
        <f>G171*G$136</f>
        <v>31770992.842844635</v>
      </c>
      <c r="H172" s="135">
        <f>H171*H$136</f>
        <v>29417585.965596881</v>
      </c>
      <c r="I172" s="164">
        <f t="shared" ref="I172" si="87">SUM(D172:H172)</f>
        <v>172581238.06665322</v>
      </c>
    </row>
    <row r="173" spans="1:10" x14ac:dyDescent="0.2">
      <c r="I173" s="6" t="s">
        <v>303</v>
      </c>
    </row>
    <row r="174" spans="1:10" x14ac:dyDescent="0.2">
      <c r="A174" s="152" t="s">
        <v>314</v>
      </c>
      <c r="I174" s="6" t="s">
        <v>302</v>
      </c>
    </row>
    <row r="175" spans="1:10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-126652851.06343517</v>
      </c>
      <c r="D175" s="117">
        <f>D$171-D141</f>
        <v>29146274.430768754</v>
      </c>
      <c r="E175" s="117">
        <f t="shared" ref="E175:H175" si="88">E$171-E141</f>
        <v>29146274.430768754</v>
      </c>
      <c r="F175" s="117">
        <f t="shared" si="88"/>
        <v>29146274.430768754</v>
      </c>
      <c r="G175" s="117">
        <f t="shared" si="88"/>
        <v>28555227.792472728</v>
      </c>
      <c r="H175" s="117">
        <f t="shared" si="88"/>
        <v>28555227.792472728</v>
      </c>
      <c r="I175" s="162">
        <f>NPV(_TauxDActualisation_Select,C175:H175)</f>
        <v>-10293446.235650498</v>
      </c>
    </row>
    <row r="176" spans="1:10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-126652851.06343517</v>
      </c>
      <c r="D176" s="135">
        <f>D$172-D148</f>
        <v>29146274.430768754</v>
      </c>
      <c r="E176" s="135">
        <f t="shared" ref="E176:H176" si="89">E$172-E148</f>
        <v>26987291.139600694</v>
      </c>
      <c r="F176" s="135">
        <f t="shared" si="89"/>
        <v>24988232.536667317</v>
      </c>
      <c r="G176" s="135">
        <f t="shared" si="89"/>
        <v>22668060.471340053</v>
      </c>
      <c r="H176" s="135">
        <f t="shared" si="89"/>
        <v>20988944.880870417</v>
      </c>
      <c r="I176" s="164">
        <f>SUM(C176:H176)</f>
        <v>-1874047.6041879281</v>
      </c>
    </row>
    <row r="177" spans="1:9" x14ac:dyDescent="0.2">
      <c r="I177" s="6" t="s">
        <v>303</v>
      </c>
    </row>
    <row r="178" spans="1:9" x14ac:dyDescent="0.2">
      <c r="A178" s="152" t="s">
        <v>309</v>
      </c>
      <c r="I178" s="6" t="s">
        <v>302</v>
      </c>
    </row>
    <row r="179" spans="1:9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-126652851.06343517</v>
      </c>
      <c r="D179" s="117">
        <f>D$171-D$145</f>
        <v>22528527.866329797</v>
      </c>
      <c r="E179" s="117">
        <f>E$171-E$145</f>
        <v>22528527.866329797</v>
      </c>
      <c r="F179" s="117">
        <f>F$171-F$145</f>
        <v>22528527.866329797</v>
      </c>
      <c r="G179" s="117">
        <f>G$171-G$145</f>
        <v>21768610.759949189</v>
      </c>
      <c r="H179" s="117">
        <f>H$171-H$145</f>
        <v>21768610.759949189</v>
      </c>
      <c r="I179" s="162">
        <f>NPV(_TauxDActualisation_Select,C179:H179)</f>
        <v>-34980296.577341169</v>
      </c>
    </row>
    <row r="180" spans="1:9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-126652851.06343517</v>
      </c>
      <c r="D180" s="135">
        <f>D$172-D$152</f>
        <v>22528527.866329797</v>
      </c>
      <c r="E180" s="135">
        <f>E$172-E$152</f>
        <v>20859748.02437944</v>
      </c>
      <c r="F180" s="135">
        <f>F$172-F$152</f>
        <v>19314581.504055042</v>
      </c>
      <c r="G180" s="135">
        <f>G$172-G$152</f>
        <v>17280625.063466243</v>
      </c>
      <c r="H180" s="135">
        <f>H$172-H$152</f>
        <v>16000578.762468742</v>
      </c>
      <c r="I180" s="164">
        <f>SUM(C180:H180)</f>
        <v>-30668789.842735924</v>
      </c>
    </row>
    <row r="181" spans="1:9" x14ac:dyDescent="0.2">
      <c r="I181" s="6" t="s">
        <v>303</v>
      </c>
    </row>
    <row r="182" spans="1:9" x14ac:dyDescent="0.2">
      <c r="A182" s="152" t="s">
        <v>310</v>
      </c>
    </row>
    <row r="183" spans="1:9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0</v>
      </c>
      <c r="G183" s="179">
        <f>MAX(0,IRR($C171:G171))</f>
        <v>0.1007746915436194</v>
      </c>
      <c r="H183" s="180">
        <f>MAX(0,IRR($C171:H171))</f>
        <v>0.17477335350611378</v>
      </c>
    </row>
    <row r="185" spans="1:9" x14ac:dyDescent="0.2">
      <c r="A185" s="152" t="s">
        <v>315</v>
      </c>
    </row>
    <row r="186" spans="1:9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0</v>
      </c>
      <c r="H186" s="180">
        <f>MAX(0,IRR($C175:H175))</f>
        <v>4.59346941356229E-2</v>
      </c>
    </row>
    <row r="188" spans="1:9" x14ac:dyDescent="0.2">
      <c r="A188" s="152" t="s">
        <v>311</v>
      </c>
    </row>
    <row r="189" spans="1:9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0</v>
      </c>
      <c r="H189" s="180">
        <f>MAX(0,IRR($C179:H179))</f>
        <v>0</v>
      </c>
    </row>
    <row r="191" spans="1:9" x14ac:dyDescent="0.2">
      <c r="A191" s="152" t="s">
        <v>313</v>
      </c>
    </row>
    <row r="192" spans="1:9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0">IF(E$183&gt;0,(E$183-E186)/E$183,0)</f>
        <v>0</v>
      </c>
      <c r="F192" s="179">
        <f t="shared" si="90"/>
        <v>0</v>
      </c>
      <c r="G192" s="179">
        <f t="shared" si="90"/>
        <v>1</v>
      </c>
      <c r="H192" s="180">
        <f t="shared" si="90"/>
        <v>0.73717564368863553</v>
      </c>
    </row>
    <row r="194" spans="1:8" x14ac:dyDescent="0.2">
      <c r="A194" s="152" t="s">
        <v>312</v>
      </c>
    </row>
    <row r="195" spans="1:8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1">IF(E$183&gt;0,(E$183-E189)/E$183,0)</f>
        <v>0</v>
      </c>
      <c r="F195" s="179">
        <f t="shared" si="91"/>
        <v>0</v>
      </c>
      <c r="G195" s="179">
        <f t="shared" si="91"/>
        <v>1</v>
      </c>
      <c r="H195" s="180">
        <f>IF(H$183&gt;0,(H$183-H189)/H$183,0)</f>
        <v>1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2018-05-02T09:28:37Z</dcterms:modified>
</cp:coreProperties>
</file>