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temuratori-levit/Desktop/Data Analytics Boot Camp/Analysis Projects/Crowdfunding Analysis/"/>
    </mc:Choice>
  </mc:AlternateContent>
  <xr:revisionPtr revIDLastSave="0" documentId="13_ncr:1_{76322CD8-4436-E346-88E9-576535F0A4EA}" xr6:coauthVersionLast="36" xr6:coauthVersionMax="36" xr10:uidLastSave="{00000000-0000-0000-0000-000000000000}"/>
  <bookViews>
    <workbookView xWindow="0" yWindow="500" windowWidth="28800" windowHeight="17500" firstSheet="1" activeTab="4" xr2:uid="{00000000-000D-0000-FFFF-FFFF00000000}"/>
  </bookViews>
  <sheets>
    <sheet name="GB Goal-Pledged" sheetId="9" r:id="rId1"/>
    <sheet name="Theater Outcomes by Launch Date" sheetId="12" r:id="rId2"/>
    <sheet name="Outcomes Based on Goals" sheetId="13" r:id="rId3"/>
    <sheet name="Kickstarter" sheetId="1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0"/>
    <pivotCache cacheId="1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5" i="13" l="1"/>
  <c r="D13" i="13"/>
  <c r="D12" i="13"/>
  <c r="D11" i="13"/>
  <c r="D10" i="13"/>
  <c r="D9" i="13"/>
  <c r="D8" i="13"/>
  <c r="D7" i="13"/>
  <c r="D6" i="13"/>
  <c r="D5" i="13"/>
  <c r="D4" i="13"/>
  <c r="D3" i="13"/>
  <c r="D2" i="13"/>
  <c r="D14" i="13" s="1"/>
  <c r="C15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5" i="13"/>
  <c r="B12" i="13"/>
  <c r="B11" i="13"/>
  <c r="B10" i="13"/>
  <c r="B9" i="13"/>
  <c r="B8" i="13"/>
  <c r="B7" i="13"/>
  <c r="B6" i="13"/>
  <c r="B5" i="13"/>
  <c r="B4" i="13"/>
  <c r="B3" i="13"/>
  <c r="E3" i="13" s="1"/>
  <c r="B2" i="13"/>
  <c r="C11" i="8"/>
  <c r="B11" i="8"/>
  <c r="C4" i="8"/>
  <c r="B4" i="8"/>
  <c r="C13" i="8"/>
  <c r="B13" i="8"/>
  <c r="C12" i="8"/>
  <c r="C14" i="8" s="1"/>
  <c r="B12" i="8"/>
  <c r="B14" i="8" s="1"/>
  <c r="C6" i="8"/>
  <c r="B6" i="8"/>
  <c r="B5" i="8"/>
  <c r="C5" i="8"/>
  <c r="C7" i="8" s="1"/>
  <c r="C10" i="8"/>
  <c r="B10" i="8"/>
  <c r="C9" i="8"/>
  <c r="B9" i="8"/>
  <c r="C3" i="8"/>
  <c r="B3" i="8"/>
  <c r="C2" i="8"/>
  <c r="B2" i="8"/>
  <c r="B7" i="8" l="1"/>
  <c r="G5" i="13"/>
  <c r="G9" i="13"/>
  <c r="F5" i="13"/>
  <c r="F9" i="13"/>
  <c r="H3" i="13"/>
  <c r="F11" i="13"/>
  <c r="H9" i="13"/>
  <c r="G3" i="13"/>
  <c r="G11" i="13"/>
  <c r="E2" i="13"/>
  <c r="F2" i="13" s="1"/>
  <c r="E10" i="13"/>
  <c r="H10" i="13" s="1"/>
  <c r="E6" i="13"/>
  <c r="G6" i="13" s="1"/>
  <c r="F3" i="13"/>
  <c r="H2" i="13"/>
  <c r="C14" i="13"/>
  <c r="E13" i="13"/>
  <c r="F13" i="13" s="1"/>
  <c r="E9" i="13"/>
  <c r="E5" i="13"/>
  <c r="H5" i="13" s="1"/>
  <c r="E12" i="13"/>
  <c r="H12" i="13" s="1"/>
  <c r="E8" i="13"/>
  <c r="H8" i="13" s="1"/>
  <c r="E4" i="13"/>
  <c r="H4" i="13" s="1"/>
  <c r="E11" i="13"/>
  <c r="H11" i="13" s="1"/>
  <c r="E7" i="13"/>
  <c r="H7" i="13" s="1"/>
  <c r="G2" i="13"/>
  <c r="B14" i="13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H6" i="13" l="1"/>
  <c r="F12" i="13"/>
  <c r="G13" i="13"/>
  <c r="G10" i="13"/>
  <c r="F8" i="13"/>
  <c r="H13" i="13"/>
  <c r="G12" i="13"/>
  <c r="F7" i="13"/>
  <c r="G7" i="13"/>
  <c r="F6" i="13"/>
  <c r="G8" i="13"/>
  <c r="F4" i="13"/>
  <c r="F10" i="13"/>
  <c r="G4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9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<sst xmlns="http://schemas.openxmlformats.org/spreadsheetml/2006/main" count="33050" uniqueCount="8418">
  <si>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</si>
  <si>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</si>
  <si>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</si>
  <si>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</si>
  <si>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</si>
  <si>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</si>
  <si>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</si>
  <si>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</si>
  <si>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</si>
  <si>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</si>
  <si>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</si>
  <si>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</si>
  <si>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</si>
  <si>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</si>
  <si>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</si>
  <si>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</si>
  <si>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</si>
  <si>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</si>
  <si>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</si>
  <si>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</si>
  <si>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</si>
  <si>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</si>
  <si>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</si>
  <si>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</si>
  <si>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</si>
  <si>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</si>
  <si>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</si>
  <si>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</si>
  <si>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</si>
  <si>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</si>
  <si>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</si>
  <si>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</si>
  <si>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</si>
  <si>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</si>
  <si>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</si>
  <si>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</si>
  <si>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</si>
  <si>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</si>
  <si>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</si>
  <si>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</si>
  <si>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</si>
  <si>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</si>
  <si>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</si>
  <si>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</si>
  <si>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</si>
  <si>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</si>
  <si>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</si>
  <si>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</si>
  <si>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</si>
  <si>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</si>
  <si>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</si>
  <si>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</si>
  <si>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</si>
  <si>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</si>
  <si>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</si>
  <si>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</si>
  <si>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</si>
  <si>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</si>
  <si>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</si>
  <si>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</si>
  <si>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</si>
  <si>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</si>
  <si>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</si>
  <si>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</si>
  <si>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</si>
  <si>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</si>
  <si>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</si>
  <si>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</si>
  <si>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</si>
  <si>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</si>
  <si>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</si>
  <si>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</si>
  <si>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</si>
  <si>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</si>
  <si>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</si>
  <si>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</si>
  <si>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</si>
  <si>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</si>
  <si>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</si>
  <si>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</si>
  <si>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</si>
  <si>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</si>
  <si>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</si>
  <si>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</si>
  <si>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</si>
  <si>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</si>
  <si>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</si>
  <si>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</si>
  <si>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</si>
  <si>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</si>
  <si>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</si>
  <si>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</si>
  <si>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</si>
  <si>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</si>
  <si>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</si>
  <si>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</si>
  <si>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</si>
  <si>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</si>
  <si>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</si>
  <si>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</si>
  <si>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</si>
  <si>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</si>
  <si>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</si>
  <si>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</si>
  <si>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</si>
  <si>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</si>
  <si>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</si>
  <si>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</si>
  <si>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</si>
  <si>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</si>
  <si>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</si>
  <si>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</si>
  <si>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</si>
  <si>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</si>
  <si>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</si>
  <si>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</si>
  <si>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</si>
  <si>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</si>
  <si>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</si>
  <si>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</si>
  <si>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</si>
  <si>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</si>
  <si>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</si>
  <si>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</si>
  <si>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</si>
  <si>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</si>
  <si>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</si>
  <si>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</si>
  <si>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</si>
  <si>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</si>
  <si>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</si>
  <si>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</si>
  <si>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</si>
  <si>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</si>
  <si>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</si>
  <si>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</si>
  <si>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</si>
  <si>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</si>
  <si>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</si>
  <si>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</si>
  <si>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</si>
  <si>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</si>
  <si>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</si>
  <si>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</si>
  <si>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</si>
  <si>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</si>
  <si>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</si>
  <si>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</si>
  <si>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</si>
  <si>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</si>
  <si>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</si>
  <si>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</si>
  <si>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</si>
  <si>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</si>
  <si>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</si>
  <si>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</si>
  <si>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</si>
  <si>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</si>
  <si>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</si>
  <si>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</si>
  <si>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</si>
  <si>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</si>
  <si>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</si>
  <si>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</si>
  <si>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</si>
  <si>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</si>
  <si>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</si>
  <si>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</si>
  <si>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</si>
  <si>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</si>
  <si>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</si>
  <si>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</si>
  <si>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</si>
  <si>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</si>
  <si>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</si>
  <si>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</si>
  <si>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</si>
  <si>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</si>
  <si>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</si>
  <si>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</si>
  <si>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</si>
  <si>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</si>
  <si>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</si>
  <si>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</si>
  <si>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</si>
  <si>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</si>
  <si>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</si>
  <si>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</si>
  <si>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</si>
  <si>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</si>
  <si>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</si>
  <si>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</si>
  <si>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</si>
  <si>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</si>
  <si>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</si>
  <si>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</si>
  <si>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</si>
  <si>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</si>
  <si>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</si>
  <si>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</si>
  <si>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</si>
  <si>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</si>
  <si>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</si>
  <si>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</si>
  <si>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</si>
  <si>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</si>
  <si>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</si>
  <si>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</si>
  <si>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</si>
  <si>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</si>
  <si>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</si>
  <si>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</si>
  <si>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</si>
  <si>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</si>
  <si>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</si>
  <si>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</si>
  <si>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</si>
  <si>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</si>
  <si>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</si>
  <si>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</si>
  <si>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</si>
  <si>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</si>
  <si>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</si>
  <si>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</si>
  <si>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</si>
  <si>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</si>
  <si>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</si>
  <si>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</si>
  <si>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</si>
  <si>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</si>
  <si>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</si>
  <si>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</si>
  <si>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</si>
  <si>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</si>
  <si>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</si>
  <si>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</si>
  <si>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</si>
  <si>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</si>
  <si>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</si>
  <si>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</si>
  <si>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</si>
  <si>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</si>
  <si>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</si>
  <si>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</si>
  <si>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</si>
  <si>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</si>
  <si>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</si>
  <si>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</si>
  <si>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</si>
  <si>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</si>
  <si>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</si>
  <si>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</si>
  <si>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</si>
  <si>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</si>
  <si>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</si>
  <si>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</si>
  <si>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</si>
  <si>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</si>
  <si>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</si>
  <si>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</si>
  <si>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</si>
  <si>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</si>
  <si>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</si>
  <si>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</si>
  <si>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</si>
  <si>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</si>
  <si>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</si>
  <si>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</si>
  <si>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</si>
  <si>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</si>
  <si>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</si>
  <si>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</si>
  <si>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</si>
  <si>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</si>
  <si>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</si>
  <si>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</si>
  <si>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</si>
  <si>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</si>
  <si>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</si>
  <si>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</si>
  <si>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</si>
  <si>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</si>
  <si>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</si>
  <si>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</si>
  <si>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</si>
  <si>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</si>
  <si>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</si>
  <si>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</si>
  <si>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</si>
  <si>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</si>
  <si>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</si>
  <si>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</si>
  <si>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</si>
  <si>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</si>
  <si>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</si>
  <si>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</si>
  <si>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</si>
  <si>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</si>
  <si>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</si>
  <si>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</si>
  <si>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</si>
  <si>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</si>
  <si>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</si>
  <si>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</si>
  <si>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</si>
  <si>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</si>
  <si>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</si>
  <si>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</si>
  <si>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</si>
  <si>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</si>
  <si>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</si>
  <si>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</si>
  <si>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</si>
  <si>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</si>
  <si>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</si>
  <si>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</si>
  <si>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</si>
  <si>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</si>
  <si>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</si>
  <si>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</si>
  <si>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</si>
  <si>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</si>
  <si>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</si>
  <si>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</si>
  <si>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</si>
  <si>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</si>
  <si>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</si>
  <si>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</si>
  <si>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</si>
  <si>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</si>
  <si>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</si>
  <si>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</si>
  <si>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</si>
  <si>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</si>
  <si>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</si>
  <si>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</si>
  <si>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</si>
  <si>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</si>
  <si>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</si>
  <si>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</si>
  <si>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</si>
  <si>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</si>
  <si>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</si>
  <si>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</si>
  <si>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</si>
  <si>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</si>
  <si>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</si>
  <si>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</si>
  <si>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</si>
  <si>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</si>
  <si>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</si>
  <si>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</si>
  <si>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</si>
  <si>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</si>
  <si>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</si>
  <si>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</si>
  <si>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</si>
  <si>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</si>
  <si>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</si>
  <si>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</si>
  <si>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</si>
  <si>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</si>
  <si>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</si>
  <si>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</si>
  <si>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</si>
  <si>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</si>
  <si>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</si>
  <si>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</si>
  <si>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</si>
  <si>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</si>
  <si>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</si>
  <si>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</si>
  <si>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</si>
  <si>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</si>
  <si>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</si>
  <si>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</si>
  <si>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</si>
  <si>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</si>
  <si>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</si>
  <si>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</si>
  <si>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</si>
  <si>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</si>
  <si>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</si>
  <si>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</si>
  <si>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</si>
  <si>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</si>
  <si>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</si>
  <si>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</si>
  <si>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</si>
  <si>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</si>
  <si>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</si>
  <si>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</si>
  <si>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</si>
  <si>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</si>
  <si>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</si>
  <si>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</si>
  <si>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</si>
  <si>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</si>
  <si>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</si>
  <si>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</si>
  <si>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</si>
  <si>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</si>
  <si>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</si>
  <si>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</si>
  <si>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</si>
  <si>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</si>
  <si>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</si>
  <si>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</si>
  <si>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</si>
  <si>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</si>
  <si>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</si>
  <si>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</si>
  <si>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</si>
  <si>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</si>
  <si>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</si>
  <si>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</si>
  <si>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</si>
  <si>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</si>
  <si>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</si>
  <si>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</si>
  <si>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</si>
  <si>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</si>
  <si>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</si>
  <si>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</si>
  <si>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</si>
  <si>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</si>
  <si>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</si>
  <si>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</si>
  <si>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</si>
  <si>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</si>
  <si>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</si>
  <si>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</si>
  <si>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</si>
  <si>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</si>
  <si>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</si>
  <si>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</si>
  <si>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</si>
  <si>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</si>
  <si>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</si>
  <si>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</si>
  <si>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</si>
  <si>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</si>
  <si>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</si>
  <si>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</si>
  <si>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</si>
  <si>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</si>
  <si>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</si>
  <si>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</si>
  <si>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</si>
  <si>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</si>
  <si>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</si>
  <si>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</si>
  <si>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</si>
  <si>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</si>
  <si>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</si>
  <si>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</si>
  <si>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</si>
  <si>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</si>
  <si>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</si>
  <si>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</si>
  <si>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</si>
  <si>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</si>
  <si>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</si>
  <si>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</si>
  <si>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</si>
  <si>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</si>
  <si>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</si>
  <si>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</si>
  <si>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</si>
  <si>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</si>
  <si>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</si>
  <si>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</si>
  <si>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</si>
  <si>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</si>
  <si>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</si>
  <si>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</si>
  <si>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</si>
  <si>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</si>
  <si>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</si>
  <si>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</si>
  <si>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</si>
  <si>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</si>
  <si>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</si>
  <si>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</si>
  <si>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</si>
  <si>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</si>
  <si>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</si>
  <si>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</si>
  <si>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</si>
  <si>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</si>
  <si>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</si>
  <si>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</si>
  <si>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</si>
  <si>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</si>
  <si>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</si>
  <si>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</si>
  <si>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</si>
  <si>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</si>
  <si>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</si>
  <si>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</si>
  <si>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</si>
  <si>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</si>
  <si>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</si>
  <si>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</si>
  <si>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</si>
  <si>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</si>
  <si>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</si>
  <si>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</si>
  <si>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</si>
  <si>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</si>
  <si>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</si>
  <si>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</si>
  <si>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</si>
  <si>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</si>
  <si>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</si>
  <si>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</si>
  <si>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</si>
  <si>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</si>
  <si>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</si>
  <si>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</si>
  <si>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</si>
  <si>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</si>
  <si>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</si>
  <si>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</si>
  <si>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</si>
  <si>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</si>
  <si>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</si>
  <si>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</si>
  <si>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</si>
  <si>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</si>
  <si>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</si>
  <si>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</si>
  <si>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</si>
  <si>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</si>
  <si>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</si>
  <si>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</si>
  <si>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</si>
  <si>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</si>
  <si>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</si>
  <si>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</si>
  <si>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</si>
  <si>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</si>
  <si>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</si>
  <si>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</si>
  <si>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</si>
  <si>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</si>
  <si>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</si>
  <si>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</si>
  <si>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</si>
  <si>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</si>
  <si>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</si>
  <si>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</si>
  <si>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</si>
  <si>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</si>
  <si>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</si>
  <si>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</si>
  <si>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</si>
  <si>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</si>
  <si>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</si>
  <si>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</si>
  <si>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</si>
  <si>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</si>
  <si>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</si>
  <si>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</si>
  <si>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</si>
  <si>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</si>
  <si>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</si>
  <si>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</si>
  <si>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</si>
  <si>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</si>
  <si>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</si>
  <si>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</si>
  <si>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</si>
  <si>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</si>
  <si>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</si>
  <si>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</si>
  <si>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</si>
  <si>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</si>
  <si>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</si>
  <si>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</si>
  <si>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</si>
  <si>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</si>
  <si>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</si>
  <si>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</si>
  <si>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</si>
  <si>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</si>
  <si>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</si>
  <si>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</si>
  <si>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</si>
  <si>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</si>
  <si>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</si>
  <si>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</si>
  <si>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</si>
  <si>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</si>
  <si>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</si>
  <si>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</si>
  <si>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</si>
  <si>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</si>
  <si>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</si>
  <si>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</si>
  <si>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</si>
  <si>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</si>
  <si>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</si>
  <si>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</si>
  <si>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</si>
  <si>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</si>
  <si>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</si>
  <si>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</si>
  <si>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</si>
  <si>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</si>
  <si>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</si>
  <si>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</si>
  <si>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</si>
  <si>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</si>
  <si>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</si>
  <si>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</si>
  <si>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</si>
  <si>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</si>
  <si>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</si>
  <si>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</si>
  <si>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</si>
  <si>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</si>
  <si>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</si>
  <si>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</si>
  <si>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</si>
  <si>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</si>
  <si>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</si>
  <si>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</si>
  <si>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</si>
  <si>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</si>
  <si>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</si>
  <si>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</si>
  <si>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</si>
  <si>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</si>
  <si>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</si>
  <si>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</si>
  <si>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</si>
  <si>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</si>
  <si>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</si>
  <si>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</si>
  <si>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</si>
  <si>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</si>
  <si>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</si>
  <si>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</si>
  <si>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</si>
  <si>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</si>
  <si>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</si>
  <si>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</si>
  <si>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</si>
  <si>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</si>
  <si>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</si>
  <si>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</si>
  <si>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</si>
  <si>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</si>
  <si>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</si>
  <si>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</si>
  <si>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</si>
  <si>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</si>
  <si>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</si>
  <si>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</si>
  <si>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</si>
  <si>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</si>
  <si>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</si>
  <si>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</si>
  <si>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</si>
  <si>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</si>
  <si>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</si>
  <si>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</si>
  <si>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</si>
  <si>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</si>
  <si>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</si>
  <si>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</si>
  <si>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</si>
  <si>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</si>
  <si>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</si>
  <si>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</si>
  <si>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</si>
  <si>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</si>
  <si>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</si>
  <si>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</si>
  <si>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</si>
  <si>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</si>
  <si>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</si>
  <si>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</si>
  <si>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</si>
  <si>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</si>
  <si>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</si>
  <si>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</si>
  <si>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</si>
  <si>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</si>
  <si>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</si>
  <si>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</si>
  <si>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</si>
  <si>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</si>
  <si>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</si>
  <si>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</si>
  <si>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</si>
  <si>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</si>
  <si>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</si>
  <si>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</si>
  <si>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</si>
  <si>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</si>
  <si>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</si>
  <si>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</si>
  <si>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</si>
  <si>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</si>
  <si>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</si>
  <si>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</si>
  <si>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</si>
  <si>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</si>
  <si>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</si>
  <si>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</si>
  <si>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</si>
  <si>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</si>
  <si>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</si>
  <si>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</si>
  <si>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</si>
  <si>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</si>
  <si>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</si>
  <si>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</si>
  <si>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</si>
  <si>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</si>
  <si>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</si>
  <si>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</si>
  <si>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</si>
  <si>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</si>
  <si>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</si>
  <si>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</si>
  <si>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</si>
  <si>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</si>
  <si>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</si>
  <si>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</si>
  <si>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</si>
  <si>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</si>
  <si>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</si>
  <si>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</si>
  <si>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</si>
  <si>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</si>
  <si>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</si>
  <si>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</si>
  <si>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</si>
  <si>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</si>
  <si>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</si>
  <si>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</si>
  <si>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</si>
  <si>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</si>
  <si>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</si>
  <si>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</si>
  <si>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</si>
  <si>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</si>
  <si>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</si>
  <si>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</si>
  <si>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</si>
  <si>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</si>
  <si>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</si>
  <si>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</si>
  <si>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</si>
  <si>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</si>
  <si>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</si>
  <si>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</si>
  <si>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</si>
  <si>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</si>
  <si>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</si>
  <si>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</si>
  <si>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</si>
  <si>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</si>
  <si>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</si>
  <si>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</si>
  <si>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</si>
  <si>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</si>
  <si>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</si>
  <si>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</si>
  <si>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</si>
  <si>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</si>
  <si>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</si>
  <si>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</si>
  <si>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</si>
  <si>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</si>
  <si>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</si>
  <si>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</si>
  <si>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</si>
  <si>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</si>
  <si>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</si>
  <si>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</si>
  <si>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</si>
  <si>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</si>
  <si>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</si>
  <si>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</si>
  <si>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</si>
  <si>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</si>
  <si>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</si>
  <si>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</si>
  <si>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</si>
  <si>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</si>
  <si>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</si>
  <si>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</si>
  <si>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</si>
  <si>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</si>
  <si>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</si>
  <si>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</si>
  <si>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</si>
  <si>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</si>
  <si>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</si>
  <si>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</si>
  <si>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</si>
  <si>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</si>
  <si>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</si>
  <si>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</si>
  <si>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</si>
  <si>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</si>
  <si>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</si>
  <si>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</si>
  <si>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</si>
  <si>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</si>
  <si>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</si>
  <si>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</si>
  <si>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</si>
  <si>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</si>
  <si>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</si>
  <si>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</si>
  <si>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</si>
  <si>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</si>
  <si>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</si>
  <si>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</si>
  <si>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</si>
  <si>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</si>
  <si>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</si>
  <si>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</si>
  <si>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</si>
  <si>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</si>
  <si>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</si>
  <si>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</si>
  <si>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</si>
  <si>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</si>
  <si>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</si>
  <si>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</si>
  <si>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</si>
  <si>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</si>
  <si>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</si>
  <si>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</si>
  <si>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</si>
  <si>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</si>
  <si>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</si>
  <si>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</si>
  <si>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</si>
  <si>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</si>
  <si>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</si>
  <si>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</si>
  <si>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</si>
  <si>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</si>
  <si>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</si>
  <si>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</si>
  <si>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</si>
  <si>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</si>
  <si>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</si>
  <si>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</si>
  <si>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</si>
  <si>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</si>
  <si>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</si>
  <si>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</si>
  <si>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</si>
  <si>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</si>
  <si>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</si>
  <si>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</si>
  <si>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</si>
  <si>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</si>
  <si>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</si>
  <si>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</si>
  <si>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</si>
  <si>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</si>
  <si>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</si>
  <si>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</si>
  <si>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</si>
  <si>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</si>
  <si>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</si>
  <si>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</si>
  <si>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</si>
  <si>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</si>
  <si>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</si>
  <si>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</si>
  <si>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</si>
  <si>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</si>
  <si>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</si>
  <si>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</si>
  <si>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</si>
  <si>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</si>
  <si>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</si>
  <si>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</si>
  <si>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</si>
  <si>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</si>
  <si>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</si>
  <si>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</si>
  <si>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</si>
  <si>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</si>
  <si>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</si>
  <si>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</si>
  <si>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</si>
  <si>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</si>
  <si>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</si>
  <si>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</si>
  <si>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</si>
  <si>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</si>
  <si>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</si>
  <si>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</si>
  <si>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</si>
  <si>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</si>
  <si>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</si>
  <si>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</si>
  <si>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</si>
  <si>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</si>
  <si>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</si>
  <si>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</si>
  <si>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</si>
  <si>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</si>
  <si>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</si>
  <si>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</si>
  <si>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</si>
  <si>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</si>
  <si>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</si>
  <si>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</si>
  <si>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</si>
  <si>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</si>
  <si>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</si>
  <si>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</si>
  <si>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</si>
  <si>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</si>
  <si>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</si>
  <si>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</si>
  <si>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</si>
  <si>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</si>
  <si>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</si>
  <si>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</si>
  <si>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</si>
  <si>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</si>
  <si>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</si>
  <si>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</si>
  <si>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</si>
  <si>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</si>
  <si>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</si>
  <si>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</si>
  <si>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</si>
  <si>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</si>
  <si>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</si>
  <si>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</si>
  <si>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</si>
  <si>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</si>
  <si>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</si>
  <si>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</si>
  <si>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</si>
  <si>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</si>
  <si>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</si>
  <si>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</si>
  <si>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</si>
  <si>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</si>
  <si>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</si>
  <si>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</si>
  <si>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</si>
  <si>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</si>
  <si>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</si>
  <si>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</si>
  <si>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</si>
  <si>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</si>
  <si>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</si>
  <si>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</si>
  <si>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</si>
  <si>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</si>
  <si>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</si>
  <si>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</si>
  <si>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</si>
  <si>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</si>
  <si>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</si>
  <si>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</si>
  <si>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</si>
  <si>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</si>
  <si>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</si>
  <si>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</si>
  <si>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</si>
  <si>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</si>
  <si>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</si>
  <si>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</si>
  <si>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</si>
  <si>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</si>
  <si>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</si>
  <si>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</si>
  <si>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</si>
  <si>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</si>
  <si>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</si>
  <si>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</si>
  <si>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</si>
  <si>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</si>
  <si>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</si>
  <si>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</si>
  <si>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</si>
  <si>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</si>
  <si>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</si>
  <si>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</si>
  <si>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</si>
  <si>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</si>
  <si>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</si>
  <si>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</si>
  <si>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</si>
  <si>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</si>
  <si>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</si>
  <si>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</si>
  <si>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</si>
  <si>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</si>
  <si>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</si>
  <si>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</si>
  <si>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</si>
  <si>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</si>
  <si>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</si>
  <si>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</si>
  <si>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</si>
  <si>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</si>
  <si>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</si>
  <si>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</si>
  <si>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</si>
  <si>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</si>
  <si>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</si>
  <si>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</si>
  <si>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</si>
  <si>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</si>
  <si>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</si>
  <si>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</si>
  <si>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</si>
  <si>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</si>
  <si>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</si>
  <si>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</si>
  <si>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</si>
  <si>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</si>
  <si>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</si>
  <si>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</si>
  <si>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</si>
  <si>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</si>
  <si>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</si>
  <si>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</si>
  <si>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</si>
  <si>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</si>
  <si>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</si>
  <si>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</si>
  <si>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</si>
  <si>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</si>
  <si>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</si>
  <si>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</si>
  <si>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</si>
  <si>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</si>
  <si>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</si>
  <si>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</si>
  <si>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</si>
  <si>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</si>
  <si>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</si>
  <si>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</si>
  <si>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</si>
  <si>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</si>
  <si>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</si>
  <si>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</si>
  <si>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</si>
  <si>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</si>
  <si>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</si>
  <si>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</si>
  <si>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</si>
  <si>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</si>
  <si>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</si>
  <si>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</si>
  <si>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</si>
  <si>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</si>
  <si>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</si>
  <si>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</si>
  <si>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</si>
  <si>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</si>
  <si>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</si>
  <si>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</si>
  <si>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</si>
  <si>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</si>
  <si>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</si>
  <si>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</si>
  <si>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</si>
  <si>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</si>
  <si>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</si>
  <si>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</si>
  <si>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</si>
  <si>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</si>
  <si>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</si>
  <si>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</si>
  <si>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</si>
  <si>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</si>
  <si>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</si>
  <si>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</si>
  <si>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</si>
  <si>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</si>
  <si>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</si>
  <si>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</si>
  <si>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</si>
  <si>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</si>
  <si>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</si>
  <si>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</si>
  <si>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</si>
  <si>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</si>
  <si>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</si>
  <si>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</si>
  <si>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</si>
  <si>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</si>
  <si>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</si>
  <si>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</si>
  <si>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</si>
  <si>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</si>
  <si>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</si>
  <si>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</si>
  <si>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</si>
  <si>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</si>
  <si>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</si>
  <si>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</si>
  <si>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</si>
  <si>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</si>
  <si>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</si>
  <si>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</si>
  <si>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</si>
  <si>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</si>
  <si>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</si>
  <si>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</si>
  <si>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</si>
  <si>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</si>
  <si>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</si>
  <si>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</si>
  <si>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</si>
  <si>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</si>
  <si>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</si>
  <si>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</si>
  <si>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</si>
  <si>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</si>
  <si>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</si>
  <si>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</si>
  <si>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</si>
  <si>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</si>
  <si>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</si>
  <si>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</si>
  <si>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</si>
  <si>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</si>
  <si>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</si>
  <si>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</si>
  <si>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</si>
  <si>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</si>
  <si>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</si>
  <si>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</si>
  <si>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</si>
  <si>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</si>
  <si>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</si>
  <si>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</si>
  <si>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</si>
  <si>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</si>
  <si>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</si>
  <si>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</si>
  <si>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</si>
  <si>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</si>
  <si>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</si>
  <si>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</si>
  <si>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</si>
  <si>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</si>
  <si>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</si>
  <si>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</si>
  <si>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</si>
  <si>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</si>
  <si>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</si>
  <si>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</si>
  <si>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</si>
  <si>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</si>
  <si>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</si>
  <si>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</si>
  <si>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</si>
  <si>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</si>
  <si>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</si>
  <si>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</si>
  <si>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</si>
  <si>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</si>
  <si>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</si>
  <si>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</si>
  <si>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</si>
  <si>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</si>
  <si>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</si>
  <si>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</si>
  <si>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</si>
  <si>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</si>
  <si>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</si>
  <si>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</si>
  <si>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</si>
  <si>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</si>
  <si>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</si>
  <si>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</si>
  <si>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</si>
  <si>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</si>
  <si>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</si>
  <si>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</si>
  <si>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</si>
  <si>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</si>
  <si>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</si>
  <si>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</si>
  <si>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</si>
  <si>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</si>
  <si>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</si>
  <si>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</si>
  <si>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</si>
  <si>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</si>
  <si>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</si>
  <si>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</si>
  <si>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</si>
  <si>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</si>
  <si>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</si>
  <si>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</si>
  <si>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</si>
  <si>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</si>
  <si>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</si>
  <si>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</si>
  <si>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</si>
  <si>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</si>
  <si>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</si>
  <si>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</si>
  <si>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</si>
  <si>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</si>
  <si>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</si>
  <si>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</si>
  <si>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</si>
  <si>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</si>
  <si>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</si>
  <si>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</si>
  <si>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</si>
  <si>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</si>
  <si>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</si>
  <si>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</si>
  <si>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</si>
  <si>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</si>
  <si>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</si>
  <si>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</si>
  <si>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</si>
  <si>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</si>
  <si>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</si>
  <si>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</si>
  <si>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</si>
  <si>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</si>
  <si>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</si>
  <si>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</si>
  <si>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</si>
  <si>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</si>
  <si>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</si>
  <si>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</si>
  <si>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</si>
  <si>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</si>
  <si>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</si>
  <si>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</si>
  <si>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</si>
  <si>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</si>
  <si>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</si>
  <si>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</si>
  <si>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</si>
  <si>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</si>
  <si>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</si>
  <si>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</si>
  <si>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</si>
  <si>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</si>
  <si>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</si>
  <si>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</si>
  <si>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</si>
  <si>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</si>
  <si>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</si>
  <si>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</si>
  <si>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</si>
  <si>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</si>
  <si>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</si>
  <si>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</si>
  <si>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</si>
  <si>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</si>
  <si>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</si>
  <si>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</si>
  <si>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</si>
  <si>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</si>
  <si>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</si>
  <si>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</si>
  <si>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</si>
  <si>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</si>
  <si>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</si>
  <si>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</si>
  <si>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</si>
  <si>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</si>
  <si>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</si>
  <si>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</si>
  <si>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</si>
  <si>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</si>
  <si>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</si>
  <si>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</si>
  <si>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</si>
  <si>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</si>
  <si>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</si>
  <si>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</si>
  <si>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</si>
  <si>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</si>
  <si>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</si>
  <si>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</si>
  <si>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</si>
  <si>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</si>
  <si>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</si>
  <si>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</si>
  <si>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</si>
  <si>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</si>
  <si>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</si>
  <si>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</si>
  <si>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</si>
  <si>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</si>
  <si>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</si>
  <si>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</si>
  <si>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</si>
  <si>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</si>
  <si>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</si>
  <si>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</si>
  <si>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</si>
  <si>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</si>
  <si>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</si>
  <si>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</si>
  <si>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</si>
  <si>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</si>
  <si>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</si>
  <si>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</si>
  <si>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</si>
  <si>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</si>
  <si>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</si>
  <si>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</si>
  <si>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</si>
  <si>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</si>
  <si>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</si>
  <si>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</si>
  <si>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</si>
  <si>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</si>
  <si>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</si>
  <si>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</si>
  <si>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</si>
  <si>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</si>
  <si>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</si>
  <si>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</si>
  <si>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</si>
  <si>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</si>
  <si>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</si>
  <si>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</si>
  <si>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</si>
  <si>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</si>
  <si>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</si>
  <si>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</si>
  <si>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</si>
  <si>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</si>
  <si>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</si>
  <si>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</si>
  <si>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</si>
  <si>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</si>
  <si>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</si>
  <si>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</si>
  <si>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</si>
  <si>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</si>
  <si>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</si>
  <si>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</si>
  <si>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</si>
  <si>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</si>
  <si>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</si>
  <si>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</si>
  <si>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</si>
  <si>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</si>
  <si>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</si>
  <si>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</si>
  <si>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</si>
  <si>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</si>
  <si>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</si>
  <si>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</si>
  <si>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</si>
  <si>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</si>
  <si>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</si>
  <si>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</si>
  <si>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</si>
  <si>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</si>
  <si>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</si>
  <si>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</si>
  <si>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</si>
  <si>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</si>
  <si>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</si>
  <si>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</si>
  <si>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</si>
  <si>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</si>
  <si>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</si>
  <si>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</si>
  <si>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</si>
  <si>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</si>
  <si>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</si>
  <si>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</si>
  <si>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</si>
  <si>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</si>
  <si>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</si>
  <si>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</si>
  <si>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</si>
  <si>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</si>
  <si>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</si>
  <si>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</si>
  <si>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</si>
  <si>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</si>
  <si>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</si>
  <si>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</si>
  <si>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</si>
  <si>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</si>
  <si>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</si>
  <si>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</si>
  <si>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</si>
  <si>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</si>
  <si>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</si>
  <si>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</si>
  <si>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</si>
  <si>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</si>
  <si>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</si>
  <si>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</si>
  <si>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</si>
  <si>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</si>
  <si>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</si>
  <si>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</si>
  <si>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</si>
  <si>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</si>
  <si>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</si>
  <si>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</si>
  <si>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</si>
  <si>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</si>
  <si>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</si>
  <si>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</si>
  <si>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</si>
  <si>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</si>
  <si>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</si>
  <si>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</si>
  <si>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</si>
  <si>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</si>
  <si>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</si>
  <si>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</si>
  <si>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</si>
  <si>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</si>
  <si>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</si>
  <si>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</si>
  <si>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</si>
  <si>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</si>
  <si>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</si>
  <si>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</si>
  <si>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</si>
  <si>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</si>
  <si>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</si>
  <si>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</si>
  <si>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</si>
  <si>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</si>
  <si>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</si>
  <si>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</si>
  <si>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</si>
  <si>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</si>
  <si>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</si>
  <si>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</si>
  <si>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</si>
  <si>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</si>
  <si>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</si>
  <si>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</si>
  <si>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</si>
  <si>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</si>
  <si>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</si>
  <si>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</si>
  <si>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</si>
  <si>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</si>
  <si>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</si>
  <si>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</si>
  <si>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</si>
  <si>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</si>
  <si>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</si>
  <si>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</si>
  <si>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</si>
  <si>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</si>
  <si>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</si>
  <si>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</si>
  <si>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</si>
  <si>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</si>
  <si>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</si>
  <si>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</si>
  <si>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</si>
  <si>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</si>
  <si>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</si>
  <si>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</si>
  <si>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</si>
  <si>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</si>
  <si>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</si>
  <si>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</si>
  <si>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</si>
  <si>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</si>
  <si>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</si>
  <si>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</si>
  <si>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</si>
  <si>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</si>
  <si>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</si>
  <si>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</si>
  <si>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</si>
  <si>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</si>
  <si>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</si>
  <si>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</si>
  <si>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</si>
  <si>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</si>
  <si>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</si>
  <si>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</si>
  <si>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</si>
  <si>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</si>
  <si>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</si>
  <si>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</si>
  <si>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</si>
  <si>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</si>
  <si>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</si>
  <si>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</si>
  <si>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</si>
  <si>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</si>
  <si>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</si>
  <si>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</si>
  <si>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</si>
  <si>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</si>
  <si>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</si>
  <si>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</si>
  <si>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</si>
  <si>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</si>
  <si>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</si>
  <si>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</si>
  <si>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</si>
  <si>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</si>
  <si>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</si>
  <si>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</si>
  <si>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</si>
  <si>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</si>
  <si>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</si>
  <si>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</si>
  <si>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</si>
  <si>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</si>
  <si>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</si>
  <si>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</si>
  <si>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</si>
  <si>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</si>
  <si>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</si>
  <si>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</si>
  <si>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</si>
  <si>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</si>
  <si>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</si>
  <si>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</si>
  <si>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</si>
  <si>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</si>
  <si>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</si>
  <si>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</si>
  <si>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</si>
  <si>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</si>
  <si>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</si>
  <si>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</si>
  <si>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</si>
  <si>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</si>
  <si>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</si>
  <si>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</si>
  <si>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</si>
  <si>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</si>
  <si>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</si>
  <si>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</si>
  <si>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</si>
  <si>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</si>
  <si>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</si>
  <si>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</si>
  <si>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</si>
  <si>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</si>
  <si>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</si>
  <si>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</si>
  <si>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</si>
  <si>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</si>
  <si>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</si>
  <si>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</si>
  <si>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</si>
  <si>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</si>
  <si>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</si>
  <si>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</si>
  <si>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</si>
  <si>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</si>
  <si>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</si>
  <si>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</si>
  <si>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</si>
  <si>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</si>
  <si>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</si>
  <si>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</si>
  <si>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</si>
  <si>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</si>
  <si>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</si>
  <si>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</si>
  <si>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</si>
  <si>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</si>
  <si>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</si>
  <si>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</si>
  <si>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</si>
  <si>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</si>
  <si>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</si>
  <si>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</si>
  <si>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</si>
  <si>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</si>
  <si>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</si>
  <si>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</si>
  <si>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</si>
  <si>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</si>
  <si>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</si>
  <si>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</si>
  <si>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</si>
  <si>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</si>
  <si>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</si>
  <si>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</si>
  <si>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</si>
  <si>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</si>
  <si>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</si>
  <si>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</si>
  <si>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</si>
  <si>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</si>
  <si>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</si>
  <si>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</si>
  <si>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</si>
  <si>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</si>
  <si>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</si>
  <si>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</si>
  <si>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</si>
  <si>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</si>
  <si>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</si>
  <si>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</si>
  <si>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</si>
  <si>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</si>
  <si>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</si>
  <si>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</si>
  <si>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</si>
  <si>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</si>
  <si>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</si>
  <si>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</si>
  <si>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</si>
  <si>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</si>
  <si>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</si>
  <si>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</si>
  <si>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</si>
  <si>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</si>
  <si>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</si>
  <si>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</si>
  <si>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</si>
  <si>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</si>
  <si>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</si>
  <si>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</si>
  <si>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</si>
  <si>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</si>
  <si>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</si>
  <si>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</si>
  <si>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</si>
  <si>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</si>
  <si>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</si>
  <si>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</si>
  <si>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</si>
  <si>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</si>
  <si>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</si>
  <si>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</si>
  <si>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</si>
  <si>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</si>
  <si>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</si>
  <si>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</si>
  <si>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</si>
  <si>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</si>
  <si>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</si>
  <si>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</si>
  <si>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</si>
  <si>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</si>
  <si>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</si>
  <si>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</si>
  <si>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</si>
  <si>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</si>
  <si>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</si>
  <si>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</si>
  <si>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</si>
  <si>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</si>
  <si>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</si>
  <si>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</si>
  <si>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</si>
  <si>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</si>
  <si>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</si>
  <si>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</si>
  <si>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</si>
  <si>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</si>
  <si>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</si>
  <si>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</si>
  <si>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</si>
  <si>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</si>
  <si>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</si>
  <si>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</si>
  <si>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</si>
  <si>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</si>
  <si>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</si>
  <si>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</si>
  <si>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</si>
  <si>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</si>
  <si>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</si>
  <si>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</si>
  <si>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</si>
  <si>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</si>
  <si>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</si>
  <si>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</si>
  <si>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</si>
  <si>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</si>
  <si>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</si>
  <si>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</si>
  <si>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</si>
  <si>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</si>
  <si>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</si>
  <si>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</si>
  <si>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</si>
  <si>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</si>
  <si>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</si>
  <si>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</si>
  <si>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</si>
  <si>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</si>
  <si>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</si>
  <si>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</si>
  <si>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</si>
  <si>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</si>
  <si>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</si>
  <si>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</si>
  <si>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</si>
  <si>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</si>
  <si>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</si>
  <si>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</si>
  <si>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</si>
  <si>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</si>
  <si>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</si>
  <si>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</si>
  <si>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</si>
  <si>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</si>
  <si>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</si>
  <si>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</si>
  <si>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</si>
  <si>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</si>
  <si>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</si>
  <si>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</si>
  <si>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</si>
  <si>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</si>
  <si>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</si>
  <si>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</si>
  <si>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</si>
  <si>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</si>
  <si>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</si>
  <si>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</si>
  <si>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</si>
  <si>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</si>
  <si>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</si>
  <si>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</si>
  <si>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</si>
  <si>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</si>
  <si>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</si>
  <si>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</si>
  <si>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</si>
  <si>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</si>
  <si>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</si>
  <si>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</si>
  <si>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</si>
  <si>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</si>
  <si>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</si>
  <si>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</si>
  <si>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</si>
  <si>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</si>
  <si>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</si>
  <si>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</si>
  <si>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</si>
  <si>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</si>
  <si>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</si>
  <si>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</si>
  <si>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</si>
  <si>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</si>
  <si>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</si>
  <si>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</si>
  <si>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</si>
  <si>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</si>
  <si>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</si>
  <si>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</si>
  <si>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</si>
  <si>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</si>
  <si>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</si>
  <si>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</si>
  <si>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</si>
  <si>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</si>
  <si>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</si>
  <si>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</si>
  <si>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</si>
  <si>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</si>
  <si>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</si>
  <si>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</si>
  <si>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</si>
  <si>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</si>
  <si>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</si>
  <si>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</si>
  <si>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</si>
  <si>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</si>
  <si>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</si>
  <si>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</si>
  <si>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</si>
  <si>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</si>
  <si>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</si>
  <si>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</si>
  <si>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</si>
  <si>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</si>
  <si>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</si>
  <si>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</si>
  <si>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</si>
  <si>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</si>
  <si>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</si>
  <si>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</si>
  <si>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</si>
  <si>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</si>
  <si>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</si>
  <si>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</si>
  <si>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</si>
  <si>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</si>
  <si>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</si>
  <si>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</si>
  <si>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</si>
  <si>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</si>
  <si>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</si>
  <si>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</si>
  <si>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</si>
  <si>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</si>
  <si>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</si>
  <si>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</si>
  <si>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</si>
  <si>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</si>
  <si>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</si>
  <si>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</si>
  <si>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</si>
  <si>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</si>
  <si>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</si>
  <si>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</si>
  <si>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</si>
  <si>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</si>
  <si>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</si>
  <si>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</si>
  <si>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</si>
  <si>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</si>
  <si>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</si>
  <si>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</si>
  <si>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</si>
  <si>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</si>
  <si>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</si>
  <si>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</si>
  <si>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</si>
  <si>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</si>
  <si>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</si>
  <si>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</si>
  <si>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</si>
  <si>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</si>
  <si>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</si>
  <si>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</si>
  <si>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</si>
  <si>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</si>
  <si>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</si>
  <si>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</si>
  <si>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</si>
  <si>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</si>
  <si>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</si>
  <si>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</si>
  <si>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</si>
  <si>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</si>
  <si>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</si>
  <si>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</si>
  <si>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</si>
  <si>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</si>
  <si>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</si>
  <si>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</si>
  <si>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</si>
  <si>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</si>
  <si>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</si>
  <si>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</si>
  <si>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</si>
  <si>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</si>
  <si>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</si>
  <si>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</si>
  <si>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</si>
  <si>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</si>
  <si>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</si>
  <si>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</si>
  <si>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</si>
  <si>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</si>
  <si>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</si>
  <si>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</si>
  <si>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</si>
  <si>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</si>
  <si>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</si>
  <si>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</si>
  <si>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</si>
  <si>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</si>
  <si>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</si>
  <si>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</si>
  <si>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</si>
  <si>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</si>
  <si>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</si>
  <si>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</si>
  <si>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</si>
  <si>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</si>
  <si>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</si>
  <si>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</si>
  <si>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</si>
  <si>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</si>
  <si>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</si>
  <si>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</si>
  <si>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</si>
  <si>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</si>
  <si>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</si>
  <si>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</si>
  <si>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</si>
  <si>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</si>
  <si>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</si>
  <si>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</si>
  <si>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</si>
  <si>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</si>
  <si>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</si>
  <si>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</si>
  <si>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</si>
  <si>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</si>
  <si>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</si>
  <si>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</si>
  <si>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</si>
  <si>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</si>
  <si>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</si>
  <si>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</si>
  <si>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</si>
  <si>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</si>
  <si>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</si>
  <si>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</si>
  <si>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</si>
  <si>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</si>
  <si>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</si>
  <si>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</si>
  <si>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</si>
  <si>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</si>
  <si>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</si>
  <si>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</si>
  <si>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</si>
  <si>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</si>
  <si>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</si>
  <si>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</si>
  <si>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</si>
  <si>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</si>
  <si>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</si>
  <si>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</si>
  <si>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</si>
  <si>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</si>
  <si>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</si>
  <si>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</si>
  <si>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</si>
  <si>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</si>
  <si>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</si>
  <si>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</si>
  <si>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</si>
  <si>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</si>
  <si>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</si>
  <si>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</si>
  <si>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</si>
  <si>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</si>
  <si>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</si>
  <si>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</si>
  <si>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</si>
  <si>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</si>
  <si>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</si>
  <si>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</si>
  <si>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</si>
  <si>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</si>
  <si>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</si>
  <si>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</si>
  <si>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</si>
  <si>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</si>
  <si>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</si>
  <si>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</si>
  <si>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</si>
  <si>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</si>
  <si>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</si>
  <si>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</si>
  <si>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</si>
  <si>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</si>
  <si>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</si>
  <si>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</si>
  <si>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</si>
  <si>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</si>
  <si>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</si>
  <si>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</si>
  <si>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</si>
  <si>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</si>
  <si>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</si>
  <si>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</si>
  <si>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</si>
  <si>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</si>
  <si>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</si>
  <si>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</si>
  <si>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</si>
  <si>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</si>
  <si>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</si>
  <si>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</si>
  <si>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</si>
  <si>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</si>
  <si>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</si>
  <si>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</si>
  <si>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</si>
  <si>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</si>
  <si>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</si>
  <si>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</si>
  <si>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</si>
  <si>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</si>
  <si>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</si>
  <si>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</si>
  <si>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</si>
  <si>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</si>
  <si>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</si>
  <si>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</si>
  <si>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</si>
  <si>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</si>
  <si>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</si>
  <si>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</si>
  <si>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</si>
  <si>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</si>
  <si>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</si>
  <si>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</si>
  <si>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</si>
  <si>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</si>
  <si>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</si>
  <si>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</si>
  <si>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</si>
  <si>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</si>
  <si>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</si>
  <si>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</si>
  <si>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</si>
  <si>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</si>
  <si>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</si>
  <si>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</si>
  <si>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</si>
  <si>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</si>
  <si>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</si>
  <si>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</si>
  <si>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</si>
  <si>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</si>
  <si>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</si>
  <si>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</si>
  <si>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</si>
  <si>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</si>
  <si>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</si>
  <si>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</si>
  <si>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</si>
  <si>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</si>
  <si>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</si>
  <si>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</si>
  <si>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</si>
  <si>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</si>
  <si>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</si>
  <si>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</si>
  <si>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</si>
  <si>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</si>
  <si>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</si>
  <si>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</si>
  <si>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</si>
  <si>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</si>
  <si>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</si>
  <si>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</si>
  <si>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</si>
  <si>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</si>
  <si>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</si>
  <si>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</si>
  <si>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</si>
  <si>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</si>
  <si>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</si>
  <si>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</si>
  <si>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</si>
  <si>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</si>
  <si>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</si>
  <si>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</si>
  <si>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</si>
  <si>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</si>
  <si>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</si>
  <si>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</si>
  <si>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</si>
  <si>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</si>
  <si>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</si>
  <si>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</si>
  <si>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</si>
  <si>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</si>
  <si>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</si>
  <si>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</si>
  <si>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</si>
  <si>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</si>
  <si>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</si>
  <si>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</si>
  <si>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</si>
  <si>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</si>
  <si>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</si>
  <si>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</si>
  <si>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</si>
  <si>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</si>
  <si>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</si>
  <si>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</si>
  <si>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</si>
  <si>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</si>
  <si>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</si>
  <si>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</si>
  <si>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</si>
  <si>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</si>
  <si>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</si>
  <si>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</si>
  <si>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</si>
  <si>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</si>
  <si>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</si>
  <si>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</si>
  <si>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</si>
  <si>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</si>
  <si>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</si>
  <si>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</si>
  <si>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</si>
  <si>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</si>
  <si>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</si>
  <si>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</si>
  <si>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</si>
  <si>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</si>
  <si>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</si>
  <si>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</si>
  <si>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</si>
  <si>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</si>
  <si>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</si>
  <si>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</si>
  <si>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</si>
  <si>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</si>
  <si>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</si>
  <si>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</si>
  <si>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</si>
  <si>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</si>
  <si>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</si>
  <si>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</si>
  <si>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</si>
  <si>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</si>
  <si>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</si>
  <si>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</si>
  <si>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</si>
  <si>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</si>
  <si>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</si>
  <si>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</si>
  <si>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</si>
  <si>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</si>
  <si>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</si>
  <si>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</si>
  <si>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</si>
  <si>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</si>
  <si>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</si>
  <si>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</si>
  <si>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</si>
  <si>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</si>
  <si>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</si>
  <si>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</si>
  <si>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</si>
  <si>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</si>
  <si>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</si>
  <si>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</si>
  <si>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</si>
  <si>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</si>
  <si>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</si>
  <si>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</si>
  <si>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</si>
  <si>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</si>
  <si>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</si>
  <si>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</si>
  <si>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</si>
  <si>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</si>
  <si>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</si>
  <si>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</si>
  <si>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</si>
  <si>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</si>
  <si>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</si>
  <si>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</si>
  <si>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</si>
  <si>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</si>
  <si>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</si>
  <si>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</si>
  <si>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</si>
  <si>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</si>
  <si>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</si>
  <si>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</si>
  <si>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</si>
  <si>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</si>
  <si>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</si>
  <si>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</si>
  <si>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</si>
  <si>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</si>
  <si>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</si>
  <si>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</si>
  <si>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</si>
  <si>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</si>
  <si>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</si>
  <si>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</si>
  <si>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</si>
  <si>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</si>
  <si>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</si>
  <si>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</si>
  <si>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</si>
  <si>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</si>
  <si>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</si>
  <si>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</si>
  <si>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</si>
  <si>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</si>
  <si>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</si>
  <si>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</si>
  <si>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</si>
  <si>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</si>
  <si>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</si>
  <si>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</si>
  <si>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</si>
  <si>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</si>
  <si>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</si>
  <si>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</si>
  <si>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</si>
  <si>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</si>
  <si>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</si>
  <si>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</si>
  <si>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</si>
  <si>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</si>
  <si>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</si>
  <si>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</si>
  <si>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</si>
  <si>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</si>
  <si>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</si>
  <si>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</si>
  <si>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</si>
  <si>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</si>
  <si>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</si>
  <si>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</si>
  <si>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</si>
  <si>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</si>
  <si>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</si>
  <si>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</si>
  <si>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</si>
  <si>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</si>
  <si>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</si>
  <si>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</si>
  <si>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</si>
  <si>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</si>
  <si>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</si>
  <si>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</si>
  <si>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</si>
  <si>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</si>
  <si>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</si>
  <si>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</si>
  <si>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</si>
  <si>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</si>
  <si>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</si>
  <si>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</si>
  <si>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</si>
  <si>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</si>
  <si>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</si>
  <si>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</si>
  <si>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</si>
  <si>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</si>
  <si>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</si>
  <si>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</si>
  <si>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</si>
  <si>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</si>
  <si>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</si>
  <si>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</si>
  <si>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</si>
  <si>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</si>
  <si>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</si>
  <si>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</si>
  <si>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</si>
  <si>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</si>
  <si>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</si>
  <si>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</si>
  <si>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</si>
  <si>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</si>
  <si>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</si>
  <si>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</si>
  <si>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</si>
  <si>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</si>
  <si>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</si>
  <si>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</si>
  <si>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</si>
  <si>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</si>
  <si>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</si>
  <si>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</si>
  <si>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</si>
  <si>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</si>
  <si>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</si>
  <si>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</si>
  <si>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</si>
  <si>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</si>
  <si>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</si>
  <si>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</si>
  <si>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</si>
  <si>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</si>
  <si>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</si>
  <si>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</si>
  <si>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</si>
  <si>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</si>
  <si>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</si>
  <si>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</si>
  <si>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</si>
  <si>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</si>
  <si>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</si>
  <si>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</si>
  <si>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</si>
  <si>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</si>
  <si>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</si>
  <si>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</si>
  <si>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</si>
  <si>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</si>
  <si>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</si>
  <si>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</si>
  <si>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</si>
  <si>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</si>
  <si>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</si>
  <si>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</si>
  <si>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</si>
  <si>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</si>
  <si>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</si>
  <si>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</si>
  <si>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</si>
  <si>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</si>
  <si>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</si>
  <si>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</si>
  <si>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</si>
  <si>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</si>
  <si>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</si>
  <si>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</si>
  <si>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</si>
  <si>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</si>
  <si>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</si>
  <si>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</si>
  <si>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</si>
  <si>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</si>
  <si>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</si>
  <si>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</si>
  <si>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</si>
  <si>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</si>
  <si>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</si>
  <si>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</si>
  <si>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</si>
  <si>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</si>
  <si>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</si>
  <si>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</si>
  <si>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</si>
  <si>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</si>
  <si>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</si>
  <si>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</si>
  <si>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</si>
  <si>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</si>
  <si>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</si>
  <si>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</si>
  <si>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</si>
  <si>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</si>
  <si>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</si>
  <si>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</si>
  <si>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</si>
  <si>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</si>
  <si>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</si>
  <si>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</si>
  <si>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</si>
  <si>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</si>
  <si>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</si>
  <si>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</si>
  <si>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</si>
  <si>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</si>
  <si>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</si>
  <si>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</si>
  <si>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</si>
  <si>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</si>
  <si>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</si>
  <si>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</si>
  <si>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</si>
  <si>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</si>
  <si>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</si>
  <si>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</si>
  <si>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</si>
  <si>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</si>
  <si>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</si>
  <si>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</si>
  <si>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</si>
  <si>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</si>
  <si>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</si>
  <si>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</si>
  <si>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</si>
  <si>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</si>
  <si>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</si>
  <si>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</si>
  <si>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</si>
  <si>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</si>
  <si>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</si>
  <si>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</si>
  <si>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</si>
  <si>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</si>
  <si>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</si>
  <si>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</si>
  <si>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</si>
  <si>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</si>
  <si>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</si>
  <si>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</si>
  <si>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</si>
  <si>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</si>
  <si>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</si>
  <si>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</si>
  <si>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</si>
  <si>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</si>
  <si>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</si>
  <si>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</si>
  <si>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</si>
  <si>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</si>
  <si>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</si>
  <si>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</si>
  <si>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</si>
  <si>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</si>
  <si>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</si>
  <si>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</si>
  <si>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</si>
  <si>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</si>
  <si>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</si>
  <si>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</si>
  <si>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</si>
  <si>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</si>
  <si>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</si>
  <si>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</si>
  <si>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</si>
  <si>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</si>
  <si>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</si>
  <si>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</si>
  <si>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</si>
  <si>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</si>
  <si>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</si>
  <si>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</si>
  <si>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</si>
  <si>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</si>
  <si>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</si>
  <si>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</si>
  <si>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</si>
  <si>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</si>
  <si>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</si>
  <si>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</si>
  <si>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</si>
  <si>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</si>
  <si>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</si>
  <si>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</si>
  <si>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</si>
  <si>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</si>
  <si>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</si>
  <si>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</si>
  <si>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</si>
  <si>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</si>
  <si>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</si>
  <si>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</si>
  <si>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</si>
  <si>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</si>
  <si>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</si>
  <si>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</si>
  <si>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</si>
  <si>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</si>
  <si>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</si>
  <si>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</si>
  <si>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</si>
  <si>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</si>
  <si>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</si>
  <si>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</si>
  <si>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</si>
  <si>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</si>
  <si>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</si>
  <si>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</si>
  <si>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</si>
  <si>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</si>
  <si>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</si>
  <si>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</si>
  <si>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</si>
  <si>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</si>
  <si>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</si>
  <si>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</si>
  <si>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</si>
  <si>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</si>
  <si>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</si>
  <si>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</si>
  <si>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</si>
  <si>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</si>
  <si>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</si>
  <si>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</si>
  <si>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</si>
  <si>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</si>
  <si>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</si>
  <si>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</si>
  <si>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</si>
  <si>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</si>
  <si>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</si>
  <si>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</si>
  <si>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</si>
  <si>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</si>
  <si>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</si>
  <si>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</si>
  <si>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</si>
  <si>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</si>
  <si>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</si>
  <si>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</si>
  <si>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</si>
  <si>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</si>
  <si>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</si>
  <si>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</si>
  <si>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</si>
  <si>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</si>
  <si>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</si>
  <si>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</si>
  <si>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</si>
  <si>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</si>
  <si>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</si>
  <si>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</si>
  <si>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</si>
  <si>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</si>
  <si>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</si>
  <si>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</si>
  <si>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</si>
  <si>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</si>
  <si>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</si>
  <si>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</si>
  <si>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</si>
  <si>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</si>
  <si>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</si>
  <si>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</si>
  <si>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</si>
  <si>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</si>
  <si>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</si>
  <si>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</si>
  <si>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</si>
  <si>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</si>
  <si>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</si>
  <si>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</si>
  <si>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</si>
  <si>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</si>
  <si>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</si>
  <si>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</si>
  <si>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</si>
  <si>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</si>
  <si>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</si>
  <si>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</si>
  <si>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</si>
  <si>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</si>
  <si>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</si>
  <si>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</si>
  <si>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</si>
  <si>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</si>
  <si>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</si>
  <si>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</si>
  <si>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</si>
  <si>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</si>
  <si>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</si>
  <si>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</si>
  <si>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</si>
  <si>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</si>
  <si>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</si>
  <si>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</si>
  <si>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</si>
  <si>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</si>
  <si>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</si>
  <si>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</si>
  <si>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</si>
  <si>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</si>
  <si>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</si>
  <si>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</si>
  <si>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</si>
  <si>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</si>
  <si>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</si>
  <si>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</si>
  <si>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</si>
  <si>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</si>
  <si>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</si>
  <si>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</si>
  <si>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</si>
  <si>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</si>
  <si>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</si>
  <si>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</si>
  <si>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</si>
  <si>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</si>
  <si>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</si>
  <si>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</si>
  <si>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</si>
  <si>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</si>
  <si>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</si>
  <si>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</si>
  <si>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</si>
  <si>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</si>
  <si>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</si>
  <si>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</si>
  <si>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</si>
  <si>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</si>
  <si>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</si>
  <si>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</si>
  <si>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</si>
  <si>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</si>
  <si>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</si>
  <si>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</si>
  <si>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</si>
  <si>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</si>
  <si>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</si>
  <si>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</si>
  <si>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</si>
  <si>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</si>
  <si>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</si>
  <si>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</si>
  <si>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</si>
  <si>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</si>
  <si>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</si>
  <si>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</si>
  <si>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</si>
  <si>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</si>
  <si>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</si>
  <si>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</si>
  <si>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</si>
  <si>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</si>
  <si>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</si>
  <si>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</si>
  <si>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</si>
  <si>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</si>
  <si>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</si>
  <si>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</si>
  <si>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</si>
  <si>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</si>
  <si>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</si>
  <si>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</si>
  <si>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</si>
  <si>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</si>
  <si>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</si>
  <si>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</si>
  <si>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</si>
  <si>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</si>
  <si>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</si>
  <si>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</si>
  <si>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</si>
  <si>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</si>
  <si>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</si>
  <si>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</si>
  <si>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</si>
  <si>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</si>
  <si>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</si>
  <si>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</si>
  <si>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</si>
  <si>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</si>
  <si>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</si>
  <si>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</si>
  <si>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</si>
  <si>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</si>
  <si>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</si>
  <si>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</si>
  <si>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</si>
  <si>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</si>
  <si>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</si>
  <si>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</si>
  <si>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</si>
  <si>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</si>
  <si>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</si>
  <si>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</si>
  <si>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</si>
  <si>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</si>
  <si>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</si>
  <si>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</si>
  <si>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</si>
  <si>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</si>
  <si>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</si>
  <si>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</si>
  <si>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</si>
  <si>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</si>
  <si>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</si>
  <si>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</si>
  <si>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</si>
  <si>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</si>
  <si>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</si>
  <si>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</si>
  <si>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</si>
  <si>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</si>
  <si>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</si>
  <si>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</si>
  <si>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</si>
  <si>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</si>
  <si>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</si>
  <si>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</si>
  <si>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</si>
  <si>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</si>
  <si>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</si>
  <si>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</si>
  <si>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</si>
  <si>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</si>
  <si>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</si>
  <si>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</si>
  <si>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</si>
  <si>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</si>
  <si>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</si>
  <si>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</si>
  <si>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</si>
  <si>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</si>
  <si>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</si>
  <si>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</si>
  <si>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</si>
  <si>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</si>
  <si>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</si>
  <si>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</si>
  <si>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</si>
  <si>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</si>
  <si>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</si>
  <si>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</si>
  <si>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</si>
  <si>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</si>
  <si>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</si>
  <si>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</si>
  <si>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</si>
  <si>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</si>
  <si>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</si>
  <si>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</si>
  <si>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</si>
  <si>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</si>
  <si>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</si>
  <si>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</si>
  <si>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</si>
  <si>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</si>
  <si>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</si>
  <si>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</si>
  <si>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</si>
  <si>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</si>
  <si>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</si>
  <si>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</si>
  <si>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</si>
  <si>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</si>
  <si>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</si>
  <si>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</si>
  <si>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</si>
  <si>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</si>
  <si>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</si>
  <si>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</si>
  <si>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</si>
  <si>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</si>
  <si>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</si>
  <si>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</si>
  <si>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</si>
  <si>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</si>
  <si>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</si>
  <si>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</si>
  <si>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</si>
  <si>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</si>
  <si>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</si>
  <si>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</si>
  <si>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</si>
  <si>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</si>
  <si>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</si>
  <si>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</si>
  <si>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</si>
  <si>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</si>
  <si>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</si>
  <si>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</si>
  <si>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</si>
  <si>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</si>
  <si>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</si>
  <si>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</si>
  <si>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</si>
  <si>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</si>
  <si>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</si>
  <si>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</si>
  <si>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</si>
  <si>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</si>
  <si>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</si>
  <si>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</si>
  <si>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</si>
  <si>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</si>
  <si>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</si>
  <si>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</si>
  <si>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</si>
  <si>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</si>
  <si>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</si>
  <si>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</si>
  <si>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</si>
  <si>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</si>
  <si>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</si>
  <si>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</si>
  <si>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</si>
  <si>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</si>
  <si>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</si>
  <si>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</si>
  <si>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</si>
  <si>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</si>
  <si>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</si>
  <si>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</si>
  <si>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</si>
  <si>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</si>
  <si>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</si>
  <si>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</si>
  <si>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</si>
  <si>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</si>
  <si>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</si>
  <si>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</si>
  <si>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</si>
  <si>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</si>
  <si>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</si>
  <si>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</si>
  <si>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</si>
  <si>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</si>
  <si>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</si>
  <si>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</si>
  <si>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</si>
  <si>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</si>
  <si>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</si>
  <si>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</si>
  <si>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</si>
  <si>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</si>
  <si>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</si>
  <si>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</si>
  <si>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</si>
  <si>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</si>
  <si>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</si>
  <si>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</si>
  <si>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</si>
  <si>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</si>
  <si>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</si>
  <si>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</si>
  <si>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</si>
  <si>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</si>
  <si>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</si>
  <si>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</si>
  <si>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</si>
  <si>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</si>
  <si>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</si>
  <si>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</si>
  <si>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</si>
  <si>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</si>
  <si>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</si>
  <si>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</si>
  <si>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</si>
  <si>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</si>
  <si>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</si>
  <si>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</si>
  <si>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</si>
  <si>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</si>
  <si>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</si>
  <si>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</si>
  <si>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</si>
  <si>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</si>
  <si>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</si>
  <si>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</si>
  <si>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</si>
  <si>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</si>
  <si>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</si>
  <si>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</si>
  <si>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</si>
  <si>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</si>
  <si>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</si>
  <si>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</si>
  <si>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</si>
  <si>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</si>
  <si>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</si>
  <si>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</si>
  <si>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</si>
  <si>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</si>
  <si>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</si>
  <si>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</si>
  <si>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</si>
  <si>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</si>
  <si>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</si>
  <si>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</si>
  <si>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</si>
  <si>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</si>
  <si>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</si>
  <si>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</si>
  <si>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</si>
  <si>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</si>
  <si>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</si>
  <si>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</si>
  <si>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</si>
  <si>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</si>
  <si>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</si>
  <si>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</si>
  <si>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</si>
  <si>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</si>
  <si>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</si>
  <si>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</si>
  <si>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</si>
  <si>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</si>
  <si>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</si>
  <si>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</si>
  <si>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</si>
  <si>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</si>
  <si>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</si>
  <si>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</si>
  <si>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</si>
  <si>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</si>
  <si>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</si>
  <si>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</si>
  <si>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</si>
  <si>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</si>
  <si>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</si>
  <si>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</si>
  <si>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</si>
  <si>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</si>
  <si>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</si>
  <si>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</si>
  <si>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</si>
  <si>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</si>
  <si>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</si>
  <si>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</si>
  <si>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</si>
  <si>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</si>
  <si>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</si>
  <si>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</si>
  <si>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</si>
  <si>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</si>
  <si>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</si>
  <si>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</si>
  <si>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</si>
  <si>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</si>
  <si>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</si>
  <si>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</si>
  <si>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</si>
  <si>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</si>
  <si>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</si>
  <si>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</si>
  <si>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</si>
  <si>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</si>
  <si>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</si>
  <si>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</si>
  <si>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</si>
  <si>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</si>
  <si>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</si>
  <si>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</si>
  <si>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</si>
  <si>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</si>
  <si>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</si>
  <si>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</si>
  <si>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</si>
  <si>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</si>
  <si>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</si>
  <si>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</si>
  <si>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</si>
  <si>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</si>
  <si>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</si>
  <si>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</si>
  <si>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</si>
  <si>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</si>
  <si>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</si>
  <si>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</si>
  <si>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</si>
  <si>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</si>
  <si>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</si>
  <si>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</si>
  <si>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</si>
  <si>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</si>
  <si>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</si>
  <si>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</si>
  <si>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</si>
  <si>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</si>
  <si>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</si>
  <si>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</si>
  <si>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</si>
  <si>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</si>
  <si>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</si>
  <si>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</si>
  <si>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</si>
  <si>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</si>
  <si>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</si>
  <si>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</si>
  <si>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</si>
  <si>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</si>
  <si>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</si>
  <si>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</si>
  <si>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</si>
  <si>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</si>
  <si>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</si>
  <si>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</si>
  <si>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</si>
  <si>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</si>
  <si>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</si>
  <si>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</si>
  <si>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</si>
  <si>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</si>
  <si>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</si>
  <si>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</si>
  <si>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</si>
  <si>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</si>
  <si>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</si>
  <si>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</si>
  <si>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</si>
  <si>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</si>
  <si>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</si>
  <si>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</si>
  <si>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</si>
  <si>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</si>
  <si>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</si>
  <si>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</si>
  <si>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</si>
  <si>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</si>
  <si>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</si>
  <si>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</si>
  <si>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</si>
  <si>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</si>
  <si>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</si>
  <si>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</si>
  <si>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</si>
  <si>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</si>
  <si>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</si>
  <si>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</si>
  <si>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</si>
  <si>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</si>
  <si>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</si>
  <si>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</si>
  <si>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</si>
  <si>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</si>
  <si>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</si>
  <si>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</si>
  <si>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</si>
  <si>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</si>
  <si>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</si>
  <si>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</si>
  <si>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</si>
  <si>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</si>
  <si>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</si>
  <si>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</si>
  <si>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</si>
  <si>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</si>
  <si>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</si>
  <si>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</si>
  <si>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</si>
  <si>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</si>
  <si>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</si>
  <si>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</si>
  <si>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</si>
  <si>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</si>
  <si>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</si>
  <si>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</si>
  <si>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</si>
  <si>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</si>
  <si>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</si>
  <si>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</si>
  <si>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</si>
  <si>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</si>
  <si>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</si>
  <si>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</si>
  <si>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</si>
  <si>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</si>
  <si>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</si>
  <si>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</si>
  <si>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</si>
  <si>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</si>
  <si>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</si>
  <si>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</si>
  <si>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</si>
  <si>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</si>
  <si>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</si>
  <si>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</si>
  <si>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</si>
  <si>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</si>
  <si>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</si>
  <si>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</si>
  <si>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</si>
  <si>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</si>
  <si>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</si>
  <si>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</si>
  <si>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</si>
  <si>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</si>
  <si>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</si>
  <si>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</si>
  <si>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</si>
  <si>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</si>
  <si>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</si>
  <si>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</si>
  <si>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</si>
  <si>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</si>
  <si>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</si>
  <si>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</si>
  <si>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</si>
  <si>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</si>
  <si>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</si>
  <si>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</si>
  <si>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</si>
  <si>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</si>
  <si>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</si>
  <si>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</si>
  <si>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</si>
  <si>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</si>
  <si>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</si>
  <si>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</si>
  <si>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</si>
  <si>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</si>
  <si>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</si>
  <si>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</si>
  <si>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</si>
  <si>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</si>
  <si>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</si>
  <si>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</si>
  <si>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</si>
  <si>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</si>
  <si>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</si>
  <si>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</si>
  <si>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</si>
  <si>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</si>
  <si>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</si>
  <si>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</si>
  <si>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</si>
  <si>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</si>
  <si>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</si>
  <si>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</si>
  <si>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</si>
  <si>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</si>
  <si>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</si>
  <si>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</si>
  <si>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</si>
  <si>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</si>
  <si>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</si>
  <si>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</si>
  <si>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</si>
  <si>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</si>
  <si>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</si>
  <si>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</si>
  <si>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</si>
  <si>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</si>
  <si>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</si>
  <si>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</si>
  <si>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</si>
  <si>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</si>
  <si>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</si>
  <si>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</si>
  <si>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</si>
  <si>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</si>
  <si>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</si>
  <si>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</si>
  <si>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</si>
  <si>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</si>
  <si>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</si>
  <si>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</si>
  <si>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</si>
  <si>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</si>
  <si>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</si>
  <si>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</si>
  <si>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</si>
  <si>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</si>
  <si>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</si>
  <si>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</si>
  <si>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</si>
  <si>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</si>
  <si>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</si>
  <si>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</si>
  <si>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</si>
  <si>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</si>
  <si>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</si>
  <si>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</si>
  <si>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</si>
  <si>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</si>
  <si>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</si>
  <si>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</si>
  <si>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</si>
  <si>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</si>
  <si>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</si>
  <si>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</si>
  <si>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</si>
  <si>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</si>
  <si>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</si>
  <si>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</si>
  <si>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</si>
  <si>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</si>
  <si>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</si>
  <si>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</si>
  <si>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</si>
  <si>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</si>
  <si>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</si>
  <si>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</si>
  <si>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</si>
  <si>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</si>
  <si>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</si>
  <si>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</si>
  <si>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</si>
  <si>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</si>
  <si>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</si>
  <si>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</si>
  <si>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</si>
  <si>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</si>
  <si>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</si>
  <si>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</si>
  <si>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</si>
  <si>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</si>
  <si>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</si>
  <si>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</si>
  <si>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</si>
  <si>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</si>
  <si>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</si>
  <si>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</si>
  <si>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</si>
  <si>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</si>
  <si>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</si>
  <si>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</si>
  <si>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</si>
  <si>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</si>
  <si>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</si>
  <si>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</si>
  <si>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</si>
  <si>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</si>
  <si>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</si>
  <si>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</si>
  <si>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</si>
  <si>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</si>
  <si>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</si>
  <si>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</si>
  <si>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</si>
  <si>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</si>
  <si>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</si>
  <si>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</si>
  <si>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</si>
  <si>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</si>
  <si>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</si>
  <si>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</si>
  <si>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</si>
  <si>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</si>
  <si>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</si>
  <si>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</si>
  <si>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</si>
  <si>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</si>
  <si>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</si>
  <si>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</si>
  <si>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</si>
  <si>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</si>
  <si>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</si>
  <si>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</si>
  <si>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</si>
  <si>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</si>
  <si>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</si>
  <si>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</si>
  <si>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</si>
  <si>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</si>
  <si>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</si>
  <si>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</si>
  <si>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</si>
  <si>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</si>
  <si>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</si>
  <si>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</si>
  <si>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</si>
  <si>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</si>
  <si>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</si>
  <si>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</si>
  <si>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</si>
  <si>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</si>
  <si>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</si>
  <si>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</si>
  <si>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</si>
  <si>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</si>
  <si>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</si>
  <si>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</si>
  <si>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</si>
  <si>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</si>
  <si>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</si>
  <si>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</si>
  <si>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</si>
  <si>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</si>
  <si>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</si>
  <si>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</si>
  <si>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</si>
  <si>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</si>
  <si>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</si>
  <si>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</si>
  <si>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</si>
  <si>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</si>
  <si>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</si>
  <si>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</si>
  <si>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</si>
  <si>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</si>
  <si>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</si>
  <si>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</si>
  <si>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</si>
  <si>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</si>
  <si>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</si>
  <si>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</si>
  <si>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</si>
  <si>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</si>
  <si>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</si>
  <si>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</si>
  <si>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</si>
  <si>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</si>
  <si>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</si>
  <si>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</si>
  <si>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</si>
  <si>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</si>
  <si>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</si>
  <si>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</si>
  <si>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</si>
  <si>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</si>
  <si>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</si>
  <si>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</si>
  <si>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</si>
  <si>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</si>
  <si>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</si>
  <si>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</si>
  <si>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</si>
  <si>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</si>
  <si>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</si>
  <si>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</si>
  <si>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</si>
  <si>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</si>
  <si>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</si>
  <si>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</si>
  <si>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</si>
  <si>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</si>
  <si>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</si>
  <si>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</si>
  <si>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</si>
  <si>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</si>
  <si>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</si>
  <si>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</si>
  <si>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</si>
  <si>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</si>
  <si>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</si>
  <si>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</si>
  <si>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</si>
  <si>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</si>
  <si>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</si>
  <si>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</si>
  <si>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</si>
  <si>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</si>
  <si>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</si>
  <si>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</si>
  <si>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</si>
  <si>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</si>
  <si>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</si>
  <si>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</si>
  <si>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</si>
  <si>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</si>
  <si>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</si>
  <si>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</si>
  <si>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</si>
  <si>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</si>
  <si>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</si>
  <si>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</si>
  <si>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</si>
  <si>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</si>
  <si>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</si>
  <si>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</si>
  <si>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</si>
  <si>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</si>
  <si>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</si>
  <si>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</si>
  <si>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</si>
  <si>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</si>
  <si>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</si>
  <si>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</si>
  <si>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</si>
  <si>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</si>
  <si>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</si>
  <si>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</si>
  <si>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</si>
  <si>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</si>
  <si>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</si>
  <si>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</si>
  <si>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</si>
  <si>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</si>
  <si>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</si>
  <si>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</si>
  <si>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</si>
  <si>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</si>
  <si>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</si>
  <si>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</si>
  <si>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</si>
  <si>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</si>
  <si>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</si>
  <si>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</si>
  <si>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</si>
  <si>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</si>
  <si>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</si>
  <si>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</si>
  <si>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</si>
  <si>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</si>
  <si>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</si>
  <si>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</si>
  <si>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</si>
  <si>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</si>
  <si>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</si>
  <si>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</si>
  <si>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</si>
  <si>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</si>
  <si>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</si>
  <si>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</si>
  <si>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</si>
  <si>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</si>
  <si>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</si>
  <si>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</si>
  <si>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</si>
  <si>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</si>
  <si>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</si>
  <si>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</si>
  <si>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</si>
  <si>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</si>
  <si>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</si>
  <si>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</si>
  <si>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</si>
  <si>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</si>
  <si>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</si>
  <si>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</si>
  <si>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</si>
  <si>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</si>
  <si>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</si>
  <si>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</si>
  <si>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</si>
  <si>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</si>
  <si>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</si>
  <si>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</si>
  <si>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</si>
  <si>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</si>
  <si>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</si>
  <si>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</si>
  <si>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</si>
  <si>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</si>
  <si>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</si>
  <si>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</si>
  <si>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</si>
  <si>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</si>
  <si>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</si>
  <si>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</si>
  <si>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</si>
  <si>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</si>
  <si>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</si>
  <si>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</si>
  <si>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</si>
  <si>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</si>
  <si>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</si>
  <si>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</si>
  <si>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</si>
  <si>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</si>
  <si>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</si>
  <si>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</si>
  <si>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</si>
  <si>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</si>
  <si>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</si>
  <si>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</si>
  <si>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</si>
  <si>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</si>
  <si>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</si>
  <si>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</si>
  <si>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</si>
  <si>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</si>
  <si>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</si>
  <si>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</si>
  <si>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</si>
  <si>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</si>
  <si>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</si>
  <si>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</si>
  <si>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</si>
  <si>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</si>
  <si>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</si>
  <si>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</si>
  <si>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</si>
  <si>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</si>
  <si>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</si>
  <si>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</si>
  <si>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</si>
  <si>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</si>
  <si>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</si>
  <si>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</si>
  <si>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</si>
  <si>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</si>
  <si>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</si>
  <si>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</si>
  <si>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</si>
  <si>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</si>
  <si>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</si>
  <si>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</si>
  <si>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</si>
  <si>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</si>
  <si>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</si>
  <si>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</si>
  <si>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</si>
  <si>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</si>
  <si>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</si>
  <si>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</si>
  <si>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</si>
  <si>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</si>
  <si>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</si>
  <si>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</si>
  <si>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</si>
  <si>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</si>
  <si>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</si>
  <si>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</si>
  <si>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</si>
  <si>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</si>
  <si>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</si>
  <si>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</si>
  <si>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</si>
  <si>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</si>
  <si>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</si>
  <si>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</si>
  <si>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</si>
  <si>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</si>
  <si>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</si>
  <si>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</si>
  <si>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</si>
  <si>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</si>
  <si>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</si>
  <si>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</si>
  <si>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</si>
  <si>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</si>
  <si>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</si>
  <si>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</si>
  <si>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</si>
  <si>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</si>
  <si>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</si>
  <si>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</si>
  <si>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</si>
  <si>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</si>
  <si>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</si>
  <si>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</si>
  <si>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</si>
  <si>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</si>
  <si>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</si>
  <si>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</si>
  <si>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</si>
  <si>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</si>
  <si>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</si>
  <si>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</si>
  <si>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</si>
  <si>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</si>
  <si>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</si>
  <si>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</si>
  <si>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</si>
  <si>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</si>
  <si>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</si>
  <si>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</si>
  <si>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</si>
  <si>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</si>
  <si>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</si>
  <si>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</si>
  <si>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</si>
  <si>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</si>
  <si>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</si>
  <si>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</si>
  <si>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</si>
  <si>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</si>
  <si>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</si>
  <si>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</si>
  <si>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</si>
  <si>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</si>
  <si>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</si>
  <si>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</si>
  <si>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</si>
  <si>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</si>
  <si>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</si>
  <si>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</si>
  <si>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</si>
  <si>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</si>
  <si>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</si>
  <si>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</si>
  <si>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</si>
  <si>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</si>
  <si>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</si>
  <si>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</si>
  <si>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</si>
  <si>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</si>
  <si>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</si>
  <si>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</si>
  <si>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</si>
  <si>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</si>
  <si>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</si>
  <si>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</si>
  <si>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</si>
  <si>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</si>
  <si>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</si>
  <si>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</si>
  <si>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</si>
  <si>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</si>
  <si>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</si>
  <si>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</si>
  <si>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</si>
  <si>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</si>
  <si>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</si>
  <si>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</si>
  <si>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</si>
  <si>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</si>
  <si>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</si>
  <si>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</si>
  <si>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</si>
  <si>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</si>
  <si>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</si>
  <si>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</si>
  <si>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</si>
  <si>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</si>
  <si>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</si>
  <si>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</si>
  <si>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</si>
  <si>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</si>
  <si>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</si>
  <si>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</si>
  <si>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</si>
  <si>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</si>
  <si>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</si>
  <si>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</si>
  <si>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</si>
  <si>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</si>
  <si>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</si>
  <si>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</si>
  <si>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</si>
  <si>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</si>
  <si>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</si>
  <si>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</si>
  <si>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</si>
  <si>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</si>
  <si>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</si>
  <si>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</si>
  <si>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</si>
  <si>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</si>
  <si>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</si>
  <si>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</si>
  <si>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</si>
  <si>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</si>
  <si>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</si>
  <si>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</si>
  <si>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</si>
  <si>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</si>
  <si>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</si>
  <si>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</si>
  <si>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</si>
  <si>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</si>
  <si>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</si>
  <si>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</si>
  <si>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</si>
  <si>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</si>
  <si>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</si>
  <si>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</si>
  <si>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</si>
  <si>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</si>
  <si>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</si>
  <si>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</si>
  <si>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</si>
  <si>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</si>
  <si>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</si>
  <si>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</si>
  <si>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</si>
  <si>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</si>
  <si>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</si>
  <si>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</si>
  <si>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</si>
  <si>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</si>
  <si>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</si>
  <si>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</si>
  <si>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</si>
  <si>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</si>
  <si>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</si>
  <si>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</si>
  <si>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</si>
  <si>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</si>
  <si>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</si>
  <si>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</si>
  <si>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</si>
  <si>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</si>
  <si>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</si>
  <si>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</si>
  <si>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</si>
  <si>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</si>
  <si>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</si>
  <si>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</si>
  <si>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</si>
  <si>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</si>
  <si>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</si>
  <si>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</si>
  <si>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</si>
  <si>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</si>
  <si>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</si>
  <si>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</si>
  <si>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</si>
  <si>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</si>
  <si>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</si>
  <si>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</si>
  <si>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</si>
  <si>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</si>
  <si>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</si>
  <si>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</si>
  <si>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</si>
  <si>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</si>
  <si>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</si>
  <si>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</si>
  <si>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</si>
  <si>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</si>
  <si>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</si>
  <si>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</si>
  <si>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</si>
  <si>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</si>
  <si>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</si>
  <si>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</si>
  <si>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</si>
  <si>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</si>
  <si>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</si>
  <si>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</si>
  <si>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</si>
  <si>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</si>
  <si>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</si>
  <si>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</si>
  <si>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</si>
  <si>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</si>
  <si>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</si>
  <si>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</si>
  <si>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</si>
  <si>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</si>
  <si>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</si>
  <si>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</si>
  <si>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</si>
  <si>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</si>
  <si>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</si>
  <si>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</si>
  <si>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</si>
  <si>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</si>
  <si>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</si>
  <si>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</si>
  <si>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</si>
  <si>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</si>
  <si>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</si>
  <si>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</si>
  <si>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</si>
  <si>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</si>
  <si>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</si>
  <si>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</si>
  <si>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</si>
  <si>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</si>
  <si>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</si>
  <si>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</si>
  <si>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</si>
  <si>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</si>
  <si>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</si>
  <si>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</si>
  <si>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</si>
  <si>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</si>
  <si>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</si>
  <si>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</si>
  <si>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</si>
  <si>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</si>
  <si>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</si>
  <si>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</si>
  <si>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</si>
  <si>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</si>
  <si>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</si>
  <si>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</si>
  <si>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</si>
  <si>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</si>
  <si>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</si>
  <si>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</si>
  <si>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</si>
  <si>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</si>
  <si>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</si>
  <si>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</si>
  <si>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</si>
  <si>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</si>
  <si>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</si>
  <si>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</si>
  <si>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</si>
  <si>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</si>
  <si>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</si>
  <si>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</si>
  <si>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</si>
  <si>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</si>
  <si>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</si>
  <si>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</si>
  <si>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</si>
  <si>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</si>
  <si>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</si>
  <si>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</si>
  <si>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</si>
  <si>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</si>
  <si>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</si>
  <si>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</si>
  <si>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</si>
  <si>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</si>
  <si>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</si>
  <si>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</si>
  <si>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</si>
  <si>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</si>
  <si>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</si>
  <si>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</si>
  <si>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</si>
  <si>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</si>
  <si>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</si>
  <si>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</si>
  <si>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</si>
  <si>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</si>
  <si>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</si>
  <si>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</si>
  <si>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</si>
  <si>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</si>
  <si>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</si>
  <si>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</si>
  <si>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</si>
  <si>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</si>
  <si>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</si>
  <si>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</si>
  <si>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</si>
  <si>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</si>
  <si>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</si>
  <si>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</si>
  <si>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</si>
  <si>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</si>
  <si>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</si>
  <si>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</si>
  <si>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</si>
  <si>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</si>
  <si>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</si>
  <si>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</si>
  <si>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</si>
  <si>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</si>
  <si>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</si>
  <si>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</si>
  <si>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</si>
  <si>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</si>
  <si>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</si>
  <si>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</si>
  <si>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</si>
  <si>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</si>
  <si>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</si>
  <si>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</si>
  <si>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</si>
  <si>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</si>
  <si>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</si>
  <si>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</si>
  <si>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</si>
  <si>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</si>
  <si>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</si>
  <si>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</si>
  <si>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</si>
  <si>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</si>
  <si>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</si>
  <si>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</si>
  <si>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</si>
  <si>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</si>
  <si>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</si>
  <si>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</si>
  <si>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</si>
  <si>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</si>
  <si>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</si>
  <si>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</si>
  <si>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</si>
  <si>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</si>
  <si>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</si>
  <si>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</si>
  <si>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</si>
  <si>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</si>
  <si>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</si>
  <si>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</si>
  <si>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</si>
  <si>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</si>
  <si>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</si>
  <si>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</si>
  <si>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</si>
  <si>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</si>
  <si>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</si>
  <si>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</si>
  <si>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</si>
  <si>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</si>
  <si>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</si>
  <si>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</si>
  <si>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</si>
  <si>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</si>
  <si>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</si>
  <si>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</si>
  <si>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</si>
  <si>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</si>
  <si>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</si>
  <si>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</si>
  <si>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</si>
  <si>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</si>
  <si>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</si>
  <si>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</si>
  <si>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</si>
  <si>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</si>
  <si>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</si>
  <si>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</si>
  <si>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</si>
  <si>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</si>
  <si>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</si>
  <si>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</si>
  <si>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</si>
  <si>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</si>
  <si>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</si>
  <si>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</si>
  <si>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</si>
  <si>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</si>
  <si>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</si>
  <si>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</si>
  <si>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</si>
  <si>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</si>
  <si>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</si>
  <si>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</si>
  <si>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</si>
  <si>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</si>
  <si>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</si>
  <si>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</si>
  <si>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</si>
  <si>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</si>
  <si>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</si>
  <si>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</si>
  <si>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</si>
  <si>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</si>
  <si>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</si>
  <si>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</si>
  <si>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</si>
  <si>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</si>
  <si>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</si>
  <si>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</si>
  <si>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</si>
  <si>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</si>
  <si>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</si>
  <si>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</si>
  <si>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</si>
  <si>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</si>
  <si>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</si>
  <si>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</si>
  <si>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</si>
  <si>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</si>
  <si>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</si>
  <si>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</si>
  <si>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</si>
  <si>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</si>
  <si>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</si>
  <si>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</si>
  <si>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</si>
  <si>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</si>
  <si>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</si>
  <si>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</si>
  <si>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</si>
  <si>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</si>
  <si>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</si>
  <si>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</si>
  <si>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</si>
  <si>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</si>
  <si>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</si>
  <si>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</si>
  <si>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</si>
  <si>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</si>
  <si>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</si>
  <si>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</si>
  <si>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</si>
  <si>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</si>
  <si>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</si>
  <si>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</si>
  <si>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</si>
  <si>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</si>
  <si>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</si>
  <si>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</si>
  <si>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</si>
  <si>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</si>
  <si>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</si>
  <si>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</si>
  <si>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</si>
  <si>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</si>
  <si>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</si>
  <si>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</si>
  <si>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</si>
  <si>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</si>
  <si>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</si>
  <si>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</si>
  <si>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</si>
  <si>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</si>
  <si>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</si>
  <si>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</si>
  <si>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</si>
  <si>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</si>
  <si>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</si>
  <si>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</si>
  <si>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</si>
  <si>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</si>
  <si>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</si>
  <si>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</si>
  <si>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</si>
  <si>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</si>
  <si>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</si>
  <si>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</si>
  <si>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</si>
  <si>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</si>
  <si>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</si>
  <si>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</si>
  <si>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</si>
  <si>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</si>
  <si>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</si>
  <si>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</si>
  <si>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</si>
  <si>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</si>
  <si>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</si>
  <si>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</si>
  <si>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</si>
  <si>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</si>
  <si>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</si>
  <si>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</si>
  <si>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</si>
  <si>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</si>
  <si>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</si>
  <si>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</si>
  <si>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</si>
  <si>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</si>
  <si>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</si>
  <si>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</si>
  <si>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</si>
  <si>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</si>
  <si>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</si>
  <si>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</si>
  <si>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</si>
  <si>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</si>
  <si>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</si>
  <si>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</si>
  <si>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</si>
  <si>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</si>
  <si>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</si>
  <si>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</si>
  <si>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</si>
  <si>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</si>
  <si>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</si>
  <si>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</si>
  <si>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</si>
  <si>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</si>
  <si>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</si>
  <si>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</si>
  <si>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</si>
  <si>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</si>
  <si>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</si>
  <si>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</si>
  <si>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</si>
  <si>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</si>
  <si>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</si>
  <si>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</si>
  <si>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</si>
  <si>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</si>
  <si>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</si>
  <si>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</si>
  <si>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</si>
  <si>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</si>
  <si>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</si>
  <si>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</si>
  <si>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</si>
  <si>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</si>
  <si>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</si>
  <si>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</si>
  <si>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</si>
  <si>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</si>
  <si>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</si>
  <si>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</si>
  <si>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</si>
  <si>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</si>
  <si>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</si>
  <si>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</si>
  <si>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</si>
  <si>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</si>
  <si>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</si>
  <si>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</si>
  <si>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</si>
  <si>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</si>
  <si>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</si>
  <si>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</si>
  <si>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</si>
  <si>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</si>
  <si>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</si>
  <si>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</si>
  <si>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</si>
  <si>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</si>
  <si>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</si>
  <si>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</si>
  <si>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</si>
  <si>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</si>
  <si>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</si>
  <si>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</si>
  <si>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</si>
  <si>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</si>
  <si>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</si>
  <si>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</si>
  <si>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</si>
  <si>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</si>
  <si>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</si>
  <si>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</si>
  <si>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</si>
  <si>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</si>
  <si>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</si>
  <si>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</si>
  <si>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</si>
  <si>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</si>
  <si>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</si>
  <si>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</si>
  <si>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</si>
  <si>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</si>
  <si>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</si>
  <si>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</si>
  <si>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</si>
  <si>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</si>
  <si>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</si>
  <si>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</si>
  <si>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</si>
  <si>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</si>
  <si>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</si>
  <si>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</si>
  <si>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</si>
  <si>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</si>
  <si>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</si>
  <si>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</si>
  <si>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</si>
  <si>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</si>
  <si>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</si>
  <si>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</si>
  <si>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</si>
  <si>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</si>
  <si>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</si>
  <si>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</si>
  <si>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</si>
  <si>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</si>
  <si>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</si>
  <si>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</si>
  <si>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</si>
  <si>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</si>
  <si>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</si>
  <si>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</si>
  <si>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</si>
  <si>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</si>
  <si>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</si>
  <si>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</si>
  <si>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</si>
  <si>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</si>
  <si>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</si>
  <si>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</si>
  <si>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</si>
  <si>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</si>
  <si>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</si>
  <si>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</si>
  <si>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</si>
  <si>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</si>
  <si>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</si>
  <si>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</si>
  <si>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</si>
  <si>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</si>
  <si>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</si>
  <si>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</si>
  <si>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</si>
  <si>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</si>
  <si>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</si>
  <si>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</si>
  <si>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</si>
  <si>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</si>
  <si>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</si>
  <si>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</si>
  <si>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</si>
  <si>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</si>
  <si>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</si>
  <si>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</si>
  <si>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</si>
  <si>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</si>
  <si>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</si>
  <si>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</si>
  <si>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</si>
  <si>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</si>
  <si>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</si>
  <si>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</si>
  <si>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</si>
  <si>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</si>
  <si>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</si>
  <si>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</si>
  <si>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</si>
  <si>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</si>
  <si>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</si>
  <si>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</si>
  <si>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</si>
  <si>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</si>
  <si>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</si>
  <si>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</si>
  <si>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</si>
  <si>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</si>
  <si>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</si>
  <si>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</si>
  <si>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</si>
  <si>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</si>
  <si>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</si>
  <si>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</si>
  <si>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</si>
  <si>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</si>
  <si>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</si>
  <si>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</si>
  <si>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</si>
  <si>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</si>
  <si>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</si>
  <si>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</si>
  <si>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</si>
  <si>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</si>
  <si>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</si>
  <si>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</si>
  <si>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</si>
  <si>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</si>
  <si>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</si>
  <si>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</si>
  <si>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</si>
  <si>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</si>
  <si>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</si>
  <si>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</si>
  <si>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</si>
  <si>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</si>
  <si>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</si>
  <si>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</si>
  <si>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</si>
  <si>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</si>
  <si>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</si>
  <si>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</si>
  <si>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</si>
  <si>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</si>
  <si>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</si>
  <si>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</si>
  <si>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</si>
  <si>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</si>
  <si>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</si>
  <si>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</si>
  <si>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</si>
  <si>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</si>
  <si>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</si>
  <si>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</si>
  <si>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</si>
  <si>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</si>
  <si>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</si>
  <si>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</si>
  <si>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</si>
  <si>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</si>
  <si>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</si>
  <si>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</si>
  <si>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</si>
  <si>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</si>
  <si>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</si>
  <si>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</si>
  <si>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</si>
  <si>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</si>
  <si>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</si>
  <si>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</si>
  <si>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</si>
  <si>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</si>
  <si>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</si>
  <si>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</si>
  <si>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</si>
  <si>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</si>
  <si>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</si>
  <si>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</si>
  <si>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</si>
  <si>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</si>
  <si>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</si>
  <si>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</si>
  <si>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</si>
  <si>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</si>
  <si>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</si>
  <si>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</si>
  <si>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</si>
  <si>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</si>
  <si>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</si>
  <si>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</si>
  <si>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</si>
  <si>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</si>
  <si>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</si>
  <si>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</si>
  <si>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</si>
  <si>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</si>
  <si>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</si>
  <si>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</si>
  <si>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</si>
  <si>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</si>
  <si>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</si>
  <si>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</si>
  <si>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</si>
  <si>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</si>
  <si>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</si>
  <si>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</si>
  <si>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</si>
  <si>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</si>
  <si>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</si>
  <si>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</si>
  <si>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</si>
  <si>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</si>
  <si>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</si>
  <si>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</si>
  <si>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</si>
  <si>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</si>
  <si>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</si>
  <si>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</si>
  <si>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</si>
  <si>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</si>
  <si>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</si>
  <si>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</si>
  <si>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</si>
  <si>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</si>
  <si>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</si>
  <si>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</si>
  <si>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</si>
  <si>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</si>
  <si>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</si>
  <si>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</si>
  <si>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</si>
  <si>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</si>
  <si>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</si>
  <si>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</si>
  <si>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</si>
  <si>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</si>
  <si>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</si>
  <si>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</si>
  <si>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</si>
  <si>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</si>
  <si>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</si>
  <si>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</si>
  <si>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</si>
  <si>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</si>
  <si>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</si>
  <si>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</si>
  <si>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</si>
  <si>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</si>
  <si>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</si>
  <si>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</si>
  <si>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</si>
  <si>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</si>
  <si>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</si>
  <si>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</si>
  <si>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</si>
  <si>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</si>
  <si>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</si>
  <si>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</si>
  <si>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</si>
  <si>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</si>
  <si>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</si>
  <si>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</si>
  <si>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</si>
  <si>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</si>
  <si>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</si>
  <si>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</si>
  <si>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</si>
  <si>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</si>
  <si>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</si>
  <si>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</si>
  <si>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</si>
  <si>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</si>
  <si>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</si>
  <si>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</si>
  <si>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</si>
  <si>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</si>
  <si>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</si>
  <si>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</si>
  <si>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</si>
  <si>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</si>
  <si>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</si>
  <si>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</si>
  <si>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</si>
  <si>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</si>
  <si>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</si>
  <si>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</si>
  <si>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</si>
  <si>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</si>
  <si>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</si>
  <si>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</si>
  <si>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</si>
  <si>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</si>
  <si>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</si>
  <si>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</si>
  <si>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</si>
  <si>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</si>
  <si>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</si>
  <si>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</si>
  <si>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</si>
  <si>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</si>
  <si>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</si>
  <si>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</si>
  <si>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</si>
  <si>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</si>
  <si>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</si>
  <si>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</si>
  <si>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</si>
  <si>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</si>
  <si>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</si>
  <si>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</si>
  <si>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</si>
  <si>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</si>
  <si>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</si>
  <si>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</si>
  <si>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</si>
  <si>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</si>
  <si>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</si>
  <si>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</si>
  <si>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</si>
  <si>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</si>
  <si>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</si>
  <si>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</si>
  <si>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</si>
  <si>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</si>
  <si>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</si>
  <si>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</si>
  <si>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</si>
  <si>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</si>
  <si>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</si>
  <si>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</si>
  <si>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</si>
  <si>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</si>
  <si>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</si>
  <si>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</si>
  <si>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</si>
  <si>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</si>
  <si>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</si>
  <si>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</si>
  <si>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</si>
  <si>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</si>
  <si>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</si>
  <si>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</si>
  <si>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</si>
  <si>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</si>
  <si>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</si>
  <si>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</si>
  <si>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</si>
  <si>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</si>
  <si>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</si>
  <si>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</si>
  <si>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</si>
  <si>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</si>
  <si>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</si>
  <si>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</si>
  <si>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</si>
  <si>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</si>
  <si>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</si>
  <si>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</si>
  <si>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</si>
  <si>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</si>
  <si>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</si>
  <si>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</si>
  <si>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</si>
  <si>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</si>
  <si>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</si>
  <si>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</si>
  <si>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</si>
  <si>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</si>
  <si>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</si>
  <si>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</si>
  <si>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</si>
  <si>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</si>
  <si>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</si>
  <si>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</si>
  <si>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</si>
  <si>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</si>
  <si>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</si>
  <si>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</si>
  <si>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</si>
  <si>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</si>
  <si>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</si>
  <si>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</si>
  <si>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</si>
  <si>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</si>
  <si>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</si>
  <si>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</si>
  <si>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</si>
  <si>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</si>
  <si>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</si>
  <si>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</si>
  <si>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</si>
  <si>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</si>
  <si>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</si>
  <si>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</si>
  <si>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</si>
  <si>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</si>
  <si>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</si>
  <si>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</si>
  <si>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</si>
  <si>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</si>
  <si>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</si>
  <si>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</si>
  <si>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</si>
  <si>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</si>
  <si>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</si>
  <si>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</si>
  <si>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</si>
  <si>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</si>
  <si>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</si>
  <si>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</si>
  <si>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</si>
  <si>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</si>
  <si>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</si>
  <si>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</si>
  <si>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</si>
  <si>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</si>
  <si>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</si>
  <si>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</si>
  <si>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</si>
  <si>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</si>
  <si>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</si>
  <si>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</si>
  <si>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</si>
  <si>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</si>
  <si>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</si>
  <si>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</si>
  <si>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</si>
  <si>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</si>
  <si>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</si>
  <si>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</si>
  <si>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</si>
  <si>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</si>
  <si>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</si>
  <si>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</si>
  <si>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</si>
  <si>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</si>
  <si>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</si>
  <si>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</si>
  <si>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</si>
  <si>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</si>
  <si>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</si>
  <si>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</si>
  <si>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</si>
  <si>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</si>
  <si>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</si>
  <si>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</si>
  <si>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</si>
  <si>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</si>
  <si>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</si>
  <si>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</si>
  <si>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</si>
  <si>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</si>
  <si>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</si>
  <si>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</si>
  <si>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</si>
  <si>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</si>
  <si>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</si>
  <si>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</si>
  <si>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</si>
  <si>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</si>
  <si>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</si>
  <si>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</si>
  <si>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</si>
  <si>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</si>
  <si>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</si>
  <si>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</si>
  <si>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</si>
  <si>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</si>
  <si>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</si>
  <si>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</si>
  <si>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</si>
  <si>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</si>
  <si>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</si>
  <si>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</si>
  <si>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</si>
  <si>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</si>
  <si>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</si>
  <si>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</si>
  <si>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</si>
  <si>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</si>
  <si>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</si>
  <si>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</si>
  <si>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</si>
  <si>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</si>
  <si>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</si>
  <si>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</si>
  <si>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</si>
  <si>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</si>
  <si>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</si>
  <si>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</si>
  <si>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</si>
  <si>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</si>
  <si>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</si>
  <si>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</si>
  <si>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</si>
  <si>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</si>
  <si>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</si>
  <si>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</si>
  <si>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</si>
  <si>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</si>
  <si>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</si>
  <si>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</si>
  <si>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</si>
  <si>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</si>
  <si>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</si>
  <si>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</si>
  <si>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</si>
  <si>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</si>
  <si>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</si>
  <si>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</si>
  <si>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</si>
  <si>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</si>
  <si>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</si>
  <si>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</si>
  <si>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</si>
  <si>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</si>
  <si>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</si>
  <si>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</si>
  <si>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</si>
  <si>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</si>
  <si>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</si>
  <si>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</si>
  <si>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</si>
  <si>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</si>
  <si>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</si>
  <si>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</si>
  <si>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</si>
  <si>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</si>
  <si>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</si>
  <si>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</si>
  <si>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</si>
  <si>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</si>
  <si>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</si>
  <si>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</si>
  <si>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</si>
  <si>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</si>
  <si>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</si>
  <si>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</si>
  <si>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</si>
  <si>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</si>
  <si>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</si>
  <si>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</si>
  <si>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</si>
  <si>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</si>
  <si>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</si>
  <si>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</si>
  <si>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</si>
  <si>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</si>
  <si>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</si>
  <si>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</si>
  <si>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</si>
  <si>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</si>
  <si>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</si>
  <si>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</si>
  <si>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</si>
  <si>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</si>
  <si>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</si>
  <si>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</si>
  <si>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</si>
  <si>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</si>
  <si>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</si>
  <si>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</si>
  <si>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</si>
  <si>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</si>
  <si>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</si>
  <si>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</si>
  <si>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</si>
  <si>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</si>
  <si>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</si>
  <si>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</si>
  <si>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</si>
  <si>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</si>
  <si>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</si>
  <si>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</si>
  <si>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</si>
  <si>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</si>
  <si>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</si>
  <si>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</si>
  <si>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</si>
  <si>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</si>
  <si>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</si>
  <si>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</si>
  <si>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</si>
  <si>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</si>
  <si>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</si>
  <si>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</si>
  <si>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</si>
  <si>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</si>
  <si>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</si>
  <si>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</si>
  <si>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</si>
  <si>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</si>
  <si>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</si>
  <si>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</si>
  <si>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</si>
  <si>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</si>
  <si>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</si>
  <si>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</si>
  <si>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</si>
  <si>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</si>
  <si>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</si>
  <si>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</si>
  <si>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</si>
  <si>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</si>
  <si>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</si>
  <si>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</si>
  <si>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</si>
  <si>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</si>
  <si>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</si>
  <si>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</si>
  <si>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</si>
  <si>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</si>
  <si>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</si>
  <si>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</si>
  <si>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</si>
  <si>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</si>
  <si>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</si>
  <si>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</si>
  <si>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</si>
  <si>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</si>
  <si>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</si>
  <si>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</si>
  <si>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</si>
  <si>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</si>
  <si>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</si>
  <si>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</si>
  <si>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</si>
  <si>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</si>
  <si>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</si>
  <si>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</si>
  <si>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</si>
  <si>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</si>
  <si>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</si>
  <si>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</si>
  <si>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</si>
  <si>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</si>
  <si>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</si>
  <si>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</si>
  <si>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</si>
  <si>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</si>
  <si>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</si>
  <si>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</si>
  <si>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</si>
  <si>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</si>
  <si>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</si>
  <si>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</si>
  <si>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</si>
  <si>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</si>
  <si>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</si>
  <si>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</si>
  <si>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</si>
  <si>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</si>
  <si>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</si>
  <si>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</si>
  <si>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</si>
  <si>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</si>
  <si>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</si>
  <si>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</si>
  <si>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</si>
  <si>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</si>
  <si>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</si>
  <si>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</si>
  <si>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</si>
  <si>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</si>
  <si>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</si>
  <si>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</si>
  <si>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</si>
  <si>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</si>
  <si>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</si>
  <si>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</si>
  <si>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</si>
  <si>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</si>
  <si>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</si>
  <si>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</si>
  <si>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</si>
  <si>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</si>
  <si>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</si>
  <si>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</si>
  <si>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</si>
  <si>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</si>
  <si>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</si>
  <si>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</si>
  <si>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</si>
  <si>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</si>
  <si>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</si>
  <si>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</si>
  <si>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</si>
  <si>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</si>
  <si>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</si>
  <si>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</si>
  <si>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</si>
  <si>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</si>
  <si>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</si>
  <si>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</si>
  <si>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</si>
  <si>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</si>
  <si>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</si>
  <si>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</si>
  <si>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</si>
  <si>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</si>
  <si>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</si>
  <si>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</si>
  <si>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</si>
  <si>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</si>
  <si>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</si>
  <si>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</si>
  <si>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</si>
  <si>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</si>
  <si>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</si>
  <si>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</si>
  <si>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</si>
  <si>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</si>
  <si>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</si>
  <si>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</si>
  <si>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</si>
  <si>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</si>
  <si>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</si>
  <si>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</si>
  <si>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</si>
  <si>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</si>
  <si>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</si>
  <si>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</si>
  <si>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</si>
  <si>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</si>
  <si>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</si>
  <si>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</si>
  <si>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</si>
  <si>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</si>
  <si>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</si>
  <si>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</si>
  <si>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</si>
  <si>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</si>
  <si>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</si>
  <si>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</si>
  <si>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</si>
  <si>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</si>
  <si>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</si>
  <si>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</si>
  <si>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</si>
  <si>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</si>
  <si>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</si>
  <si>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</si>
  <si>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</si>
  <si>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</si>
  <si>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</si>
  <si>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</si>
  <si>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</si>
  <si>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</si>
  <si>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</si>
  <si>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</si>
  <si>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</si>
  <si>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</si>
  <si>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</si>
  <si>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</si>
  <si>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</si>
  <si>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</si>
  <si>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</si>
  <si>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</si>
  <si>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</si>
  <si>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</si>
  <si>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</si>
  <si>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</si>
  <si>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</si>
  <si>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</si>
  <si>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</si>
  <si>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</si>
  <si>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</si>
  <si>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</si>
  <si>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</si>
  <si>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</si>
  <si>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</si>
  <si>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</si>
  <si>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</si>
  <si>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</si>
  <si>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</si>
  <si>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</si>
  <si>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</si>
  <si>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</si>
  <si>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</si>
  <si>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</si>
  <si>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</si>
  <si>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</si>
  <si>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</si>
  <si>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</si>
  <si>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</si>
  <si>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</si>
  <si>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</si>
  <si>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</si>
  <si>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</si>
  <si>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</si>
  <si>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</si>
  <si>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</si>
  <si>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</si>
  <si>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</si>
  <si>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</si>
  <si>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</si>
  <si>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</si>
  <si>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</si>
  <si>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</si>
  <si>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</si>
  <si>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</si>
  <si>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</si>
  <si>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</si>
  <si>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</si>
  <si>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</si>
  <si>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</si>
  <si>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</si>
  <si>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</si>
  <si>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</si>
  <si>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</si>
  <si>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</si>
  <si>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</si>
  <si>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</si>
  <si>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</si>
  <si>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</si>
  <si>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</si>
  <si>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</si>
  <si>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</si>
  <si>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</si>
  <si>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</si>
  <si>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</si>
  <si>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</si>
  <si>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</si>
  <si>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</si>
  <si>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</si>
  <si>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</si>
  <si>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</si>
  <si>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</si>
  <si>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</si>
  <si>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</si>
  <si>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</si>
  <si>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</si>
  <si>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</si>
  <si>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</si>
  <si>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</si>
  <si>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</si>
  <si>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</si>
  <si>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</si>
  <si>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</si>
  <si>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</si>
  <si>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</si>
  <si>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</si>
  <si>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</si>
  <si>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</si>
  <si>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</si>
  <si>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</si>
  <si>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</si>
  <si>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</si>
  <si>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</si>
  <si>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</si>
  <si>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</si>
  <si>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</si>
  <si>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</si>
  <si>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</si>
  <si>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</si>
  <si>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</si>
  <si>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</si>
  <si>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</si>
  <si>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</si>
  <si>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</si>
  <si>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</si>
  <si>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</si>
  <si>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</si>
  <si>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</si>
  <si>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</si>
  <si>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</si>
  <si>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</si>
  <si>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</si>
  <si>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</si>
  <si>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</si>
  <si>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</si>
  <si>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</si>
  <si>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</si>
  <si>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</si>
  <si>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</si>
  <si>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</si>
  <si>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</si>
  <si>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</si>
  <si>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</si>
  <si>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</si>
  <si>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</si>
  <si>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</si>
  <si>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</si>
  <si>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</si>
  <si>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</si>
  <si>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</si>
  <si>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</si>
  <si>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</si>
  <si>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</si>
  <si>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</si>
  <si>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</si>
  <si>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</si>
  <si>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</si>
  <si>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</si>
  <si>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</si>
  <si>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</si>
  <si>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</si>
  <si>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</si>
  <si>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</si>
  <si>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</si>
  <si>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</si>
  <si>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</si>
  <si>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</si>
  <si>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</si>
  <si>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</si>
  <si>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</si>
  <si>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</si>
  <si>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</si>
  <si>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</si>
  <si>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</si>
  <si>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</si>
  <si>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</si>
  <si>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</si>
  <si>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</si>
  <si>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</si>
  <si>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</si>
  <si>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</si>
  <si>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</si>
  <si>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</si>
  <si>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</si>
  <si>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</si>
  <si>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</si>
  <si>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</si>
  <si>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</si>
  <si>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</si>
  <si>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</si>
  <si>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</si>
  <si>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</si>
  <si>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</si>
  <si>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</si>
  <si>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</si>
  <si>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</si>
  <si>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</si>
  <si>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</si>
  <si>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</si>
  <si>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</si>
  <si>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</si>
  <si>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</si>
  <si>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</si>
  <si>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</si>
  <si>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</si>
  <si>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</si>
  <si>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</si>
  <si>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</si>
  <si>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</si>
  <si>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</si>
  <si>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</si>
  <si>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</si>
  <si>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</si>
  <si>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</si>
  <si>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</si>
  <si>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</si>
  <si>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</si>
  <si>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</si>
  <si>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</si>
  <si>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</si>
  <si>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</si>
  <si>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</si>
  <si>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</si>
  <si>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</si>
  <si>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</si>
  <si>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</si>
  <si>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</si>
  <si>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</si>
  <si>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</si>
  <si>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</si>
  <si>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</si>
  <si>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</si>
  <si>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</si>
  <si>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</si>
  <si>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</si>
  <si>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</si>
  <si>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</si>
  <si>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</si>
  <si>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</si>
  <si>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</si>
  <si>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</si>
  <si>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</si>
  <si>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</si>
  <si>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</si>
  <si>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</si>
  <si>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</si>
  <si>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</si>
  <si>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</si>
  <si>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</si>
  <si>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</si>
  <si>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</si>
  <si>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</si>
  <si>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</si>
  <si>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</si>
  <si>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</si>
  <si>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</si>
  <si>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</si>
  <si>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</si>
  <si>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</si>
  <si>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</si>
  <si>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</si>
  <si>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</si>
  <si>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</si>
  <si>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</si>
  <si>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</si>
  <si>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</si>
  <si>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</si>
  <si>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</si>
  <si>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</si>
  <si>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</si>
  <si>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</si>
  <si>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</si>
  <si>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</si>
  <si>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</si>
  <si>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</si>
  <si>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</si>
  <si>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</si>
  <si>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</si>
  <si>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</si>
  <si>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</si>
  <si>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</si>
  <si>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</si>
  <si>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</si>
  <si>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</si>
  <si>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</si>
  <si>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</si>
  <si>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</si>
  <si>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</si>
  <si>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</si>
  <si>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</si>
  <si>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</si>
  <si>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</si>
  <si>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</si>
  <si>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</si>
  <si>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</si>
  <si>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</si>
  <si>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</si>
  <si>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</si>
  <si>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</si>
  <si>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</si>
  <si>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</si>
  <si>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</si>
  <si>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</si>
  <si>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</si>
  <si>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</si>
  <si>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</si>
  <si>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</si>
  <si>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</si>
  <si>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</si>
  <si>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</si>
  <si>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</si>
  <si>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</si>
  <si>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</si>
  <si>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</si>
  <si>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</si>
  <si>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</si>
  <si>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</si>
  <si>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</si>
  <si>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</si>
  <si>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</si>
  <si>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</si>
  <si>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</si>
  <si>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</si>
  <si>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</si>
  <si>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</si>
  <si>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</si>
  <si>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</si>
  <si>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</si>
  <si>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</si>
  <si>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</si>
  <si>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</si>
  <si>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</si>
  <si>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</si>
  <si>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</si>
  <si>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</si>
  <si>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</si>
  <si>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</si>
  <si>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</si>
  <si>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</si>
  <si>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</si>
  <si>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</si>
  <si>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</si>
  <si>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</si>
  <si>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</si>
  <si>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</si>
  <si>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</si>
  <si>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</si>
  <si>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</si>
  <si>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</si>
  <si>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</si>
  <si>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</si>
  <si>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</si>
  <si>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</si>
  <si>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</si>
  <si>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</si>
  <si>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</si>
  <si>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</si>
  <si>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</si>
  <si>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</si>
  <si>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</si>
  <si>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</si>
  <si>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</si>
  <si>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</si>
  <si>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</si>
  <si>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</si>
  <si>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</si>
  <si>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</si>
  <si>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</si>
  <si>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</si>
  <si>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</si>
  <si>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</si>
  <si>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</si>
  <si>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</si>
  <si>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</si>
  <si>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</si>
  <si>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</si>
  <si>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</si>
  <si>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</si>
  <si>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</si>
  <si>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</si>
  <si>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</si>
  <si>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</si>
  <si>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</si>
  <si>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</si>
  <si>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</si>
  <si>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</si>
  <si>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</si>
  <si>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</si>
  <si>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</si>
  <si>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</si>
  <si>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</si>
  <si>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</si>
  <si>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</si>
  <si>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</si>
  <si>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</si>
  <si>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</si>
  <si>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</si>
  <si>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</si>
  <si>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</si>
  <si>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</si>
  <si>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</si>
  <si>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</si>
  <si>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</si>
  <si>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</si>
  <si>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</si>
  <si>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</si>
  <si>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</si>
  <si>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</si>
  <si>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</si>
  <si>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</si>
  <si>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</si>
  <si>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</si>
  <si>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</si>
  <si>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</si>
  <si>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</si>
  <si>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</si>
  <si>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</si>
  <si>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</si>
  <si>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</si>
  <si>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</si>
  <si>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</si>
  <si>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</si>
  <si>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</si>
  <si>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</si>
  <si>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</si>
  <si>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</si>
  <si>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</si>
  <si>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</si>
  <si>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</si>
  <si>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</si>
  <si>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</si>
  <si>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</si>
  <si>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</si>
  <si>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</si>
  <si>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</si>
  <si>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</si>
  <si>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</si>
  <si>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</si>
  <si>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</si>
  <si>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</si>
  <si>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</si>
  <si>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</si>
  <si>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</si>
  <si>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</si>
  <si>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</si>
  <si>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</si>
  <si>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</si>
  <si>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</si>
  <si>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</si>
  <si>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</si>
  <si>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</si>
  <si>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</si>
  <si>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</si>
  <si>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</si>
  <si>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</si>
  <si>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</si>
  <si>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</si>
  <si>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</si>
  <si>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</si>
  <si>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</si>
  <si>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</si>
  <si>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</si>
  <si>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</si>
  <si>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</si>
  <si>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</si>
  <si>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</si>
  <si>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</si>
  <si>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</si>
  <si>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</si>
  <si>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</si>
  <si>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</si>
  <si>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</si>
  <si>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</si>
  <si>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</si>
  <si>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</si>
  <si>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</si>
  <si>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</si>
  <si>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</si>
  <si>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</si>
  <si>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</si>
  <si>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</si>
  <si>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</si>
  <si>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</si>
  <si>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</si>
  <si>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</si>
  <si>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</si>
  <si>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</si>
  <si>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</si>
  <si>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</si>
  <si>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</si>
  <si>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</si>
  <si>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</si>
  <si>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</si>
  <si>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</si>
  <si>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</si>
  <si>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</si>
  <si>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</si>
  <si>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</si>
  <si>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</si>
  <si>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</si>
  <si>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</si>
  <si>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</si>
  <si>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</si>
  <si>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</si>
  <si>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</si>
  <si>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</si>
  <si>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</si>
  <si>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</si>
  <si>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</si>
  <si>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</si>
  <si>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</si>
  <si>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</si>
  <si>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</si>
  <si>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</si>
  <si>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</si>
  <si>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</si>
  <si>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</si>
  <si>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</si>
  <si>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</si>
  <si>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</si>
  <si>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</si>
  <si>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</si>
  <si>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</si>
  <si>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</si>
  <si>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</si>
  <si>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</si>
  <si>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</si>
  <si>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</si>
  <si>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</si>
  <si>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</si>
  <si>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</si>
  <si>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</si>
  <si>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</si>
  <si>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</si>
  <si>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</si>
  <si>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</si>
  <si>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</si>
  <si>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</si>
  <si>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</si>
  <si>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</si>
  <si>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</si>
  <si>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</si>
  <si>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</si>
  <si>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</si>
  <si>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</si>
  <si>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</si>
  <si>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</si>
  <si>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</si>
  <si>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</si>
  <si>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</si>
  <si>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</si>
  <si>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</si>
  <si>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</si>
  <si>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</si>
  <si>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</si>
  <si>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</si>
  <si>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</si>
  <si>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</si>
  <si>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</si>
  <si>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</si>
  <si>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</si>
  <si>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</si>
  <si>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</si>
  <si>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</si>
  <si>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</si>
  <si>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</si>
  <si>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</si>
  <si>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</si>
  <si>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</si>
  <si>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</si>
  <si>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</si>
  <si>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</si>
  <si>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</si>
  <si>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</si>
  <si>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</si>
  <si>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</si>
  <si>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</si>
  <si>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</si>
  <si>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</si>
  <si>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</si>
  <si>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</si>
  <si>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</si>
  <si>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</si>
  <si>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</si>
  <si>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</si>
  <si>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</si>
  <si>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</si>
  <si>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</si>
  <si>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</si>
  <si>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</si>
  <si>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</si>
  <si>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</si>
  <si>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</si>
  <si>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</si>
  <si>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</si>
  <si>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</si>
  <si>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</si>
  <si>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</si>
  <si>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</si>
  <si>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</si>
  <si>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</si>
  <si>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</si>
  <si>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</si>
  <si>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</si>
  <si>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</si>
  <si>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</si>
  <si>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</si>
  <si>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</si>
  <si>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</si>
  <si>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</si>
  <si>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</si>
  <si>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</si>
  <si>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</si>
  <si>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</si>
  <si>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</si>
  <si>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</si>
  <si>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</si>
  <si>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</si>
  <si>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</si>
  <si>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</si>
  <si>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</si>
  <si>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</si>
  <si>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</si>
  <si>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</si>
  <si>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</si>
  <si>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</si>
  <si>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</si>
  <si>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</si>
  <si>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</si>
  <si>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</si>
  <si>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</si>
  <si>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</si>
  <si>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</si>
  <si>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</si>
  <si>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</si>
  <si>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</si>
  <si>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</si>
  <si>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</si>
  <si>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</si>
  <si>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</si>
  <si>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</si>
  <si>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</si>
  <si>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</si>
  <si>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</si>
  <si>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</si>
  <si>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</si>
  <si>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</si>
  <si>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</si>
  <si>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</si>
  <si>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</si>
  <si>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</si>
  <si>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</si>
  <si>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</si>
  <si>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</si>
  <si>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</si>
  <si>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</si>
  <si>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</si>
  <si>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</si>
  <si>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</si>
  <si>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</si>
  <si>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</si>
  <si>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</si>
  <si>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</si>
  <si>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</si>
  <si>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</si>
  <si>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</si>
  <si>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</si>
  <si>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</si>
  <si>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</si>
  <si>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</si>
  <si>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</si>
  <si>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</si>
  <si>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</si>
  <si>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</si>
  <si>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</si>
  <si>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</si>
  <si>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</si>
  <si>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</si>
  <si>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</si>
  <si>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</si>
  <si>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</si>
  <si>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</si>
  <si>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</si>
  <si>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</si>
  <si>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</si>
  <si>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</si>
  <si>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</si>
  <si>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</si>
  <si>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</si>
  <si>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</si>
  <si>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</si>
  <si>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</si>
  <si>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</si>
  <si>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</si>
  <si>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</si>
  <si>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</si>
  <si>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</si>
  <si>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</si>
  <si>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</si>
  <si>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</si>
  <si>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</si>
  <si>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</si>
  <si>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</si>
  <si>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</si>
  <si>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</si>
  <si>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</si>
  <si>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</si>
  <si>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</si>
  <si>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</si>
  <si>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</si>
  <si>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</si>
  <si>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</si>
  <si>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</si>
  <si>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</si>
  <si>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</si>
  <si>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</si>
  <si>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</si>
  <si>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</si>
  <si>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</si>
  <si>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</si>
  <si>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</si>
  <si>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</si>
  <si>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</si>
  <si>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</si>
  <si>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</si>
  <si>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</si>
  <si>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</si>
  <si>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</si>
  <si>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</si>
  <si>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</si>
  <si>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</si>
  <si>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</si>
  <si>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</si>
  <si>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</si>
  <si>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</si>
  <si>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</si>
  <si>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</si>
  <si>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</si>
  <si>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</si>
  <si>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</si>
  <si>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</si>
  <si>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</si>
  <si>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</si>
  <si>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</si>
  <si>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</si>
  <si>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</si>
  <si>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</si>
  <si>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</si>
  <si>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</si>
  <si>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</si>
  <si>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</si>
  <si>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</si>
  <si>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</si>
  <si>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</si>
  <si>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</si>
  <si>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</si>
  <si>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</si>
  <si>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</si>
  <si>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</si>
  <si>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</si>
  <si>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</si>
  <si>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</si>
  <si>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</si>
  <si>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</si>
  <si>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</si>
  <si>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</si>
  <si>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</si>
  <si>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</si>
  <si>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</si>
  <si>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</si>
  <si>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</si>
  <si>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</si>
  <si>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</si>
  <si>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</si>
  <si>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</si>
  <si>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</si>
  <si>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</si>
  <si>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</si>
  <si>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</si>
  <si>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</si>
  <si>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</si>
  <si>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</si>
  <si>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</si>
  <si>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</si>
  <si>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</si>
  <si>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</si>
  <si>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</si>
  <si>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</si>
  <si>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</si>
  <si>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</si>
  <si>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</si>
  <si>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</si>
  <si>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</si>
  <si>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</si>
  <si>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</si>
  <si>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</si>
  <si>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</si>
  <si>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</si>
  <si>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</si>
  <si>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</si>
  <si>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</si>
  <si>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</si>
  <si>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</si>
  <si>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</si>
  <si>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</si>
  <si>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</si>
  <si>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</si>
  <si>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</si>
  <si>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</si>
  <si>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</si>
  <si>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</si>
  <si>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</si>
  <si>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</si>
  <si>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</si>
  <si>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</si>
  <si>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</si>
  <si>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</si>
  <si>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</si>
  <si>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</si>
  <si>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</si>
  <si>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</si>
  <si>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</si>
  <si>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</si>
  <si>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</si>
  <si>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</si>
  <si>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</si>
  <si>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</si>
  <si>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</si>
  <si>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</si>
  <si>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</si>
  <si>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</si>
  <si>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</si>
  <si>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</si>
  <si>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</si>
  <si>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</si>
  <si>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</si>
  <si>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</si>
  <si>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</si>
  <si>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</si>
  <si>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</si>
  <si>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</si>
  <si>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</si>
  <si>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</si>
  <si>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</si>
  <si>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</si>
  <si>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</si>
  <si>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</si>
  <si>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</si>
  <si>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</si>
  <si>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</si>
  <si>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</si>
  <si>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</si>
  <si>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</si>
  <si>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</si>
  <si>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</si>
  <si>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</si>
  <si>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</si>
  <si>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</si>
  <si>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</si>
  <si>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</si>
  <si>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</si>
  <si>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</si>
  <si>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</si>
  <si>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</si>
  <si>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</si>
  <si>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</si>
  <si>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</si>
  <si>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</si>
  <si>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</si>
  <si>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</si>
  <si>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</si>
  <si>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</si>
  <si>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</si>
  <si>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</si>
  <si>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</si>
  <si>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</si>
  <si>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</si>
  <si>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</si>
  <si>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</si>
  <si>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</si>
  <si>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</si>
  <si>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</si>
  <si>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</si>
  <si>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</si>
  <si>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</si>
  <si>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</si>
  <si>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</si>
  <si>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</si>
  <si>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</si>
  <si>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</si>
  <si>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</si>
  <si>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</si>
  <si>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</si>
  <si>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</si>
  <si>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</si>
  <si>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</si>
  <si>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</si>
  <si>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</si>
  <si>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</si>
  <si>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</si>
  <si>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</si>
  <si>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</si>
  <si>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</si>
  <si>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</si>
  <si>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</si>
  <si>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</si>
  <si>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</si>
  <si>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</si>
  <si>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</si>
  <si>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</si>
  <si>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</si>
  <si>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</si>
  <si>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</si>
  <si>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</si>
  <si>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</si>
  <si>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</si>
  <si>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</si>
  <si>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</si>
  <si>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</si>
  <si>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</si>
  <si>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</si>
  <si>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</si>
  <si>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</si>
  <si>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</si>
  <si>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</si>
  <si>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</si>
  <si>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</si>
  <si>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</si>
  <si>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</si>
  <si>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</si>
  <si>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</si>
  <si>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</si>
  <si>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</si>
  <si>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</si>
  <si>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</si>
  <si>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</si>
  <si>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</si>
  <si>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</si>
  <si>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</si>
  <si>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</si>
  <si>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</si>
  <si>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</si>
  <si>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</si>
  <si>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</si>
  <si>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</si>
  <si>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</si>
  <si>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</si>
  <si>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</si>
  <si>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</si>
  <si>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</si>
  <si>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</si>
  <si>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</si>
  <si>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</si>
  <si>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</si>
  <si>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</si>
  <si>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</si>
  <si>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</si>
  <si>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</si>
  <si>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</si>
  <si>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</si>
  <si>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</si>
  <si>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</si>
  <si>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</si>
  <si>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</si>
  <si>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</si>
  <si>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</si>
  <si>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</si>
  <si>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</si>
  <si>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</si>
  <si>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</si>
  <si>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</si>
  <si>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</si>
  <si>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</si>
  <si>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</si>
  <si>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</si>
  <si>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</si>
  <si>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</si>
  <si>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</si>
  <si>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</si>
  <si>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</si>
  <si>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</si>
  <si>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</si>
  <si>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</si>
  <si>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</si>
  <si>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</si>
  <si>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</si>
  <si>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</si>
  <si>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</si>
  <si>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</si>
  <si>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</si>
  <si>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</si>
  <si>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</si>
  <si>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</si>
  <si>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</si>
  <si>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</si>
  <si>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</si>
  <si>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</si>
  <si>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</si>
  <si>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</si>
  <si>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</si>
  <si>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</si>
  <si>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</si>
  <si>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</si>
  <si>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</si>
  <si>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</si>
  <si>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</si>
  <si>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</si>
  <si>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</si>
  <si>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</si>
  <si>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</si>
  <si>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</si>
  <si>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</si>
  <si>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</si>
  <si>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</si>
  <si>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</si>
  <si>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</si>
  <si>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</si>
  <si>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</si>
  <si>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</si>
  <si>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</si>
  <si>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</si>
  <si>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</si>
  <si>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</si>
  <si>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</si>
  <si>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</si>
  <si>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</si>
  <si>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</si>
  <si>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</si>
  <si>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</si>
  <si>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</si>
  <si>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</si>
  <si>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</si>
  <si>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</si>
  <si>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</si>
  <si>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</si>
  <si>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</si>
  <si>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</si>
  <si>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</si>
  <si>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</si>
  <si>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</si>
  <si>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</si>
  <si>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</si>
  <si>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</si>
  <si>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</si>
  <si>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</si>
  <si>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</si>
  <si>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</si>
  <si>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</si>
  <si>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</si>
  <si>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</si>
  <si>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</si>
  <si>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</si>
  <si>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</si>
  <si>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</si>
  <si>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</si>
  <si>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</si>
  <si>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</si>
  <si>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</si>
  <si>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</si>
  <si>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</si>
  <si>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</si>
  <si>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</si>
  <si>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</si>
  <si>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</si>
  <si>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</si>
  <si>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</si>
  <si>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</si>
  <si>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</si>
  <si>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</si>
  <si>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</si>
  <si>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</si>
  <si>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</si>
  <si>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</si>
  <si>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</si>
  <si>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</si>
  <si>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</si>
  <si>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</si>
  <si>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</si>
  <si>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</si>
  <si>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</si>
  <si>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</si>
  <si>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</si>
  <si>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</si>
  <si>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</si>
  <si>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</si>
  <si>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</si>
  <si>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</si>
  <si>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</si>
  <si>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</si>
  <si>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</si>
  <si>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</si>
  <si>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</si>
  <si>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</si>
  <si>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</si>
  <si>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</si>
  <si>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</si>
  <si>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</si>
  <si>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</si>
  <si>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</si>
  <si>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</si>
  <si>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</si>
  <si>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</si>
  <si>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</si>
  <si>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</si>
  <si>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</si>
  <si>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</si>
  <si>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</si>
  <si>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</si>
  <si>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</si>
  <si>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</si>
  <si>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</si>
  <si>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</si>
  <si>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</si>
  <si>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</si>
  <si>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</si>
  <si>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</si>
  <si>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</si>
  <si>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</si>
  <si>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</si>
  <si>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</si>
  <si>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</si>
  <si>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</si>
  <si>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</si>
  <si>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</si>
  <si>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</si>
  <si>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</si>
  <si>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</si>
  <si>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</si>
  <si>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</si>
  <si>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</si>
  <si>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</si>
  <si>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</si>
  <si>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</si>
  <si>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</si>
  <si>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</si>
  <si>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</si>
  <si>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</si>
  <si>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</si>
  <si>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</si>
  <si>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</si>
  <si>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</si>
  <si>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</si>
  <si>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</si>
  <si>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</si>
  <si>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</si>
  <si>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</si>
  <si>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</si>
  <si>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</si>
  <si>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</si>
  <si>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</si>
  <si>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</si>
  <si>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</si>
  <si>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</si>
  <si>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</si>
  <si>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</si>
  <si>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</si>
  <si>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</si>
  <si>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</si>
  <si>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</si>
  <si>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</si>
  <si>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</si>
  <si>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</si>
  <si>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</si>
  <si>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</si>
  <si>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</si>
  <si>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</si>
  <si>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</si>
  <si>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</si>
  <si>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</si>
  <si>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</si>
  <si>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</si>
  <si>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</si>
  <si>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</si>
  <si>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</si>
  <si>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</si>
  <si>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</si>
  <si>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</si>
  <si>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</si>
  <si>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</si>
  <si>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</si>
  <si>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</si>
  <si>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</si>
  <si>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</si>
  <si>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</si>
  <si>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</si>
  <si>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</si>
  <si>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</si>
  <si>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</si>
  <si>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</si>
  <si>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</si>
  <si>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</si>
  <si>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</si>
  <si>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</si>
  <si>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</si>
  <si>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</si>
  <si>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</si>
  <si>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</si>
  <si>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</si>
  <si>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</si>
  <si>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</si>
  <si>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</si>
  <si>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</si>
  <si>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</si>
  <si>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</si>
  <si>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</si>
  <si>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</si>
  <si>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</si>
  <si>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</si>
  <si>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</si>
  <si>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</si>
  <si>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</si>
  <si>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</si>
  <si>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</si>
  <si>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</si>
  <si>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</si>
  <si>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</si>
  <si>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</si>
  <si>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</si>
  <si>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</si>
  <si>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</si>
  <si>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</si>
  <si>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</si>
  <si>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</si>
  <si>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</si>
  <si>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</si>
  <si>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</si>
  <si>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</si>
  <si>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</si>
  <si>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</si>
  <si>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</si>
  <si>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</si>
  <si>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</si>
  <si>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</si>
  <si>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</si>
  <si>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</si>
  <si>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</si>
  <si>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</si>
  <si>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</si>
  <si>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</si>
  <si>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</si>
  <si>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</si>
  <si>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</si>
  <si>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</si>
  <si>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</si>
  <si>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</si>
  <si>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</si>
  <si>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</si>
  <si>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</si>
  <si>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</si>
  <si>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</si>
  <si>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</si>
  <si>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</si>
  <si>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</si>
  <si>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</si>
  <si>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</si>
  <si>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</si>
  <si>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</si>
  <si>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</si>
  <si>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</si>
  <si>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</si>
  <si>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</si>
  <si>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</si>
  <si>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</si>
  <si>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</si>
  <si>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</si>
  <si>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</si>
  <si>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</si>
  <si>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</si>
  <si>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</si>
  <si>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</si>
  <si>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</si>
  <si>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</si>
  <si>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</si>
  <si>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</si>
  <si>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</si>
  <si>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</si>
  <si>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</si>
  <si>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</si>
  <si>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</si>
  <si>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</si>
  <si>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</si>
  <si>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</si>
  <si>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</si>
  <si>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</si>
  <si>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</si>
  <si>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</si>
  <si>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</si>
  <si>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</si>
  <si>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</si>
  <si>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</si>
  <si>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</si>
  <si>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</si>
  <si>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</si>
  <si>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</si>
  <si>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</si>
  <si>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</si>
  <si>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</si>
  <si>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</si>
  <si>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</si>
  <si>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</si>
  <si>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</si>
  <si>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</si>
  <si>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</si>
  <si>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</si>
  <si>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</si>
  <si>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</si>
  <si>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</si>
  <si>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</si>
  <si>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</si>
  <si>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</si>
  <si>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</si>
  <si>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</si>
  <si>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</si>
  <si>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</si>
  <si>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</si>
  <si>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</si>
  <si>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</si>
  <si>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</si>
  <si>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</si>
  <si>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</si>
  <si>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</si>
  <si>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</si>
  <si>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</si>
  <si>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</si>
  <si>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</si>
  <si>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</si>
  <si>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</si>
  <si>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</si>
  <si>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</si>
  <si>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</si>
  <si>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</si>
  <si>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</si>
  <si>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</si>
  <si>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</si>
  <si>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</si>
  <si>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</si>
  <si>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</si>
  <si>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</si>
  <si>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</si>
  <si>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</si>
  <si>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</si>
  <si>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</si>
  <si>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</si>
  <si>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</si>
  <si>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</si>
  <si>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</si>
  <si>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</si>
  <si>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</si>
  <si>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</si>
  <si>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</si>
  <si>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</si>
  <si>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</si>
  <si>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</si>
  <si>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</si>
  <si>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</si>
  <si>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</si>
  <si>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</si>
  <si>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</si>
  <si>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</si>
  <si>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</si>
  <si>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</si>
  <si>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</si>
  <si>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</si>
  <si>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</si>
  <si>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</si>
  <si>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</si>
  <si>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</si>
  <si>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</si>
  <si>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</si>
  <si>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</si>
  <si>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</si>
  <si>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</si>
  <si>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</si>
  <si>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</si>
  <si>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</si>
  <si>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</si>
  <si>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</si>
  <si>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</si>
  <si>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</si>
  <si>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</si>
  <si>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</si>
  <si>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</si>
  <si>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</si>
  <si>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</si>
  <si>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</si>
  <si>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</si>
  <si>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</si>
  <si>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</si>
  <si>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</si>
  <si>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</si>
  <si>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</si>
  <si>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</si>
  <si>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</si>
  <si>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</si>
  <si>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</si>
  <si>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</si>
  <si>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</si>
  <si>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</si>
  <si>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</si>
  <si>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</si>
  <si>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</si>
  <si>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</si>
  <si>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</si>
  <si>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</si>
  <si>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</si>
  <si>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</si>
  <si>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</si>
  <si>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</si>
  <si>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</si>
  <si>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</si>
  <si>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</si>
  <si>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</si>
  <si>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</si>
  <si>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</si>
  <si>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</si>
  <si>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</si>
  <si>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</si>
  <si>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</si>
  <si>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</si>
  <si>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</si>
  <si>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</si>
  <si>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</si>
  <si>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</si>
  <si>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</si>
  <si>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</si>
  <si>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</si>
  <si>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</si>
  <si>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</si>
  <si>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</si>
  <si>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</si>
  <si>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</si>
  <si>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</si>
  <si>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</si>
  <si>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</si>
  <si>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</si>
  <si>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</si>
  <si>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</si>
  <si>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</si>
  <si>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</si>
  <si>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</si>
  <si>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</si>
  <si>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</si>
  <si>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</si>
  <si>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</si>
  <si>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</si>
  <si>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</si>
  <si>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</si>
  <si>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</si>
  <si>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</si>
  <si>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</si>
  <si>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</si>
  <si>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</si>
  <si>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</si>
  <si>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</si>
  <si>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</si>
  <si>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</si>
  <si>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</si>
  <si>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</si>
  <si>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</si>
  <si>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</si>
  <si>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</si>
  <si>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</si>
  <si>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</si>
  <si>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</si>
  <si>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</si>
  <si>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</si>
  <si>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</si>
  <si>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</si>
  <si>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</si>
  <si>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</si>
  <si>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</si>
  <si>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</si>
  <si>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</si>
  <si>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</si>
  <si>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</si>
  <si>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</si>
  <si>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</si>
  <si>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</si>
  <si>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</si>
  <si>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</si>
  <si>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</si>
  <si>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</si>
  <si>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</si>
  <si>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</si>
  <si>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</si>
  <si>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</si>
  <si>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</si>
  <si>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</si>
  <si>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</si>
  <si>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</si>
  <si>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</si>
  <si>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</si>
  <si>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</si>
  <si>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</si>
  <si>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</si>
  <si>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</si>
  <si>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</si>
  <si>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</si>
  <si>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</si>
  <si>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</si>
  <si>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</si>
  <si>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</si>
  <si>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</si>
  <si>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</si>
  <si>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</si>
  <si>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</si>
  <si>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</si>
  <si>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</si>
  <si>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</si>
  <si>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</si>
  <si>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</si>
  <si>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</si>
  <si>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</si>
  <si>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</si>
  <si>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</si>
  <si>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</si>
  <si>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</si>
  <si>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</si>
  <si>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</si>
  <si>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</si>
  <si>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</si>
  <si>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</si>
  <si>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</si>
  <si>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</si>
  <si>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</si>
  <si>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</si>
  <si>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</si>
  <si>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</si>
  <si>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</si>
  <si>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</si>
  <si>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</si>
  <si>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</si>
  <si>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</si>
  <si>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</si>
  <si>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</si>
  <si>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</si>
  <si>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</si>
  <si>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</si>
  <si>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</si>
  <si>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</si>
  <si>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</si>
  <si>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</si>
  <si>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</si>
  <si>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</si>
  <si>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</si>
  <si>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</si>
  <si>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</si>
  <si>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</si>
  <si>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</si>
  <si>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</si>
  <si>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</si>
  <si>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</si>
  <si>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</si>
  <si>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</si>
  <si>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</si>
  <si>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</si>
  <si>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</si>
  <si>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</si>
  <si>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</si>
  <si>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</si>
  <si>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</si>
  <si>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</si>
  <si>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</si>
  <si>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</si>
  <si>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</si>
  <si>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</si>
  <si>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</si>
  <si>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</si>
  <si>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</si>
  <si>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</si>
  <si>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</si>
  <si>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</si>
  <si>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</si>
  <si>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</si>
  <si>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</si>
  <si>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</si>
  <si>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</si>
  <si>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</si>
  <si>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</si>
  <si>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</si>
  <si>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</si>
  <si>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</si>
  <si>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</si>
  <si>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</si>
  <si>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</si>
  <si>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</si>
  <si>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</si>
  <si>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</si>
  <si>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</si>
  <si>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</si>
  <si>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</si>
  <si>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</si>
  <si>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</si>
  <si>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</si>
  <si>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</si>
  <si>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</si>
  <si>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</si>
  <si>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</si>
  <si>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</si>
  <si>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</si>
  <si>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</si>
  <si>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</si>
  <si>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</si>
  <si>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</si>
  <si>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</si>
  <si>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</si>
  <si>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</si>
  <si>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</si>
  <si>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</si>
  <si>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</si>
  <si>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</si>
  <si>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</si>
  <si>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</si>
  <si>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</si>
  <si>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</si>
  <si>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</si>
  <si>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</si>
  <si>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</si>
  <si>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</si>
  <si>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</si>
  <si>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</si>
  <si>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</si>
  <si>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</si>
  <si>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</si>
  <si>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</si>
  <si>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</si>
  <si>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</si>
  <si>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</si>
  <si>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</si>
  <si>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</si>
  <si>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</si>
  <si>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</si>
  <si>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</si>
  <si>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</si>
  <si>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</si>
  <si>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</si>
  <si>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</si>
  <si>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</si>
  <si>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</si>
  <si>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</si>
  <si>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</si>
  <si>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</si>
  <si>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</si>
  <si>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</si>
  <si>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</si>
  <si>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</si>
  <si>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</si>
  <si>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</si>
  <si>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</si>
  <si>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</si>
  <si>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</si>
  <si>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</si>
  <si>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</si>
  <si>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</si>
  <si>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</si>
  <si>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</si>
  <si>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</si>
  <si>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</si>
  <si>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</si>
  <si>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</si>
  <si>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</si>
  <si>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</si>
  <si>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</si>
  <si>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</si>
  <si>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</si>
  <si>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</si>
  <si>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</si>
  <si>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</si>
  <si>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</si>
  <si>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</si>
  <si>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</si>
  <si>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</si>
  <si>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</si>
  <si>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</si>
  <si>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</si>
  <si>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</si>
  <si>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</si>
  <si>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</si>
  <si>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</si>
  <si>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</si>
  <si>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</si>
  <si>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</si>
  <si>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</si>
  <si>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</si>
  <si>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</si>
  <si>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</si>
  <si>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</si>
  <si>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</si>
  <si>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</si>
  <si>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</si>
  <si>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</si>
  <si>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</si>
  <si>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</si>
  <si>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</si>
  <si>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</si>
  <si>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</si>
  <si>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</si>
  <si>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</si>
  <si>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</si>
  <si>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</si>
  <si>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</si>
  <si>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</si>
  <si>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</si>
  <si>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</si>
  <si>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</si>
  <si>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</si>
  <si>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</si>
  <si>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</si>
  <si>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</si>
  <si>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</si>
  <si>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</si>
  <si>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</si>
  <si>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</si>
  <si>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</si>
  <si>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</si>
  <si>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</si>
  <si>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</si>
  <si>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</si>
  <si>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</si>
  <si>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</si>
  <si>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</si>
  <si>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</si>
  <si>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</si>
  <si>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</si>
  <si>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</si>
  <si>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</si>
  <si>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</si>
  <si>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</si>
  <si>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</si>
  <si>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</si>
  <si>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</si>
  <si>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</si>
  <si>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</si>
  <si>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</si>
  <si>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</si>
  <si>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</si>
  <si>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</si>
  <si>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</si>
  <si>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</si>
  <si>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</si>
  <si>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</si>
  <si>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</si>
  <si>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</si>
  <si>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</si>
  <si>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</si>
  <si>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</si>
  <si>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</si>
  <si>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</si>
  <si>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</si>
  <si>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</si>
  <si>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</si>
  <si>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</si>
  <si>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</si>
  <si>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</si>
  <si>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</si>
  <si>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</si>
  <si>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</si>
  <si>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</si>
  <si>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</si>
  <si>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</si>
  <si>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</si>
  <si>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</si>
  <si>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</si>
  <si>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</si>
  <si>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</si>
  <si>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</si>
  <si>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</si>
  <si>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</si>
  <si>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</si>
  <si>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</si>
  <si>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</si>
  <si>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</si>
  <si>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</si>
  <si>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</si>
  <si>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</si>
  <si>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</si>
  <si>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</si>
  <si>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</si>
  <si>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</si>
  <si>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</si>
  <si>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</si>
  <si>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</si>
  <si>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</si>
  <si>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</si>
  <si>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</si>
  <si>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</si>
  <si>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</si>
  <si>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</si>
  <si>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</si>
  <si>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</si>
  <si>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</si>
  <si>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</si>
  <si>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</si>
  <si>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</si>
  <si>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</si>
  <si>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</si>
  <si>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</si>
  <si>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</si>
  <si>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</si>
  <si>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</si>
  <si>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</si>
  <si>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</si>
  <si>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</si>
  <si>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</si>
  <si>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</si>
  <si>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</si>
  <si>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</si>
  <si>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</si>
  <si>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</si>
  <si>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</si>
  <si>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</si>
  <si>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</si>
  <si>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</si>
  <si>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</si>
  <si>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</si>
  <si>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</si>
  <si>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</si>
  <si>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</si>
  <si>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</si>
  <si>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</si>
  <si>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</si>
  <si>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</si>
  <si>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</si>
  <si>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</si>
  <si>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</si>
  <si>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</si>
  <si>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</si>
  <si>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</si>
  <si>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</si>
  <si>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</si>
  <si>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</si>
  <si>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</si>
  <si>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</si>
  <si>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</si>
  <si>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</si>
  <si>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</si>
  <si>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</si>
  <si>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</si>
  <si>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</si>
  <si>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</si>
  <si>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</si>
  <si>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</si>
  <si>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</si>
  <si>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</si>
  <si>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</si>
  <si>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</si>
  <si>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</si>
  <si>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</si>
  <si>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</si>
  <si>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</si>
  <si>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</si>
  <si>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</si>
  <si>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</si>
  <si>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</si>
  <si>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</si>
  <si>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</si>
  <si>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</si>
  <si>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</si>
  <si>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</si>
  <si>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</si>
  <si>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</si>
  <si>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</si>
  <si>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</si>
  <si>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</si>
  <si>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</si>
  <si>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</si>
  <si>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</si>
  <si>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</si>
  <si>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</si>
  <si>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</si>
  <si>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</si>
  <si>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</si>
  <si>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</si>
  <si>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</si>
  <si>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</si>
  <si>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</si>
  <si>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</si>
  <si>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</si>
  <si>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</si>
  <si>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</si>
  <si>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</si>
  <si>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</si>
  <si>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</si>
  <si>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</si>
  <si>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</si>
  <si>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</si>
  <si>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</si>
  <si>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</si>
  <si>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</si>
  <si>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</si>
  <si>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</si>
  <si>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</si>
  <si>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</si>
  <si>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</si>
  <si>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</si>
  <si>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</si>
  <si>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</si>
  <si>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</si>
  <si>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</si>
  <si>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</si>
  <si>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</si>
  <si>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</si>
  <si>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</si>
  <si>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</si>
  <si>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</si>
  <si>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</si>
  <si>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</si>
  <si>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</si>
  <si>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</si>
  <si>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</si>
  <si>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</si>
  <si>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</si>
  <si>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</si>
  <si>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</si>
  <si>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</si>
  <si>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</si>
  <si>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</si>
  <si>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</si>
  <si>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</si>
  <si>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</si>
  <si>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</si>
  <si>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</si>
  <si>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</si>
  <si>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</si>
  <si>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</si>
  <si>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</si>
  <si>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</si>
  <si>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</si>
  <si>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</si>
  <si>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</si>
  <si>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</si>
  <si>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</si>
  <si>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</si>
  <si>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</si>
  <si>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</si>
  <si>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</si>
  <si>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</si>
  <si>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</si>
  <si>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</si>
  <si>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</si>
  <si>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</si>
  <si>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</si>
  <si>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</si>
  <si>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</si>
  <si>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</si>
  <si>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</si>
  <si>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</si>
  <si>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</si>
  <si>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</si>
  <si>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</si>
  <si>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</si>
  <si>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</si>
  <si>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</si>
  <si>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</si>
  <si>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</si>
  <si>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</si>
  <si>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</si>
  <si>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</si>
  <si>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</si>
  <si>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</si>
  <si>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</si>
  <si>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</si>
  <si>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</si>
  <si>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</si>
  <si>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</si>
  <si>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</si>
  <si>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</si>
  <si>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</si>
  <si>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</si>
  <si>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</si>
  <si>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</si>
  <si>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</si>
  <si>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</si>
  <si>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</si>
  <si>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</si>
  <si>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</si>
  <si>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</si>
  <si>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</si>
  <si>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</si>
  <si>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</si>
  <si>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</si>
  <si>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</si>
  <si>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</si>
  <si>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</si>
  <si>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</si>
  <si>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</si>
  <si>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</si>
  <si>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</si>
  <si>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</si>
  <si>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</si>
  <si>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</si>
  <si>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</si>
  <si>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</si>
  <si>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</si>
  <si>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</si>
  <si>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</si>
  <si>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</si>
  <si>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</si>
  <si>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</si>
  <si>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</si>
  <si>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</si>
  <si>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</si>
  <si>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</si>
  <si>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</si>
  <si>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</si>
  <si>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</si>
  <si>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</si>
  <si>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</si>
  <si>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</si>
  <si>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</si>
  <si>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</si>
  <si>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</si>
  <si>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</si>
  <si>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</si>
  <si>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</si>
  <si>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</si>
  <si>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</si>
  <si>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</si>
  <si>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</si>
  <si>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</si>
  <si>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</si>
  <si>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</si>
  <si>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</si>
  <si>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</si>
  <si>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</si>
  <si>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</si>
  <si>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</si>
  <si>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</si>
  <si>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</si>
  <si>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</si>
  <si>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</si>
  <si>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</si>
  <si>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</si>
  <si>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</si>
  <si>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</si>
  <si>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</si>
  <si>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</si>
  <si>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</si>
  <si>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</si>
  <si>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</si>
  <si>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</si>
  <si>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</si>
  <si>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</si>
  <si>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</si>
  <si>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</si>
  <si>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</si>
  <si>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</si>
  <si>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</si>
  <si>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</si>
  <si>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</si>
  <si>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</si>
  <si>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</si>
  <si>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</si>
  <si>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</si>
  <si>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</si>
  <si>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</si>
  <si>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</si>
  <si>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</si>
  <si>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</si>
  <si>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</si>
  <si>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</si>
  <si>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</si>
  <si>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</si>
  <si>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</si>
  <si>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</si>
  <si>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</si>
  <si>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</si>
  <si>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</si>
  <si>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</si>
  <si>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</si>
  <si>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</si>
  <si>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</si>
  <si>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</si>
  <si>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</si>
  <si>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</si>
  <si>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</si>
  <si>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</si>
  <si>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</si>
  <si>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</si>
  <si>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</si>
  <si>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</si>
  <si>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</si>
  <si>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</si>
  <si>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</si>
  <si>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</si>
  <si>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</si>
  <si>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</si>
  <si>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</si>
  <si>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</si>
  <si>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</si>
  <si>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</si>
  <si>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</si>
  <si>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</si>
  <si>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</si>
  <si>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</si>
  <si>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</si>
  <si>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</si>
  <si>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</si>
  <si>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</si>
  <si>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</si>
  <si>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</si>
  <si>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</si>
  <si>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</si>
  <si>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</si>
  <si>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</si>
  <si>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</si>
  <si>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</si>
  <si>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</si>
  <si>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</si>
  <si>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</si>
  <si>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</si>
  <si>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</si>
  <si>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</si>
  <si>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</si>
  <si>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</si>
  <si>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</si>
  <si>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</si>
  <si>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</si>
  <si>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</si>
  <si>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</si>
  <si>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</si>
  <si>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</si>
  <si>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</si>
  <si>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</si>
  <si>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</si>
  <si>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</si>
  <si>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</si>
  <si>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</si>
  <si>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</si>
  <si>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</si>
  <si>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</si>
  <si>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</si>
  <si>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</si>
  <si>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</si>
  <si>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</si>
  <si>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</si>
  <si>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</si>
  <si>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</si>
  <si>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</si>
  <si>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</si>
  <si>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</si>
  <si>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</si>
  <si>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</si>
  <si>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</si>
  <si>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</si>
  <si>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</si>
  <si>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</si>
  <si>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</si>
  <si>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</si>
  <si>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</si>
  <si>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</si>
  <si>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</si>
  <si>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</si>
  <si>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</si>
  <si>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</si>
  <si>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</si>
  <si>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</si>
  <si>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</si>
  <si>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</si>
  <si>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</si>
  <si>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</si>
  <si>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</si>
  <si>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</si>
  <si>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</si>
  <si>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</si>
  <si>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</si>
  <si>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</si>
  <si>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</si>
  <si>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</si>
  <si>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</si>
  <si>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</si>
  <si>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</si>
  <si>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</si>
  <si>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</si>
  <si>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</si>
  <si>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</si>
  <si>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</si>
  <si>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</si>
  <si>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</si>
  <si>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</si>
  <si>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</si>
  <si>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</si>
  <si>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</si>
  <si>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</si>
  <si>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</si>
  <si>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</si>
  <si>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</si>
  <si>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</si>
  <si>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</si>
  <si>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</si>
  <si>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</si>
  <si>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</si>
  <si>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</si>
  <si>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</si>
  <si>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</si>
  <si>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</si>
  <si>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</si>
  <si>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</si>
  <si>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</si>
  <si>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</si>
  <si>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</si>
  <si>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</si>
  <si>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</si>
  <si>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</si>
  <si>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</si>
  <si>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</si>
  <si>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</si>
  <si>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</si>
  <si>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</si>
  <si>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</si>
  <si>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</si>
  <si>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</si>
  <si>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</si>
  <si>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</si>
  <si>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</si>
  <si>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</si>
  <si>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</si>
  <si>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</si>
  <si>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</si>
  <si>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</si>
  <si>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</si>
  <si>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</si>
  <si>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</si>
  <si>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</si>
  <si>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</si>
  <si>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</si>
  <si>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</si>
  <si>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</si>
  <si>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</si>
  <si>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</si>
  <si>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</si>
  <si>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</si>
  <si>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</si>
  <si>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</si>
  <si>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</si>
  <si>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</si>
  <si>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</si>
  <si>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</si>
  <si>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</si>
  <si>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</si>
  <si>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</si>
  <si>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</si>
  <si>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</si>
  <si>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</si>
  <si>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</si>
  <si>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</si>
  <si>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</si>
  <si>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</si>
  <si>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</si>
  <si>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</si>
  <si>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</si>
  <si>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</si>
  <si>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</si>
  <si>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</si>
  <si>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</si>
  <si>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</si>
  <si>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</si>
  <si>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</si>
  <si>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</si>
  <si>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</si>
  <si>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</si>
  <si>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</si>
  <si>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</si>
  <si>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</si>
  <si>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</si>
  <si>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</si>
  <si>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</si>
  <si>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</si>
  <si>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</si>
  <si>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</si>
  <si>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</si>
  <si>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</si>
  <si>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</si>
  <si>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</si>
  <si>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</si>
  <si>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</si>
  <si>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</si>
  <si>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</si>
  <si>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</si>
  <si>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</si>
  <si>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</si>
  <si>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</si>
  <si>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</si>
  <si>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</si>
  <si>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</si>
  <si>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</si>
  <si>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</si>
  <si>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</si>
  <si>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</si>
  <si>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</si>
  <si>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</si>
  <si>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</si>
  <si>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</si>
  <si>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</si>
  <si>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</si>
  <si>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</si>
  <si>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</si>
  <si>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</si>
  <si>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</si>
  <si>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</si>
  <si>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</si>
  <si>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</si>
  <si>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</si>
  <si>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</si>
  <si>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</si>
  <si>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</si>
  <si>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</si>
  <si>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</si>
  <si>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</si>
  <si>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</si>
  <si>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</si>
  <si>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</si>
  <si>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</si>
  <si>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</si>
  <si>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</si>
  <si>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</si>
  <si>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</si>
  <si>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</si>
  <si>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</si>
  <si>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</si>
  <si>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</si>
  <si>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</si>
  <si>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</si>
  <si>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</si>
  <si>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</si>
  <si>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</si>
  <si>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</si>
  <si>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</si>
  <si>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</si>
  <si>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</si>
  <si>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</si>
  <si>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</si>
  <si>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</si>
  <si>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</si>
  <si>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</si>
  <si>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</si>
  <si>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</si>
  <si>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</si>
  <si>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</si>
  <si>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</si>
  <si>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</si>
  <si>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</si>
  <si>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</si>
  <si>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</si>
  <si>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</si>
  <si>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</si>
  <si>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</si>
  <si>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</si>
  <si>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</si>
  <si>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</si>
  <si>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</si>
  <si>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</si>
  <si>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</si>
  <si>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</si>
  <si>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</si>
  <si>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</si>
  <si>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</si>
  <si>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</si>
  <si>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</si>
  <si>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</si>
  <si>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</si>
  <si>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</si>
  <si>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</si>
  <si>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</si>
  <si>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</si>
  <si>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</si>
  <si>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</si>
  <si>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</si>
  <si>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</si>
  <si>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</si>
  <si>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</si>
  <si>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</si>
  <si>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</si>
  <si>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</si>
  <si>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</si>
  <si>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</si>
  <si>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</si>
  <si>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</si>
  <si>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</si>
  <si>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</si>
  <si>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</si>
  <si>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</si>
  <si>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</si>
  <si>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</si>
  <si>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</si>
  <si>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</si>
  <si>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</si>
  <si>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</si>
  <si>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</si>
  <si>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</si>
  <si>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</si>
  <si>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</si>
  <si>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</si>
  <si>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</si>
  <si>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</si>
  <si>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</si>
  <si>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</si>
  <si>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</si>
  <si>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</si>
  <si>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</si>
  <si>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</si>
  <si>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</si>
  <si>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</si>
  <si>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</si>
  <si>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</si>
  <si>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</si>
  <si>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</si>
  <si>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</si>
  <si>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</si>
  <si>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</si>
  <si>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</si>
  <si>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</si>
  <si>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</si>
  <si>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</si>
  <si>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</si>
  <si>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</si>
  <si>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</si>
  <si>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</si>
  <si>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</si>
  <si>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</si>
  <si>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</si>
  <si>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</si>
  <si>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</si>
  <si>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</si>
  <si>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</si>
  <si>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</si>
  <si>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</si>
  <si>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</si>
  <si>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</si>
  <si>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</si>
  <si>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</si>
  <si>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</si>
  <si>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</si>
  <si>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</si>
  <si>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</si>
  <si>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</si>
  <si>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</si>
  <si>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</si>
  <si>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</si>
  <si>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</si>
  <si>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</si>
  <si>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</si>
  <si>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</si>
  <si>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</si>
  <si>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</si>
  <si>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</si>
  <si>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</si>
  <si>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</si>
  <si>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</si>
  <si>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</si>
  <si>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</si>
  <si>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</si>
  <si>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</si>
  <si>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</si>
  <si>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</si>
  <si>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</si>
  <si>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</si>
  <si>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</si>
  <si>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</si>
  <si>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</si>
  <si>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</si>
  <si>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</si>
  <si>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</si>
  <si>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</si>
  <si>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</si>
  <si>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</si>
  <si>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</si>
  <si>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</si>
  <si>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</si>
  <si>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</si>
  <si>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</si>
  <si>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</si>
  <si>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</si>
  <si>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</si>
  <si>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</si>
  <si>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</si>
  <si>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</si>
  <si>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</si>
  <si>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</si>
  <si>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</si>
  <si>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</si>
  <si>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</si>
  <si>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</si>
  <si>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</si>
  <si>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</si>
  <si>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</si>
  <si>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</si>
  <si>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</si>
  <si>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</si>
  <si>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</si>
  <si>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</si>
  <si>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</si>
  <si>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</si>
  <si>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</si>
  <si>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</si>
  <si>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</si>
  <si>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</si>
  <si>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</si>
  <si>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</si>
  <si>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</si>
  <si>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</si>
  <si>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</si>
  <si>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</si>
  <si>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</si>
  <si>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</si>
  <si>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</si>
  <si>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</si>
  <si>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</si>
  <si>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</si>
  <si>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</si>
  <si>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</si>
  <si>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</si>
  <si>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</si>
  <si>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</si>
  <si>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</si>
  <si>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</si>
  <si>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</si>
  <si>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</si>
  <si>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</si>
  <si>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</si>
  <si>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</si>
  <si>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</si>
  <si>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</si>
  <si>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</si>
  <si>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</si>
  <si>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</si>
  <si>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</si>
  <si>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</si>
  <si>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</si>
  <si>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</si>
  <si>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</si>
  <si>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</si>
  <si>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</si>
  <si>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</si>
  <si>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</si>
  <si>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</si>
  <si>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</si>
  <si>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</si>
  <si>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</si>
  <si>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</si>
  <si>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</si>
  <si>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</si>
  <si>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</si>
  <si>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</si>
  <si>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</si>
  <si>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</si>
  <si>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</si>
  <si>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</si>
  <si>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</si>
  <si>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</si>
  <si>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</si>
  <si>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</si>
  <si>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</si>
  <si>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</si>
  <si>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</si>
  <si>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</si>
  <si>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</si>
  <si>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</si>
  <si>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</si>
  <si>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</si>
  <si>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</si>
  <si>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</si>
  <si>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</si>
  <si>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</si>
  <si>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</si>
  <si>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</si>
  <si>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</si>
  <si>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</si>
  <si>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</si>
  <si>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</si>
  <si>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</si>
  <si>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</si>
  <si>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</si>
  <si>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</si>
  <si>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</si>
  <si>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</si>
  <si>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</si>
  <si>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</si>
  <si>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</si>
  <si>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</si>
  <si>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</si>
  <si>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</si>
  <si>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</si>
  <si>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</si>
  <si>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</si>
  <si>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</si>
  <si>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</si>
  <si>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</si>
  <si>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</si>
  <si>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</si>
  <si>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</si>
  <si>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</si>
  <si>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</si>
  <si>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</si>
  <si>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</si>
  <si>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</si>
  <si>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</si>
  <si>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</si>
  <si>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</si>
  <si>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</si>
  <si>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</si>
  <si>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</si>
  <si>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</si>
  <si>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</si>
  <si>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</si>
  <si>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</si>
  <si>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</si>
  <si>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</si>
  <si>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</si>
  <si>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</si>
  <si>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</si>
  <si>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</si>
  <si>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</si>
  <si>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</si>
  <si>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</si>
  <si>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</si>
  <si>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</si>
  <si>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</si>
  <si>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</si>
  <si>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</si>
  <si>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</si>
  <si>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</si>
  <si>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</si>
  <si>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</si>
  <si>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</si>
  <si>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</si>
  <si>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</si>
  <si>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</si>
  <si>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</si>
  <si>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</si>
  <si>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</si>
  <si>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</si>
  <si>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</si>
  <si>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</si>
  <si>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</si>
  <si>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</si>
  <si>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</si>
  <si>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</si>
  <si>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</si>
  <si>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</si>
  <si>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</si>
  <si>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</si>
  <si>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</si>
  <si>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</si>
  <si>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</si>
  <si>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</si>
  <si>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</si>
  <si>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</si>
  <si>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</si>
  <si>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</si>
  <si>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</si>
  <si>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</si>
  <si>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</si>
  <si>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</si>
  <si>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</si>
  <si>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</si>
  <si>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</si>
  <si>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</si>
  <si>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</si>
  <si>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</si>
  <si>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</si>
  <si>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</si>
  <si>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</si>
  <si>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</si>
  <si>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</si>
  <si>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</si>
  <si>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</si>
  <si>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</si>
  <si>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</si>
  <si>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</si>
  <si>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</si>
  <si>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</si>
  <si>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</si>
  <si>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</si>
  <si>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</si>
  <si>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</si>
  <si>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</si>
  <si>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</si>
  <si>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</si>
  <si>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</si>
  <si>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</si>
  <si>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</si>
  <si>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</si>
  <si>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</si>
  <si>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</si>
  <si>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</si>
  <si>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</si>
  <si>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</si>
  <si>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</si>
  <si>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</si>
  <si>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</si>
  <si>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</si>
  <si>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</si>
  <si>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</si>
  <si>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</si>
  <si>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</si>
  <si>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</si>
  <si>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</si>
  <si>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</si>
  <si>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</si>
  <si>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</si>
  <si>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</si>
  <si>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</si>
  <si>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</si>
  <si>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</si>
  <si>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</si>
  <si>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</si>
  <si>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</si>
  <si>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</si>
  <si>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</si>
  <si>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</si>
  <si>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</si>
  <si>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</si>
  <si>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</si>
  <si>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</si>
  <si>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</si>
  <si>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</si>
  <si>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</si>
  <si>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</si>
  <si>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</si>
  <si>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</si>
  <si>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</si>
  <si>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</si>
  <si>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</si>
  <si>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</si>
  <si>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</si>
  <si>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</si>
  <si>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</si>
  <si>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</si>
  <si>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</si>
  <si>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</si>
  <si>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</si>
  <si>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</si>
  <si>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</si>
  <si>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</si>
  <si>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</si>
  <si>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</si>
  <si>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</si>
  <si>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</si>
  <si>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</si>
  <si>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</si>
  <si>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</si>
  <si>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</si>
  <si>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</si>
  <si>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</si>
  <si>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</si>
  <si>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</si>
  <si>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</si>
  <si>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</si>
  <si>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</si>
  <si>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</si>
  <si>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</si>
  <si>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</si>
  <si>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</si>
  <si>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</si>
  <si>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</si>
  <si>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</si>
  <si>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</si>
  <si>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</si>
  <si>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</si>
  <si>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</si>
  <si>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</si>
  <si>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</si>
  <si>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</si>
  <si>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</si>
  <si>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</si>
  <si>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</si>
  <si>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</si>
  <si>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</si>
  <si>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</si>
  <si>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</si>
  <si>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</si>
  <si>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</si>
  <si>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</si>
  <si>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</si>
  <si>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</si>
  <si>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</si>
  <si>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</si>
  <si>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</si>
  <si>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</si>
  <si>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</si>
  <si>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</si>
  <si>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</si>
  <si>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</si>
  <si>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</si>
  <si>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</si>
  <si>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</si>
  <si>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</si>
  <si>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</si>
  <si>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</si>
  <si>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</si>
  <si>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</si>
  <si>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</si>
  <si>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</si>
  <si>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</si>
  <si>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</si>
  <si>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</si>
  <si>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</si>
  <si>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</si>
  <si>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</si>
  <si>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</si>
  <si>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</si>
  <si>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</si>
  <si>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</si>
  <si>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</si>
  <si>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</si>
  <si>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</si>
  <si>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</si>
  <si>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</si>
  <si>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</si>
  <si>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</si>
  <si>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</si>
  <si>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</si>
  <si>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</si>
  <si>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</si>
  <si>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</si>
  <si>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</si>
  <si>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</si>
  <si>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</si>
  <si>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</si>
  <si>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</si>
  <si>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</si>
  <si>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</si>
  <si>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</si>
  <si>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</si>
  <si>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</si>
  <si>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</si>
  <si>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</si>
  <si>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</si>
  <si>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</si>
  <si>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</si>
  <si>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</si>
  <si>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</si>
  <si>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</si>
  <si>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</si>
  <si>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</si>
  <si>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</si>
  <si>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</si>
  <si>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</si>
  <si>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</si>
  <si>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</si>
  <si>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</si>
  <si>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</si>
  <si>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</si>
  <si>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</si>
  <si>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</si>
  <si>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</si>
  <si>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</si>
  <si>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</si>
  <si>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</si>
  <si>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</si>
  <si>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</si>
  <si>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</si>
  <si>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</si>
  <si>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</si>
  <si>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</si>
  <si>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</si>
  <si>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</si>
  <si>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</si>
  <si>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</si>
  <si>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</si>
  <si>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</si>
  <si>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</si>
  <si>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</si>
  <si>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</si>
  <si>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</si>
  <si>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</si>
  <si>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</si>
  <si>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</si>
  <si>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</si>
  <si>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</si>
  <si>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</si>
  <si>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</si>
  <si>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</si>
  <si>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</si>
  <si>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</si>
  <si>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</si>
  <si>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</si>
  <si>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</si>
  <si>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</si>
  <si>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</si>
  <si>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</si>
  <si>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</si>
  <si>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</si>
  <si>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</si>
  <si>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</si>
  <si>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</si>
  <si>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</si>
  <si>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</si>
  <si>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</si>
  <si>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</si>
  <si>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</si>
  <si>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</si>
  <si>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</si>
  <si>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</si>
  <si>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</si>
  <si>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</si>
  <si>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</si>
  <si>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</si>
  <si>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</si>
  <si>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</si>
  <si>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</si>
  <si>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</si>
  <si>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</si>
  <si>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</si>
  <si>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</si>
  <si>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</si>
  <si>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</si>
  <si>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</si>
  <si>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</si>
  <si>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</si>
  <si>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</si>
  <si>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</si>
  <si>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</si>
  <si>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</si>
  <si>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</si>
  <si>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</si>
  <si>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</si>
  <si>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</si>
  <si>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</si>
  <si>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</si>
  <si>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</si>
  <si>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</si>
  <si>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</si>
  <si>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</si>
  <si>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</si>
  <si>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</si>
  <si>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</si>
  <si>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</si>
  <si>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</si>
  <si>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</si>
  <si>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</si>
  <si>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</si>
  <si>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</si>
  <si>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</si>
  <si>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</si>
  <si>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</si>
  <si>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</si>
  <si>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</si>
  <si>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</si>
  <si>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</si>
  <si>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</si>
  <si>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</si>
  <si>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</si>
  <si>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</si>
  <si>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</si>
  <si>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</si>
  <si>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</si>
  <si>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</si>
  <si>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</si>
  <si>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</si>
  <si>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</si>
  <si>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</si>
  <si>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</si>
  <si>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</si>
  <si>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</si>
  <si>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</si>
  <si>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</si>
  <si>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</si>
  <si>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</si>
  <si>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</si>
  <si>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</si>
  <si>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</si>
  <si>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</si>
  <si>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</si>
  <si>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</si>
  <si>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</si>
  <si>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</si>
  <si>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</si>
  <si>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</si>
  <si>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</si>
  <si>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</si>
  <si>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</si>
  <si>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</si>
  <si>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</si>
  <si>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</si>
  <si>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</si>
  <si>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</si>
  <si>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</si>
  <si>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</si>
  <si>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</si>
  <si>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</si>
  <si>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</si>
  <si>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</si>
  <si>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</si>
  <si>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</si>
  <si>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</si>
  <si>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</si>
  <si>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</si>
  <si>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</si>
  <si>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</si>
  <si>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</si>
  <si>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</si>
  <si>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</si>
  <si>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</si>
  <si>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</si>
  <si>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</si>
  <si>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</si>
  <si>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</si>
  <si>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</si>
  <si>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</si>
  <si>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</si>
  <si>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</si>
  <si>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</si>
  <si>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</si>
  <si>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</si>
  <si>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</si>
  <si>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</si>
  <si>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</si>
  <si>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</si>
  <si>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</si>
  <si>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</si>
  <si>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</si>
  <si>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</si>
  <si>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</si>
  <si>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</si>
  <si>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</si>
  <si>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</si>
  <si>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</si>
  <si>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</si>
  <si>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</si>
  <si>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</si>
  <si>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</si>
  <si>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</si>
  <si>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</si>
  <si>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</si>
  <si>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</si>
  <si>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</si>
  <si>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</si>
  <si>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</si>
  <si>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</si>
  <si>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</si>
  <si>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</si>
  <si>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</si>
  <si>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</si>
  <si>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</si>
  <si>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</si>
  <si>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</si>
  <si>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</si>
  <si>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</si>
  <si>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</si>
  <si>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</si>
  <si>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</si>
  <si>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</si>
  <si>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</si>
  <si>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</si>
  <si>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</si>
  <si>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</si>
  <si>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</si>
  <si>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</si>
  <si>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</si>
  <si>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</si>
  <si>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</si>
  <si>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</si>
  <si>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</si>
  <si>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</si>
  <si>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</si>
  <si>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</si>
  <si>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</si>
  <si>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</si>
  <si>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</si>
  <si>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</si>
  <si>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</si>
  <si>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</si>
  <si>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</si>
  <si>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</si>
  <si>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</si>
  <si>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</si>
  <si>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</si>
  <si>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</si>
  <si>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</si>
  <si>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</si>
  <si>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</si>
  <si>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</si>
  <si>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</si>
  <si>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</si>
  <si>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</si>
  <si>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</si>
  <si>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</si>
  <si>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</si>
  <si>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</si>
  <si>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</si>
  <si>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</si>
  <si>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</si>
  <si>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</si>
  <si>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</si>
  <si>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</si>
  <si>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</si>
  <si>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</si>
  <si>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</si>
  <si>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</si>
  <si>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</si>
  <si>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</si>
  <si>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</si>
  <si>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</si>
  <si>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</si>
  <si>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</si>
  <si>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</si>
  <si>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</si>
  <si>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</si>
  <si>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</si>
  <si>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</si>
  <si>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</si>
  <si>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</si>
  <si>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</si>
  <si>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</si>
  <si>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</si>
  <si>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</si>
  <si>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</si>
  <si>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</si>
  <si>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</si>
  <si>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</si>
  <si>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</si>
  <si>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</si>
  <si>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</si>
  <si>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</si>
  <si>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</si>
  <si>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</si>
  <si>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</si>
  <si>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</si>
  <si>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</si>
  <si>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</si>
  <si>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</si>
  <si>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</si>
  <si>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</si>
  <si>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</si>
  <si>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</si>
  <si>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</si>
  <si>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</si>
  <si>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</si>
  <si>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</si>
  <si>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</si>
  <si>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</si>
  <si>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</si>
  <si>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</si>
  <si>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</si>
  <si>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</si>
  <si>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</si>
  <si>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</si>
  <si>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</si>
  <si>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</si>
  <si>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</si>
  <si>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</si>
  <si>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</si>
  <si>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</si>
  <si>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</si>
  <si>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</si>
  <si>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</si>
  <si>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</si>
  <si>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</si>
  <si>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</si>
  <si>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</si>
  <si>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</si>
  <si>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</si>
  <si>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</si>
  <si>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</si>
  <si>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</si>
  <si>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</si>
  <si>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</si>
  <si>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</si>
  <si>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</si>
  <si>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</si>
  <si>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</si>
  <si>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</si>
  <si>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</si>
  <si>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</si>
  <si>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</si>
  <si>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</si>
  <si>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</si>
  <si>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</si>
  <si>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</si>
  <si>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</si>
  <si>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</si>
  <si>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</si>
  <si>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</si>
  <si>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</si>
  <si>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</si>
  <si>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</si>
  <si>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</si>
  <si>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</si>
  <si>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</si>
  <si>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</si>
  <si>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</si>
  <si>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</si>
  <si>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</si>
  <si>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</si>
  <si>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</si>
  <si>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</si>
  <si>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</si>
  <si>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</si>
  <si>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</si>
  <si>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</si>
  <si>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</si>
  <si>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</si>
  <si>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</si>
  <si>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</si>
  <si>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</si>
  <si>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</si>
  <si>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</si>
  <si>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</si>
  <si>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</si>
  <si>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</si>
  <si>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</si>
  <si>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</si>
  <si>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</si>
  <si>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</si>
  <si>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</si>
  <si>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</si>
  <si>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</si>
  <si>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</si>
  <si>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</si>
  <si>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</si>
  <si>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</si>
  <si>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</si>
  <si>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</si>
  <si>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</si>
  <si>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</si>
  <si>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</si>
  <si>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</si>
  <si>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</si>
  <si>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</si>
  <si>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</si>
  <si>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</si>
  <si>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</si>
  <si>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</si>
  <si>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</si>
  <si>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</si>
  <si>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</si>
  <si>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</si>
  <si>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</si>
  <si>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</si>
  <si>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</si>
  <si>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</si>
  <si>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</si>
  <si>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</si>
  <si>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</si>
  <si>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</si>
  <si>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</si>
  <si>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</si>
  <si>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</si>
  <si>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</si>
  <si>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</si>
  <si>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</si>
  <si>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</si>
  <si>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</si>
  <si>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</si>
  <si>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</si>
  <si>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</si>
  <si>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</si>
  <si>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</si>
  <si>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</si>
  <si>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</si>
  <si>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</si>
  <si>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</si>
  <si>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</si>
  <si>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</si>
  <si>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</si>
  <si>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</si>
  <si>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</si>
  <si>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</si>
  <si>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</si>
  <si>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</si>
  <si>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</si>
  <si>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</si>
  <si>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</si>
  <si>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</si>
  <si>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</si>
  <si>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</si>
  <si>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</si>
  <si>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</si>
  <si>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</si>
  <si>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</si>
  <si>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</si>
  <si>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</si>
  <si>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</si>
  <si>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</si>
  <si>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</si>
  <si>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</si>
  <si>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</si>
  <si>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</si>
  <si>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</si>
  <si>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</si>
  <si>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</si>
  <si>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</si>
  <si>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</si>
  <si>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</si>
  <si>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</si>
  <si>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</si>
  <si>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</si>
  <si>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</si>
  <si>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</si>
  <si>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</si>
  <si>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</si>
  <si>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</si>
  <si>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</si>
  <si>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</si>
  <si>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</si>
  <si>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</si>
  <si>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</si>
  <si>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</si>
  <si>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</si>
  <si>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</si>
  <si>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</si>
  <si>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</si>
  <si>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</si>
  <si>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</si>
  <si>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</si>
  <si>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</si>
  <si>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</si>
  <si>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</si>
  <si>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</si>
  <si>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</si>
  <si>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</si>
  <si>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</si>
  <si>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</si>
  <si>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</si>
  <si>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</si>
  <si>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</si>
  <si>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</si>
  <si>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</si>
  <si>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</si>
  <si>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</si>
  <si>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</si>
  <si>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</si>
  <si>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</si>
  <si>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</si>
  <si>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</si>
  <si>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</si>
  <si>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</si>
  <si>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</si>
  <si>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</si>
  <si>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</si>
  <si>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</si>
  <si>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</si>
  <si>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</si>
  <si>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</si>
  <si>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</si>
  <si>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</si>
  <si>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</si>
  <si>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</si>
  <si>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</si>
  <si>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</si>
  <si>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</si>
  <si>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</si>
  <si>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</si>
  <si>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</si>
  <si>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</si>
  <si>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</si>
  <si>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</si>
  <si>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</si>
  <si>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</si>
  <si>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</si>
  <si>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</si>
  <si>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</si>
  <si>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</si>
  <si>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</si>
  <si>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</si>
  <si>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</si>
  <si>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</si>
  <si>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</si>
  <si>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</si>
  <si>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</si>
  <si>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</si>
  <si>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</si>
  <si>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</si>
  <si>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</si>
  <si>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</si>
  <si>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</si>
  <si>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</si>
  <si>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</si>
  <si>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</si>
  <si>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</si>
  <si>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</si>
  <si>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</si>
  <si>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</si>
  <si>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</si>
  <si>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</si>
  <si>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</si>
  <si>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</si>
  <si>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</si>
  <si>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</si>
  <si>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</si>
  <si>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</si>
  <si>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</si>
  <si>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</si>
  <si>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</si>
  <si>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</si>
  <si>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</si>
  <si>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</si>
  <si>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</si>
  <si>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</si>
  <si>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</si>
  <si>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</si>
  <si>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</si>
  <si>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</si>
  <si>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</si>
  <si>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</si>
  <si>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</si>
  <si>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</si>
  <si>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</si>
  <si>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</si>
  <si>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</si>
  <si>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</si>
  <si>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</si>
  <si>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</si>
  <si>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</si>
  <si>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</si>
  <si>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</si>
  <si>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</si>
  <si>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</si>
  <si>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</si>
  <si>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</si>
  <si>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</si>
  <si>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</si>
  <si>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</si>
  <si>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</si>
  <si>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</si>
  <si>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</si>
  <si>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</si>
  <si>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</si>
  <si>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</si>
  <si>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</si>
  <si>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</si>
  <si>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</si>
  <si>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</si>
  <si>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</si>
  <si>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</si>
  <si>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</si>
  <si>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</si>
  <si>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</si>
  <si>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</si>
  <si>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</si>
  <si>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</si>
  <si>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</si>
  <si>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</si>
  <si>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</si>
  <si>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</si>
  <si>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</si>
  <si>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</si>
  <si>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</si>
  <si>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</si>
  <si>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</si>
  <si>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</si>
  <si>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</si>
  <si>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</si>
  <si>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</si>
  <si>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</si>
  <si>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</si>
  <si>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</si>
  <si>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</si>
  <si>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</si>
  <si>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</si>
  <si>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</si>
  <si>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</si>
  <si>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</si>
  <si>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</si>
  <si>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</si>
  <si>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</si>
  <si>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</si>
  <si>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</si>
  <si>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</si>
  <si>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</si>
  <si>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</si>
  <si>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</si>
  <si>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</si>
  <si>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</si>
  <si>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</si>
  <si>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</si>
  <si>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</si>
  <si>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</si>
  <si>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</si>
  <si>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</si>
  <si>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</si>
  <si>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</si>
  <si>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</si>
  <si>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</si>
  <si>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</si>
  <si>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</si>
  <si>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</si>
  <si>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</si>
  <si>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</si>
  <si>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</si>
  <si>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</si>
  <si>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</si>
  <si>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</si>
  <si>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</si>
  <si>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</si>
  <si>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</si>
  <si>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</si>
  <si>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</si>
  <si>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</si>
  <si>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</si>
  <si>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</si>
  <si>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</si>
  <si>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</si>
  <si>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</si>
  <si>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</si>
  <si>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</si>
  <si>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</si>
  <si>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</si>
  <si>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</si>
  <si>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</si>
  <si>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</si>
  <si>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</si>
  <si>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</si>
  <si>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</si>
  <si>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</si>
  <si>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</si>
  <si>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</si>
  <si>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</si>
  <si>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</si>
  <si>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</si>
  <si>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</si>
  <si>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</si>
  <si>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</si>
  <si>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</si>
  <si>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</si>
  <si>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</si>
  <si>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</si>
  <si>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</si>
  <si>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</si>
  <si>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</si>
  <si>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</si>
  <si>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</si>
  <si>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</si>
  <si>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</si>
  <si>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</si>
  <si>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</si>
  <si>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</si>
  <si>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</si>
  <si>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</si>
  <si>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</si>
  <si>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</si>
  <si>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</si>
  <si>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</si>
  <si>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</si>
  <si>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</si>
  <si>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</si>
  <si>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</si>
  <si>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</si>
  <si>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</si>
  <si>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</si>
  <si>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</si>
  <si>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</si>
  <si>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</si>
  <si>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</si>
  <si>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</si>
  <si>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</si>
  <si>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</si>
  <si>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</si>
  <si>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</si>
  <si>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</si>
  <si>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</si>
  <si>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</si>
  <si>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</si>
  <si>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</si>
  <si>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</si>
  <si>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</si>
  <si>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</si>
  <si>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</si>
  <si>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</si>
  <si>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</si>
  <si>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</si>
  <si>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</si>
  <si>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</si>
  <si>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</si>
  <si>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</si>
  <si>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</si>
  <si>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</si>
  <si>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</si>
  <si>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</si>
  <si>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</si>
  <si>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</si>
  <si>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</si>
  <si>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</si>
  <si>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</si>
  <si>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</si>
  <si>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</si>
  <si>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</si>
  <si>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</si>
  <si>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</si>
  <si>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</si>
  <si>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</si>
  <si>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</si>
  <si>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</si>
  <si>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</si>
  <si>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</si>
  <si>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</si>
  <si>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</si>
  <si>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</si>
  <si>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</si>
  <si>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</si>
  <si>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</si>
  <si>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</si>
  <si>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</si>
  <si>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</si>
  <si>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</si>
  <si>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</si>
  <si>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</si>
  <si>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</si>
  <si>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</si>
  <si>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</si>
  <si>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</si>
  <si>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</si>
  <si>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</si>
  <si>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</si>
  <si>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</si>
  <si>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</si>
  <si>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</si>
  <si>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</si>
  <si>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</si>
  <si>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</si>
  <si>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</si>
  <si>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</si>
  <si>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</si>
  <si>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</si>
  <si>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</si>
  <si>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</si>
  <si>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</si>
  <si>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</si>
  <si>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</si>
  <si>
    <t>Number Successful</t>
  </si>
  <si>
    <t>Number Failed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</si>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</sst>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  <xf numFmtId="9" fontId="0" fillId="0" borderId="0" xfId="1" applyFont="1"/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2"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(upload).xlsx]Theater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918002741124936"/>
          <c:y val="3.85604113110539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98-5E45-83E0-FBBC2F61AE5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98-5E45-83E0-FBBC2F61AE5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98-5E45-83E0-FBBC2F61A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685311"/>
        <c:axId val="564641967"/>
      </c:lineChart>
      <c:catAx>
        <c:axId val="54868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641967"/>
        <c:crosses val="autoZero"/>
        <c:auto val="1"/>
        <c:lblAlgn val="ctr"/>
        <c:lblOffset val="100"/>
        <c:noMultiLvlLbl val="0"/>
      </c:catAx>
      <c:valAx>
        <c:axId val="56464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8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Goals'!$F$2:$F$15</c:f>
              <c:numCache>
                <c:formatCode>0%</c:formatCode>
                <c:ptCount val="14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CA-844D-A896-CDFF2F26D3E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Goals'!$G$2:$G$15</c:f>
              <c:numCache>
                <c:formatCode>0%</c:formatCode>
                <c:ptCount val="14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CA-844D-A896-CDFF2F26D3E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Goals'!$H$2:$H$15</c:f>
              <c:numCache>
                <c:formatCode>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CA-844D-A896-CDFF2F26D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469119"/>
        <c:axId val="553679103"/>
      </c:lineChart>
      <c:catAx>
        <c:axId val="56946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79103"/>
        <c:crosses val="autoZero"/>
        <c:auto val="1"/>
        <c:lblAlgn val="ctr"/>
        <c:lblOffset val="100"/>
        <c:noMultiLvlLbl val="0"/>
      </c:catAx>
      <c:valAx>
        <c:axId val="55367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6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(upload).xlsx]Category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  <a:endParaRPr lang="en-US" baseline="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3E-2946-8A0A-F8405046A6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A-BB4A-87C1-D3CEFC0BCB2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A-BB4A-87C1-D3CEFC0BCB2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DA-BB4A-87C1-D3CEFC0BC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4953087"/>
        <c:axId val="465297903"/>
      </c:barChart>
      <c:catAx>
        <c:axId val="46495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97903"/>
        <c:crosses val="autoZero"/>
        <c:auto val="1"/>
        <c:lblAlgn val="ctr"/>
        <c:lblOffset val="100"/>
        <c:noMultiLvlLbl val="0"/>
      </c:catAx>
      <c:valAx>
        <c:axId val="46529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5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(upload).xlsx]Subcategory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D-A646-B450-3F5ACDA13EC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E-8345-89C4-55627E02E31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8E-8345-89C4-55627E02E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2102591"/>
        <c:axId val="522104271"/>
      </c:barChart>
      <c:catAx>
        <c:axId val="52210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04271"/>
        <c:crosses val="autoZero"/>
        <c:auto val="1"/>
        <c:lblAlgn val="ctr"/>
        <c:lblOffset val="100"/>
        <c:noMultiLvlLbl val="0"/>
      </c:catAx>
      <c:valAx>
        <c:axId val="52210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0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(upload).xlsx]Outcomes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8A-A743-84B1-B09CD5D755F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8-7342-ABAB-F374542072F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8-7342-ABAB-F374542072F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E8-7342-ABAB-F37454207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11391"/>
        <c:axId val="560013119"/>
      </c:lineChart>
      <c:catAx>
        <c:axId val="56001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13119"/>
        <c:crosses val="autoZero"/>
        <c:auto val="1"/>
        <c:lblAlgn val="ctr"/>
        <c:lblOffset val="100"/>
        <c:noMultiLvlLbl val="0"/>
      </c:catAx>
      <c:valAx>
        <c:axId val="56001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1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91A829C-10D7-C645-821A-F3926DE4A6C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FF3417D-ED75-774C-98AD-E8D53D428F6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7498DF-358F-0346-B645-3B9ACDB18512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1493" cy="62931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A0DF70-1600-4047-B0D6-A8E6D7D3836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298D51D-9B7A-CD48-BA3D-5E8A3F76AF5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1493" cy="62931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3</xdr:row>
      <xdr:rowOff>0</xdr:rowOff>
    </xdr:from>
    <xdr:to>
      <xdr:col>15</xdr:col>
      <xdr:colOff>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27CDB-BE3E-4146-AB47-68DEC2E80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1214504</xdr:colOff>
      <xdr:row>15</xdr:row>
      <xdr:rowOff>15794</xdr:rowOff>
    </xdr:from>
    <xdr:to>
      <xdr:col>9</xdr:col>
      <xdr:colOff>10672</xdr:colOff>
      <xdr:row>35</xdr:row>
      <xdr:rowOff>160084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E391BD-4D4E-7F48-975A-3B9879920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0</xdr:rowOff>
    </xdr:from>
    <xdr:to>
      <xdr:col>16</xdr:col>
      <xdr:colOff>812800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01C8BB-2108-7B44-8355-A42690746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177800</xdr:rowOff>
    </xdr:from>
    <xdr:to>
      <xdr:col>17</xdr:col>
      <xdr:colOff>12700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BDD90-5120-AA48-9AA2-213FE9CD5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1</xdr:row>
      <xdr:rowOff>165100</xdr:rowOff>
    </xdr:from>
    <xdr:to>
      <xdr:col>16</xdr:col>
      <xdr:colOff>812800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2F24D-2A56-DA4E-90F4-15E1F97ED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e Muratori-Levit" refreshedDate="44181.772011921297" createdVersion="6" refreshedVersion="6" minRefreshableVersion="3" recordCount="4114" xr:uid="{70618C86-170C-494D-83A9-853E6D1F1C6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e Muratori-Levit" refreshedDate="44181.791342129633" createdVersion="6" refreshedVersion="6" minRefreshableVersion="3" recordCount="4114" xr:uid="{F2A1AF13-2369-CE45-BDD2-21C77385B3E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e Muratori-Levit" refreshedDate="44185.496531597222" createdVersion="6" refreshedVersion="6" minRefreshableVersion="3" recordCount="4114" xr:uid="{DE783C85-7A6A-5948-B839-E8F7848FDF5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92D4C-794F-5440-9753-2909887C7779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AA6F5-406C-0849-BA9A-D24AE5A48D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592872-676D-354A-8EDE-3D9539439D8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69A2A-D330-A242-B469-220BFEFF296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2BD69-92E6-0048-AC46-3D3592A754B3}">
  <dimension ref="A1:E18"/>
  <sheetViews>
    <sheetView zoomScale="112"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0E0B9-A398-C047-AB8A-8A113C3D31FA}">
  <dimension ref="A1:H15"/>
  <sheetViews>
    <sheetView workbookViewId="0">
      <selection activeCell="C8" sqref="C8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6640625" bestFit="1" customWidth="1"/>
    <col min="5" max="5" width="11.5" bestFit="1" customWidth="1"/>
    <col min="6" max="6" width="17.6640625" style="18" bestFit="1" customWidth="1"/>
    <col min="7" max="7" width="13.33203125" style="18" bestFit="1" customWidth="1"/>
    <col min="8" max="8" width="16.83203125" style="18" bestFit="1" customWidth="1"/>
  </cols>
  <sheetData>
    <row r="1" spans="1:8" x14ac:dyDescent="0.2">
      <c r="A1" s="1" t="s">
        <v>8382</v>
      </c>
      <c r="B1" s="1" t="s">
        <v>8399</v>
      </c>
      <c r="C1" s="1" t="s">
        <v>8400</v>
      </c>
      <c r="D1" s="1" t="s">
        <v>8416</v>
      </c>
      <c r="E1" s="1" t="s">
        <v>8401</v>
      </c>
      <c r="F1" s="19" t="s">
        <v>8402</v>
      </c>
      <c r="G1" s="19" t="s">
        <v>8417</v>
      </c>
      <c r="H1" s="19" t="s">
        <v>8403</v>
      </c>
    </row>
    <row r="2" spans="1:8" x14ac:dyDescent="0.2">
      <c r="A2" t="s">
        <v>8404</v>
      </c>
      <c r="B2">
        <f>COUNTIFS(Kickstarter!D:D,"&lt;1000",Kickstarter!F:F, "successful",Kickstarter!R:R,"plays")</f>
        <v>141</v>
      </c>
      <c r="C2">
        <f>COUNTIFS(Kickstarter!D:D,"&lt;1000",Kickstarter!F:F, "failed",Kickstarter!R:R,"plays")</f>
        <v>45</v>
      </c>
      <c r="D2">
        <f>COUNTIFS(Kickstarter!D:D,"&lt;1000",Kickstarter!F:F, "canceled",Kickstarter!R:R,"plays")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8405</v>
      </c>
      <c r="B3">
        <f>COUNTIFS(Kickstarter!D:D,"&gt;=1000",Kickstarter!F:F, "successful",Kickstarter!D:D,"&lt;=4999",Kickstarter!R:R,"plays")</f>
        <v>388</v>
      </c>
      <c r="C3">
        <f>COUNTIFS(Kickstarter!D:D,"&gt;=1000",Kickstarter!F:F, "failed",Kickstarter!D:D,"&lt;=4999",Kickstarter!R:R,"plays")</f>
        <v>146</v>
      </c>
      <c r="D3">
        <f>COUNTIFS(Kickstarter!D:D,"&gt;=1000",Kickstarter!F:F, "canceled",Kickstarter!D:D,"&lt;=4999",Kickstarter!R:R,"plays")</f>
        <v>0</v>
      </c>
      <c r="E3">
        <f t="shared" ref="E3:E13" si="0">SUM(B3:D3)</f>
        <v>534</v>
      </c>
      <c r="F3" s="18">
        <f>B3/E3</f>
        <v>0.72659176029962547</v>
      </c>
      <c r="G3" s="18">
        <f t="shared" ref="G3:G13" si="1">C3/E3</f>
        <v>0.27340823970037453</v>
      </c>
      <c r="H3" s="18">
        <f t="shared" ref="H3:H13" si="2">D3/E3</f>
        <v>0</v>
      </c>
    </row>
    <row r="4" spans="1:8" x14ac:dyDescent="0.2">
      <c r="A4" t="s">
        <v>8406</v>
      </c>
      <c r="B4">
        <f>COUNTIFS(Kickstarter!D:D,"&gt;=5000",Kickstarter!F:F, "successful",Kickstarter!D:D,"&lt;=9999",Kickstarter!R:R,"plays")</f>
        <v>93</v>
      </c>
      <c r="C4">
        <f>COUNTIFS(Kickstarter!D:D,"&gt;=5000",Kickstarter!F:F, "failed",Kickstarter!D:D,"&lt;=9999",Kickstarter!R:R,"plays")</f>
        <v>76</v>
      </c>
      <c r="D4">
        <f>COUNTIFS(Kickstarter!D:D,"&gt;=5000",Kickstarter!F:F, "canceled",Kickstarter!D:D,"&lt;=9999",Kickstarter!R:R,"plays")</f>
        <v>0</v>
      </c>
      <c r="E4">
        <f t="shared" si="0"/>
        <v>169</v>
      </c>
      <c r="F4" s="18">
        <f t="shared" ref="F4:F13" si="3">B4/E4</f>
        <v>0.55029585798816572</v>
      </c>
      <c r="G4" s="18">
        <f t="shared" si="1"/>
        <v>0.44970414201183434</v>
      </c>
      <c r="H4" s="18">
        <f t="shared" si="2"/>
        <v>0</v>
      </c>
    </row>
    <row r="5" spans="1:8" x14ac:dyDescent="0.2">
      <c r="A5" t="s">
        <v>8407</v>
      </c>
      <c r="B5">
        <f>COUNTIFS(Kickstarter!D:D,"&gt;=10000",Kickstarter!F:F, "successful",Kickstarter!D:D,"&lt;=14999",Kickstarter!R:R,"plays")</f>
        <v>39</v>
      </c>
      <c r="C5">
        <f>COUNTIFS(Kickstarter!D:D,"&gt;=10000",Kickstarter!F:F, "failed",Kickstarter!D:D,"&lt;=14999",Kickstarter!R:R,"plays")</f>
        <v>33</v>
      </c>
      <c r="D5">
        <f>COUNTIFS(Kickstarter!D:D,"&gt;=10000",Kickstarter!F:F, "canceled",Kickstarter!D:D,"&lt;=14999",Kickstarter!R:R,"plays")</f>
        <v>0</v>
      </c>
      <c r="E5">
        <f t="shared" si="0"/>
        <v>72</v>
      </c>
      <c r="F5" s="18">
        <f t="shared" si="3"/>
        <v>0.54166666666666663</v>
      </c>
      <c r="G5" s="18">
        <f t="shared" si="1"/>
        <v>0.45833333333333331</v>
      </c>
      <c r="H5" s="18">
        <f t="shared" si="2"/>
        <v>0</v>
      </c>
    </row>
    <row r="6" spans="1:8" x14ac:dyDescent="0.2">
      <c r="A6" t="s">
        <v>8408</v>
      </c>
      <c r="B6">
        <f>COUNTIFS(Kickstarter!D:D,"&gt;=15000",Kickstarter!F:F, "successful",Kickstarter!D:D,"&lt;=19999",Kickstarter!R:R,"plays")</f>
        <v>12</v>
      </c>
      <c r="C6">
        <f>COUNTIFS(Kickstarter!D:D,"&gt;=15000",Kickstarter!F:F, "failed",Kickstarter!D:D,"&lt;=19999",Kickstarter!R:R,"plays")</f>
        <v>12</v>
      </c>
      <c r="D6">
        <f>COUNTIFS(Kickstarter!D:D,"&gt;=15000",Kickstarter!F:F, "canceled",Kickstarter!D:D,"&lt;=19999",Kickstarter!R:R,"plays")</f>
        <v>0</v>
      </c>
      <c r="E6">
        <f t="shared" si="0"/>
        <v>24</v>
      </c>
      <c r="F6" s="18">
        <f t="shared" si="3"/>
        <v>0.5</v>
      </c>
      <c r="G6" s="18">
        <f t="shared" si="1"/>
        <v>0.5</v>
      </c>
      <c r="H6" s="18">
        <f t="shared" si="2"/>
        <v>0</v>
      </c>
    </row>
    <row r="7" spans="1:8" x14ac:dyDescent="0.2">
      <c r="A7" t="s">
        <v>8409</v>
      </c>
      <c r="B7">
        <f>COUNTIFS(Kickstarter!D:D,"&gt;=20000",Kickstarter!F:F, "successful",Kickstarter!D:D,"&lt;=24999",Kickstarter!R:R,"plays")</f>
        <v>9</v>
      </c>
      <c r="C7">
        <f>COUNTIFS(Kickstarter!D:D,"&gt;=20000",Kickstarter!F:F, "failed",Kickstarter!D:D,"&lt;=24999",Kickstarter!R:R,"plays")</f>
        <v>11</v>
      </c>
      <c r="D7">
        <f>COUNTIFS(Kickstarter!D:D,"&gt;=20000",Kickstarter!F:F, "canceled",Kickstarter!D:D,"&lt;=24999",Kickstarter!R:R,"plays")</f>
        <v>0</v>
      </c>
      <c r="E7">
        <f t="shared" si="0"/>
        <v>20</v>
      </c>
      <c r="F7" s="18">
        <f t="shared" si="3"/>
        <v>0.45</v>
      </c>
      <c r="G7" s="18">
        <f t="shared" si="1"/>
        <v>0.55000000000000004</v>
      </c>
      <c r="H7" s="18">
        <f t="shared" si="2"/>
        <v>0</v>
      </c>
    </row>
    <row r="8" spans="1:8" x14ac:dyDescent="0.2">
      <c r="A8" t="s">
        <v>8410</v>
      </c>
      <c r="B8">
        <f>COUNTIFS(Kickstarter!D:D,"&gt;=25000",Kickstarter!F:F, "successful",Kickstarter!D:D,"&lt;=29999",Kickstarter!R:R,"plays")</f>
        <v>1</v>
      </c>
      <c r="C8">
        <f>COUNTIFS(Kickstarter!D:D,"&gt;=25000",Kickstarter!F:F, "failed",Kickstarter!D:D,"&lt;=29999",Kickstarter!R:R,"plays")</f>
        <v>4</v>
      </c>
      <c r="D8">
        <f>COUNTIFS(Kickstarter!D:D,"&gt;=25000",Kickstarter!F:F, "canceled",Kickstarter!D:D,"&lt;=29999",Kickstarter!R:R,"plays")</f>
        <v>0</v>
      </c>
      <c r="E8">
        <f t="shared" si="0"/>
        <v>5</v>
      </c>
      <c r="F8" s="18">
        <f t="shared" si="3"/>
        <v>0.2</v>
      </c>
      <c r="G8" s="18">
        <f t="shared" si="1"/>
        <v>0.8</v>
      </c>
      <c r="H8" s="18">
        <f t="shared" si="2"/>
        <v>0</v>
      </c>
    </row>
    <row r="9" spans="1:8" x14ac:dyDescent="0.2">
      <c r="A9" t="s">
        <v>8411</v>
      </c>
      <c r="B9">
        <f>COUNTIFS(Kickstarter!D:D,"&gt;=30000",Kickstarter!F:F, "successful",Kickstarter!D:D,"&lt;=34999",Kickstarter!R:R,"plays")</f>
        <v>3</v>
      </c>
      <c r="C9">
        <f>COUNTIFS(Kickstarter!D:D,"&gt;=30000",Kickstarter!F:F, "failed",Kickstarter!D:D,"&lt;=34999",Kickstarter!R:R,"plays")</f>
        <v>8</v>
      </c>
      <c r="D9">
        <f>COUNTIFS(Kickstarter!D:D,"&gt;=30000",Kickstarter!F:F, "canceled",Kickstarter!D:D,"&lt;=34999",Kickstarter!R:R,"plays")</f>
        <v>0</v>
      </c>
      <c r="E9">
        <f t="shared" si="0"/>
        <v>11</v>
      </c>
      <c r="F9" s="18">
        <f t="shared" si="3"/>
        <v>0.27272727272727271</v>
      </c>
      <c r="G9" s="18">
        <f t="shared" si="1"/>
        <v>0.72727272727272729</v>
      </c>
      <c r="H9" s="18">
        <f t="shared" si="2"/>
        <v>0</v>
      </c>
    </row>
    <row r="10" spans="1:8" x14ac:dyDescent="0.2">
      <c r="A10" t="s">
        <v>8412</v>
      </c>
      <c r="B10">
        <f>COUNTIFS(Kickstarter!D:D,"&gt;=35000",Kickstarter!F:F, "successful",Kickstarter!D:D,"&lt;=39999",Kickstarter!R:R,"plays")</f>
        <v>4</v>
      </c>
      <c r="C10">
        <f>COUNTIFS(Kickstarter!D:D,"&gt;=35000",Kickstarter!F:F, "failed",Kickstarter!D:D,"&lt;=39999",Kickstarter!R:R,"plays")</f>
        <v>2</v>
      </c>
      <c r="D10">
        <f>COUNTIFS(Kickstarter!D:D,"&gt;=35000",Kickstarter!F:F, "canceled",Kickstarter!D:D,"&lt;=39999",Kickstarter!R:R,"plays")</f>
        <v>0</v>
      </c>
      <c r="E10">
        <f t="shared" si="0"/>
        <v>6</v>
      </c>
      <c r="F10" s="18">
        <f t="shared" si="3"/>
        <v>0.66666666666666663</v>
      </c>
      <c r="G10" s="18">
        <f t="shared" si="1"/>
        <v>0.33333333333333331</v>
      </c>
      <c r="H10" s="18">
        <f t="shared" si="2"/>
        <v>0</v>
      </c>
    </row>
    <row r="11" spans="1:8" x14ac:dyDescent="0.2">
      <c r="A11" t="s">
        <v>8413</v>
      </c>
      <c r="B11">
        <f>COUNTIFS(Kickstarter!D:D,"&gt;=40000",Kickstarter!F:F, "successful",Kickstarter!D:D,"&lt;=44999",Kickstarter!R:R,"plays")</f>
        <v>2</v>
      </c>
      <c r="C11">
        <f>COUNTIFS(Kickstarter!D:D,"&gt;=40000",Kickstarter!F:F, "failed",Kickstarter!D:D,"&lt;=44999",Kickstarter!R:R,"plays")</f>
        <v>1</v>
      </c>
      <c r="D11">
        <f>COUNTIFS(Kickstarter!D:D,"&gt;=40000",Kickstarter!F:F, "canceled",Kickstarter!D:D,"&lt;=44999",Kickstarter!R:R,"plays")</f>
        <v>0</v>
      </c>
      <c r="E11">
        <f t="shared" si="0"/>
        <v>3</v>
      </c>
      <c r="F11" s="18">
        <f t="shared" si="3"/>
        <v>0.66666666666666663</v>
      </c>
      <c r="G11" s="18">
        <f t="shared" si="1"/>
        <v>0.33333333333333331</v>
      </c>
      <c r="H11" s="18">
        <f t="shared" si="2"/>
        <v>0</v>
      </c>
    </row>
    <row r="12" spans="1:8" x14ac:dyDescent="0.2">
      <c r="A12" t="s">
        <v>8414</v>
      </c>
      <c r="B12">
        <f>COUNTIFS(Kickstarter!D:D,"&gt;=45000",Kickstarter!F:F, "successful",Kickstarter!D:D,"&lt;=49999",Kickstarter!R:R,"plays")</f>
        <v>0</v>
      </c>
      <c r="C12">
        <f>COUNTIFS(Kickstarter!D:D,"&gt;=45000",Kickstarter!F:F, "failed",Kickstarter!D:D,"&lt;=49999",Kickstarter!R:R,"plays")</f>
        <v>1</v>
      </c>
      <c r="D12">
        <f>COUNTIFS(Kickstarter!D:D,"&gt;=45000",Kickstarter!F:F, "canceled",Kickstarter!D:D,"&lt;=49999",Kickstarter!R:R,"plays")</f>
        <v>0</v>
      </c>
      <c r="E12">
        <f t="shared" si="0"/>
        <v>1</v>
      </c>
      <c r="F12" s="18">
        <f t="shared" si="3"/>
        <v>0</v>
      </c>
      <c r="G12" s="18">
        <f t="shared" si="1"/>
        <v>1</v>
      </c>
      <c r="H12" s="18">
        <f t="shared" si="2"/>
        <v>0</v>
      </c>
    </row>
    <row r="13" spans="1:8" x14ac:dyDescent="0.2">
      <c r="A13" t="s">
        <v>8415</v>
      </c>
      <c r="B13">
        <f>COUNTIFS(Kickstarter!D:D,"&gt;=50000",Kickstarter!F:F, "successful",Kickstarter!R:R,"plays")</f>
        <v>2</v>
      </c>
      <c r="C13">
        <f>COUNTIFS(Kickstarter!D:D,"&gt;=50000",Kickstarter!F:F, "failed",Kickstarter!R:R,"plays")</f>
        <v>14</v>
      </c>
      <c r="D13">
        <f>COUNTIFS(Kickstarter!D:D,"&gt;=50000",Kickstarter!F:F, "canceled",Kickstarter!R:R,"plays")</f>
        <v>0</v>
      </c>
      <c r="E13">
        <f t="shared" si="0"/>
        <v>16</v>
      </c>
      <c r="F13" s="18">
        <f t="shared" si="3"/>
        <v>0.125</v>
      </c>
      <c r="G13" s="18">
        <f t="shared" si="1"/>
        <v>0.875</v>
      </c>
      <c r="H13" s="18">
        <f t="shared" si="2"/>
        <v>0</v>
      </c>
    </row>
    <row r="14" spans="1:8" x14ac:dyDescent="0.2">
      <c r="B14">
        <f>SUM(B2:B13)</f>
        <v>694</v>
      </c>
      <c r="C14">
        <f>SUM(C2:C13)</f>
        <v>353</v>
      </c>
      <c r="D14">
        <f>SUM(D2:D13)</f>
        <v>0</v>
      </c>
    </row>
    <row r="15" spans="1:8" x14ac:dyDescent="0.2">
      <c r="B15">
        <f>COUNTIFS(Kickstarter!D:D,"&gt;0",Kickstarter!F:F, "successful",Kickstarter!R:R,"plays")</f>
        <v>694</v>
      </c>
      <c r="C15">
        <f>COUNTIFS(Kickstarter!D:D,"&gt;0",Kickstarter!F:F, "failed",Kickstarter!R:R,"plays")</f>
        <v>353</v>
      </c>
      <c r="D15">
        <f>COUNTIFS(Kickstarter!E:E,"&gt;0",Kickstarter!G:G, "canceled",Kickstarter!S:S,"plays")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5" zoomScaleNormal="12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6.33203125" style="15" bestFit="1" customWidth="1"/>
    <col min="20" max="20" width="19.6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ontainsText" dxfId="1" priority="2" operator="containsText" text="canceled">
      <formula>NOT(ISERROR(SEARCH("canceled",F1)))</formula>
    </cfRule>
    <cfRule type="containsText" dxfId="0" priority="3" operator="containsText" text="failed">
      <formula>NOT(ISERROR(SEARCH("failed",F1)))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CF5FD-77F7-9741-99D6-06F861587321}">
  <dimension ref="A1:C14"/>
  <sheetViews>
    <sheetView tabSelected="1" workbookViewId="0">
      <selection activeCell="E11" sqref="E11"/>
    </sheetView>
  </sheetViews>
  <sheetFormatPr baseColWidth="10" defaultRowHeight="15" x14ac:dyDescent="0.2"/>
  <cols>
    <col min="1" max="1" width="24.1640625" bestFit="1" customWidth="1"/>
    <col min="2" max="2" width="10.83203125" style="17"/>
    <col min="3" max="3" width="11.1640625" style="17" bestFit="1" customWidth="1"/>
  </cols>
  <sheetData>
    <row r="1" spans="1:3" x14ac:dyDescent="0.2">
      <c r="B1" s="17" t="s">
        <v>8385</v>
      </c>
      <c r="C1" s="17" t="s">
        <v>8386</v>
      </c>
    </row>
    <row r="2" spans="1:3" x14ac:dyDescent="0.2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8397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8391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8392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8393</v>
      </c>
      <c r="B7" s="17" t="e">
        <f>B5-B6</f>
        <v>#REF!</v>
      </c>
      <c r="C7" s="17" t="e">
        <f>C5-C6</f>
        <v>#REF!</v>
      </c>
    </row>
    <row r="9" spans="1:3" x14ac:dyDescent="0.2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8398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8394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8395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8396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487AF-64E6-0F4B-A92C-296BE235992F}">
  <dimension ref="A1:F6"/>
  <sheetViews>
    <sheetView workbookViewId="0"/>
  </sheetViews>
  <sheetFormatPr baseColWidth="10" defaultRowHeight="15" x14ac:dyDescent="0.2"/>
  <cols>
    <col min="1" max="1" width="27.6640625" bestFit="1" customWidth="1"/>
    <col min="2" max="2" width="40.83203125" style="3" customWidth="1"/>
    <col min="5" max="5" width="14.5" bestFit="1" customWidth="1"/>
    <col min="6" max="6" width="15.1640625" bestFit="1" customWidth="1"/>
  </cols>
  <sheetData>
    <row r="1" spans="1:6" ht="16" x14ac:dyDescent="0.2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8" x14ac:dyDescent="0.2">
      <c r="A2" t="s">
        <v>3473</v>
      </c>
      <c r="B2" s="3" t="str">
        <f>VLOOKUP(A2,Kickstarter!B:C,2,0)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  <c r="E2">
        <f>VLOOKUP(A2,Kickstarter!B:P,15,0)</f>
        <v>51.79</v>
      </c>
      <c r="F2">
        <f>VLOOKUP(A2,Kickstarter!B:L,11,0)</f>
        <v>39</v>
      </c>
    </row>
    <row r="3" spans="1:6" ht="48" x14ac:dyDescent="0.2">
      <c r="A3" t="s">
        <v>3616</v>
      </c>
      <c r="B3" s="3" t="str">
        <f>VLOOKUP(A3,Kickstarter!B:C,2,0)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  <c r="E3">
        <f>VLOOKUP(A3,Kickstarter!B:P,15,0)</f>
        <v>36.07</v>
      </c>
      <c r="F3">
        <f>VLOOKUP(A3,Kickstarter!B:L,11,0)</f>
        <v>56</v>
      </c>
    </row>
    <row r="4" spans="1:6" ht="48" x14ac:dyDescent="0.2">
      <c r="A4" t="s">
        <v>3178</v>
      </c>
      <c r="B4" s="3" t="str">
        <f>VLOOKUP(A4,Kickstarter!B:C,2,0)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  <c r="E4">
        <f>VLOOKUP(A4,Kickstarter!B:P,15,0)</f>
        <v>33.03</v>
      </c>
      <c r="F4">
        <f>VLOOKUP(A4,Kickstarter!B:L,11,0)</f>
        <v>78</v>
      </c>
    </row>
    <row r="5" spans="1:6" ht="48" x14ac:dyDescent="0.2">
      <c r="A5" t="s">
        <v>3329</v>
      </c>
      <c r="B5" s="3" t="str">
        <f>VLOOKUP(A5,Kickstarter!B:C,2,0)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  <c r="E5">
        <f>VLOOKUP(A5,Kickstarter!B:P,15,0)</f>
        <v>44.92</v>
      </c>
      <c r="F5">
        <f>VLOOKUP(A5,Kickstarter!B:L,11,0)</f>
        <v>26</v>
      </c>
    </row>
    <row r="6" spans="1:6" ht="48" x14ac:dyDescent="0.2">
      <c r="A6" t="s">
        <v>3221</v>
      </c>
      <c r="B6" s="3" t="str">
        <f>VLOOKUP(A6,Kickstarter!B:C,2,0)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  <c r="E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246C2-70CE-F04D-81AC-A383E9E47ABA}">
  <dimension ref="A1:F6"/>
  <sheetViews>
    <sheetView workbookViewId="0">
      <selection activeCell="F27" sqref="F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86BD3-59F7-E24E-BF8A-BB54DEF4D581}">
  <dimension ref="A1:E7"/>
  <sheetViews>
    <sheetView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47D1B-8DB3-B846-8D00-2F3E9DFA7BC4}">
  <dimension ref="A1:F18"/>
  <sheetViews>
    <sheetView zoomScale="103" workbookViewId="0">
      <selection activeCell="A13" sqref="A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Goal-Pledged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Tate Muratori-Levit</cp:lastModifiedBy>
  <dcterms:created xsi:type="dcterms:W3CDTF">2017-04-20T15:17:24Z</dcterms:created>
  <dcterms:modified xsi:type="dcterms:W3CDTF">2020-12-21T03:14:29Z</dcterms:modified>
</cp:coreProperties>
</file>