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i\Desktop\MAthesis\error rates\"/>
    </mc:Choice>
  </mc:AlternateContent>
  <xr:revisionPtr revIDLastSave="0" documentId="13_ncr:1_{6FC58F55-1D3B-41A2-BA8F-C25B406F8BFB}" xr6:coauthVersionLast="47" xr6:coauthVersionMax="47" xr10:uidLastSave="{00000000-0000-0000-0000-000000000000}"/>
  <bookViews>
    <workbookView xWindow="11424" yWindow="0" windowWidth="11712" windowHeight="12336" activeTab="3" xr2:uid="{1DA304FB-47B2-4A17-B35F-637BD587151D}"/>
  </bookViews>
  <sheets>
    <sheet name="csmitser" sheetId="5" r:id="rId1"/>
    <sheet name="T-test" sheetId="8" r:id="rId2"/>
    <sheet name="Hárok1" sheetId="9" r:id="rId3"/>
    <sheet name="both" sheetId="6" r:id="rId4"/>
    <sheet name="EarlyPrint" sheetId="3" r:id="rId5"/>
  </sheets>
  <definedNames>
    <definedName name="_xlchart.v1.0" hidden="1">both!$A$1</definedName>
    <definedName name="_xlchart.v1.1" hidden="1">both!$C$4:$C$23</definedName>
    <definedName name="_xlchart.v1.10" hidden="1">both!$A$1</definedName>
    <definedName name="_xlchart.v1.11" hidden="1">both!$C$4:$C$23</definedName>
    <definedName name="_xlchart.v1.12" hidden="1">both!$E$4:$E$23</definedName>
    <definedName name="_xlchart.v1.13" hidden="1">both!$F$4:$F$23</definedName>
    <definedName name="_xlchart.v1.14" hidden="1">both!$N$1</definedName>
    <definedName name="_xlchart.v1.15" hidden="1">both!$P$4:$P$23</definedName>
    <definedName name="_xlchart.v1.16" hidden="1">both!$R$4:$R$23</definedName>
    <definedName name="_xlchart.v1.17" hidden="1">both!$S$4:$S$23</definedName>
    <definedName name="_xlchart.v1.18" hidden="1">both!$C$4:$C$23</definedName>
    <definedName name="_xlchart.v1.19" hidden="1">both!$D$4:$D$23</definedName>
    <definedName name="_xlchart.v1.2" hidden="1">both!$D$4:$D$23</definedName>
    <definedName name="_xlchart.v1.20" hidden="1">both!$P$4:$P$23</definedName>
    <definedName name="_xlchart.v1.21" hidden="1">both!$Q$4:$Q$23</definedName>
    <definedName name="_xlchart.v1.22" hidden="1">both!$A$1</definedName>
    <definedName name="_xlchart.v1.23" hidden="1">both!$E$4:$E$23</definedName>
    <definedName name="_xlchart.v1.24" hidden="1">both!$F$4:$F$23</definedName>
    <definedName name="_xlchart.v1.25" hidden="1">both!$N$1</definedName>
    <definedName name="_xlchart.v1.26" hidden="1">both!$R$4:$R$23</definedName>
    <definedName name="_xlchart.v1.27" hidden="1">both!$S$4:$S$23</definedName>
    <definedName name="_xlchart.v1.28" hidden="1">both!$A$1</definedName>
    <definedName name="_xlchart.v1.29" hidden="1">both!$C$3</definedName>
    <definedName name="_xlchart.v1.3" hidden="1">both!$N$1</definedName>
    <definedName name="_xlchart.v1.30" hidden="1">both!$C$4:$C$23</definedName>
    <definedName name="_xlchart.v1.31" hidden="1">both!$D$4:$D$23</definedName>
    <definedName name="_xlchart.v1.32" hidden="1">both!$N$1</definedName>
    <definedName name="_xlchart.v1.33" hidden="1">both!$P$4:$P$23</definedName>
    <definedName name="_xlchart.v1.34" hidden="1">both!$Q$4:$Q$23</definedName>
    <definedName name="_xlchart.v1.35" hidden="1">both!$A$1</definedName>
    <definedName name="_xlchart.v1.36" hidden="1">both!$C$3</definedName>
    <definedName name="_xlchart.v1.37" hidden="1">both!$C$4:$C$23</definedName>
    <definedName name="_xlchart.v1.38" hidden="1">both!$D$4:$D$23</definedName>
    <definedName name="_xlchart.v1.39" hidden="1">both!$N$1</definedName>
    <definedName name="_xlchart.v1.4" hidden="1">both!$P$4:$P$23</definedName>
    <definedName name="_xlchart.v1.40" hidden="1">both!$P$4:$P$23</definedName>
    <definedName name="_xlchart.v1.41" hidden="1">both!$Q$4:$Q$23</definedName>
    <definedName name="_xlchart.v1.42" hidden="1">both!$C$4:$C$23</definedName>
    <definedName name="_xlchart.v1.43" hidden="1">both!$D$4:$D$23</definedName>
    <definedName name="_xlchart.v1.44" hidden="1">both!$P$4:$P$23</definedName>
    <definedName name="_xlchart.v1.45" hidden="1">both!$Q$4:$Q$23</definedName>
    <definedName name="_xlchart.v1.5" hidden="1">both!$Q$4:$Q$23</definedName>
    <definedName name="_xlchart.v1.6" hidden="1">both!$A$1</definedName>
    <definedName name="_xlchart.v1.7" hidden="1">both!$E$4:$E$23</definedName>
    <definedName name="_xlchart.v1.8" hidden="1">both!$N$1</definedName>
    <definedName name="_xlchart.v1.9" hidden="1">both!$R$4:$R$23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" l="1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S25" i="6" l="1"/>
  <c r="R25" i="6"/>
  <c r="Q25" i="6"/>
  <c r="P25" i="6"/>
  <c r="S24" i="6"/>
  <c r="R24" i="6"/>
  <c r="Q24" i="6"/>
  <c r="P24" i="6"/>
  <c r="W23" i="6"/>
  <c r="V23" i="6"/>
  <c r="U23" i="6"/>
  <c r="T23" i="6"/>
  <c r="W22" i="6"/>
  <c r="V22" i="6"/>
  <c r="U22" i="6"/>
  <c r="T22" i="6"/>
  <c r="W21" i="6"/>
  <c r="V21" i="6"/>
  <c r="U21" i="6"/>
  <c r="T21" i="6"/>
  <c r="W20" i="6"/>
  <c r="V20" i="6"/>
  <c r="U20" i="6"/>
  <c r="T20" i="6"/>
  <c r="W19" i="6"/>
  <c r="V19" i="6"/>
  <c r="U19" i="6"/>
  <c r="T19" i="6"/>
  <c r="W18" i="6"/>
  <c r="V18" i="6"/>
  <c r="U18" i="6"/>
  <c r="T18" i="6"/>
  <c r="W17" i="6"/>
  <c r="V17" i="6"/>
  <c r="U17" i="6"/>
  <c r="T17" i="6"/>
  <c r="W16" i="6"/>
  <c r="V16" i="6"/>
  <c r="U16" i="6"/>
  <c r="T16" i="6"/>
  <c r="W15" i="6"/>
  <c r="V15" i="6"/>
  <c r="U15" i="6"/>
  <c r="T15" i="6"/>
  <c r="W14" i="6"/>
  <c r="V14" i="6"/>
  <c r="U14" i="6"/>
  <c r="T14" i="6"/>
  <c r="W13" i="6"/>
  <c r="V13" i="6"/>
  <c r="U13" i="6"/>
  <c r="T13" i="6"/>
  <c r="W12" i="6"/>
  <c r="V12" i="6"/>
  <c r="U12" i="6"/>
  <c r="T12" i="6"/>
  <c r="W11" i="6"/>
  <c r="V11" i="6"/>
  <c r="U11" i="6"/>
  <c r="T11" i="6"/>
  <c r="W10" i="6"/>
  <c r="V10" i="6"/>
  <c r="U10" i="6"/>
  <c r="T10" i="6"/>
  <c r="W9" i="6"/>
  <c r="V9" i="6"/>
  <c r="U9" i="6"/>
  <c r="T9" i="6"/>
  <c r="W8" i="6"/>
  <c r="V8" i="6"/>
  <c r="U8" i="6"/>
  <c r="T8" i="6"/>
  <c r="W7" i="6"/>
  <c r="V7" i="6"/>
  <c r="U7" i="6"/>
  <c r="T7" i="6"/>
  <c r="W6" i="6"/>
  <c r="V6" i="6"/>
  <c r="U6" i="6"/>
  <c r="T6" i="6"/>
  <c r="W5" i="6"/>
  <c r="V5" i="6"/>
  <c r="U5" i="6"/>
  <c r="T5" i="6"/>
  <c r="W4" i="6"/>
  <c r="W25" i="6" s="1"/>
  <c r="V4" i="6"/>
  <c r="V25" i="6" s="1"/>
  <c r="U4" i="6"/>
  <c r="T4" i="6"/>
  <c r="F25" i="6"/>
  <c r="E25" i="6"/>
  <c r="D25" i="6"/>
  <c r="C25" i="6"/>
  <c r="F24" i="6"/>
  <c r="E24" i="6"/>
  <c r="D24" i="6"/>
  <c r="J23" i="6"/>
  <c r="I23" i="6"/>
  <c r="H23" i="6"/>
  <c r="G23" i="6"/>
  <c r="J22" i="6"/>
  <c r="I22" i="6"/>
  <c r="H22" i="6"/>
  <c r="G22" i="6"/>
  <c r="J21" i="6"/>
  <c r="I21" i="6"/>
  <c r="H21" i="6"/>
  <c r="G21" i="6"/>
  <c r="J20" i="6"/>
  <c r="I20" i="6"/>
  <c r="H20" i="6"/>
  <c r="G20" i="6"/>
  <c r="J19" i="6"/>
  <c r="I19" i="6"/>
  <c r="H19" i="6"/>
  <c r="G19" i="6"/>
  <c r="J18" i="6"/>
  <c r="I18" i="6"/>
  <c r="H18" i="6"/>
  <c r="G18" i="6"/>
  <c r="J17" i="6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I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J25" i="6" s="1"/>
  <c r="I4" i="6"/>
  <c r="I25" i="6" s="1"/>
  <c r="H4" i="6"/>
  <c r="G4" i="6"/>
  <c r="G25" i="6" s="1"/>
  <c r="D24" i="3"/>
  <c r="E24" i="3"/>
  <c r="F24" i="3"/>
  <c r="G24" i="3"/>
  <c r="H24" i="3"/>
  <c r="I24" i="3"/>
  <c r="J24" i="3"/>
  <c r="C24" i="3"/>
  <c r="D24" i="5"/>
  <c r="E24" i="5"/>
  <c r="F24" i="5"/>
  <c r="G24" i="5"/>
  <c r="H24" i="5"/>
  <c r="I24" i="5"/>
  <c r="J24" i="5"/>
  <c r="C24" i="5"/>
  <c r="D23" i="3"/>
  <c r="E23" i="3"/>
  <c r="F23" i="3"/>
  <c r="G23" i="3"/>
  <c r="H23" i="3"/>
  <c r="I23" i="3"/>
  <c r="J23" i="3"/>
  <c r="C23" i="3"/>
  <c r="D23" i="5"/>
  <c r="E23" i="5"/>
  <c r="F23" i="5"/>
  <c r="G23" i="5"/>
  <c r="H23" i="5"/>
  <c r="I23" i="5"/>
  <c r="J23" i="5"/>
  <c r="C23" i="5"/>
  <c r="J9" i="3"/>
  <c r="J14" i="3"/>
  <c r="J15" i="3"/>
  <c r="J21" i="3"/>
  <c r="J18" i="3"/>
  <c r="J20" i="3"/>
  <c r="J11" i="3"/>
  <c r="J17" i="3"/>
  <c r="J16" i="3"/>
  <c r="J13" i="3"/>
  <c r="J3" i="3"/>
  <c r="J12" i="3"/>
  <c r="J5" i="3"/>
  <c r="J19" i="3"/>
  <c r="J8" i="3"/>
  <c r="J22" i="3"/>
  <c r="J10" i="3"/>
  <c r="J7" i="3"/>
  <c r="J6" i="3"/>
  <c r="J4" i="3"/>
  <c r="H9" i="3"/>
  <c r="H14" i="3"/>
  <c r="H15" i="3"/>
  <c r="H21" i="3"/>
  <c r="H18" i="3"/>
  <c r="H20" i="3"/>
  <c r="H11" i="3"/>
  <c r="H17" i="3"/>
  <c r="H16" i="3"/>
  <c r="H13" i="3"/>
  <c r="H3" i="3"/>
  <c r="H12" i="3"/>
  <c r="H5" i="3"/>
  <c r="H19" i="3"/>
  <c r="H8" i="3"/>
  <c r="H22" i="3"/>
  <c r="H10" i="3"/>
  <c r="H7" i="3"/>
  <c r="H6" i="3"/>
  <c r="H4" i="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T25" i="6" l="1"/>
  <c r="H25" i="6"/>
  <c r="G24" i="6"/>
  <c r="H24" i="6"/>
  <c r="I24" i="6"/>
  <c r="U25" i="6"/>
  <c r="J24" i="6"/>
  <c r="T24" i="6"/>
  <c r="U24" i="6"/>
  <c r="V24" i="6"/>
  <c r="W24" i="6"/>
  <c r="G5" i="5" l="1"/>
  <c r="G4" i="5"/>
  <c r="G9" i="5"/>
  <c r="G14" i="5"/>
  <c r="G15" i="5"/>
  <c r="G21" i="5"/>
  <c r="G18" i="5"/>
  <c r="G20" i="5"/>
  <c r="G11" i="5"/>
  <c r="G17" i="5"/>
  <c r="G16" i="5"/>
  <c r="G13" i="5"/>
  <c r="G3" i="5"/>
  <c r="O3" i="5" s="1"/>
  <c r="G12" i="5"/>
  <c r="G19" i="5"/>
  <c r="G8" i="5"/>
  <c r="G22" i="5"/>
  <c r="G10" i="5"/>
  <c r="G7" i="5"/>
  <c r="G6" i="5"/>
  <c r="J9" i="5" l="1"/>
  <c r="J14" i="5"/>
  <c r="J15" i="5"/>
  <c r="J21" i="5"/>
  <c r="J18" i="5"/>
  <c r="J20" i="5"/>
  <c r="J11" i="5"/>
  <c r="J17" i="5"/>
  <c r="J16" i="5"/>
  <c r="J13" i="5"/>
  <c r="J3" i="5"/>
  <c r="J12" i="5"/>
  <c r="J5" i="5"/>
  <c r="J19" i="5"/>
  <c r="J8" i="5"/>
  <c r="J22" i="5"/>
  <c r="J10" i="5"/>
  <c r="J7" i="5"/>
  <c r="J6" i="5"/>
  <c r="J4" i="5"/>
  <c r="G6" i="3"/>
  <c r="I7" i="3" l="1"/>
  <c r="I6" i="3"/>
  <c r="G10" i="3" l="1"/>
  <c r="G5" i="3" l="1"/>
  <c r="I3" i="5" l="1"/>
  <c r="M3" i="5" s="1"/>
  <c r="I3" i="3"/>
  <c r="G3" i="3"/>
  <c r="G12" i="3"/>
  <c r="G13" i="3" l="1"/>
  <c r="G9" i="3" l="1"/>
  <c r="G14" i="3"/>
  <c r="G15" i="3"/>
  <c r="G21" i="3"/>
  <c r="G18" i="3"/>
  <c r="G20" i="3"/>
  <c r="G11" i="3"/>
  <c r="G17" i="3"/>
  <c r="G16" i="3"/>
  <c r="G19" i="3"/>
  <c r="G8" i="3"/>
  <c r="G22" i="3"/>
  <c r="G7" i="3"/>
  <c r="G4" i="3" l="1"/>
  <c r="O5" i="5"/>
  <c r="O6" i="5"/>
  <c r="O7" i="5"/>
  <c r="O10" i="5"/>
  <c r="O12" i="5"/>
  <c r="O13" i="5"/>
  <c r="O16" i="5"/>
  <c r="O17" i="5"/>
  <c r="O18" i="5"/>
  <c r="O22" i="5"/>
  <c r="O20" i="5"/>
  <c r="O21" i="5"/>
  <c r="I6" i="5"/>
  <c r="I7" i="5"/>
  <c r="I10" i="5"/>
  <c r="I22" i="5"/>
  <c r="I8" i="5"/>
  <c r="I19" i="5"/>
  <c r="I5" i="5"/>
  <c r="I12" i="5"/>
  <c r="I13" i="5"/>
  <c r="M13" i="5" s="1"/>
  <c r="I16" i="5"/>
  <c r="I17" i="5"/>
  <c r="I11" i="5"/>
  <c r="I20" i="5"/>
  <c r="I18" i="5"/>
  <c r="I21" i="5"/>
  <c r="I15" i="5"/>
  <c r="I14" i="5"/>
  <c r="I9" i="5"/>
  <c r="I4" i="5"/>
  <c r="I10" i="3"/>
  <c r="I22" i="3"/>
  <c r="I8" i="3"/>
  <c r="I19" i="3"/>
  <c r="I5" i="3"/>
  <c r="I12" i="3"/>
  <c r="I13" i="3"/>
  <c r="I16" i="3"/>
  <c r="I17" i="3"/>
  <c r="I11" i="3"/>
  <c r="I20" i="3"/>
  <c r="I18" i="3"/>
  <c r="I21" i="3"/>
  <c r="I15" i="3"/>
  <c r="I14" i="3"/>
  <c r="I9" i="3"/>
  <c r="I4" i="3"/>
  <c r="M6" i="5" l="1"/>
  <c r="M15" i="5"/>
  <c r="M12" i="5"/>
  <c r="M20" i="5"/>
  <c r="M5" i="5"/>
  <c r="M7" i="5"/>
  <c r="M8" i="5"/>
  <c r="O9" i="5"/>
  <c r="M10" i="5"/>
  <c r="M21" i="5"/>
  <c r="O8" i="5"/>
  <c r="M14" i="5"/>
  <c r="M22" i="5"/>
  <c r="M11" i="5"/>
  <c r="M16" i="5"/>
  <c r="O15" i="5"/>
  <c r="M9" i="5"/>
  <c r="M17" i="5"/>
  <c r="O4" i="5"/>
  <c r="M18" i="5"/>
  <c r="O14" i="5"/>
  <c r="M4" i="5"/>
  <c r="O19" i="5"/>
  <c r="M19" i="5"/>
  <c r="O11" i="5"/>
</calcChain>
</file>

<file path=xl/sharedStrings.xml><?xml version="1.0" encoding="utf-8"?>
<sst xmlns="http://schemas.openxmlformats.org/spreadsheetml/2006/main" count="157" uniqueCount="53">
  <si>
    <t>CORRECT</t>
  </si>
  <si>
    <t>INCORRECT</t>
  </si>
  <si>
    <t>normalised</t>
  </si>
  <si>
    <t>not normalised</t>
  </si>
  <si>
    <t>File</t>
  </si>
  <si>
    <t>total %</t>
  </si>
  <si>
    <t>Year</t>
  </si>
  <si>
    <t>total weighted percentage</t>
  </si>
  <si>
    <t>A00363</t>
  </si>
  <si>
    <t>A01373</t>
  </si>
  <si>
    <t>A01190</t>
  </si>
  <si>
    <t>A00552</t>
  </si>
  <si>
    <t>A31653</t>
  </si>
  <si>
    <t>A03799</t>
  </si>
  <si>
    <t>A46912</t>
  </si>
  <si>
    <t>A06169</t>
  </si>
  <si>
    <t>A00233</t>
  </si>
  <si>
    <t>A00605</t>
  </si>
  <si>
    <t>A00982</t>
  </si>
  <si>
    <t>A22826</t>
  </si>
  <si>
    <t>A13797</t>
  </si>
  <si>
    <t>A00758</t>
  </si>
  <si>
    <t>A74375</t>
  </si>
  <si>
    <t>A08649</t>
  </si>
  <si>
    <t>A35318</t>
  </si>
  <si>
    <t>A09173</t>
  </si>
  <si>
    <t>A12159</t>
  </si>
  <si>
    <t>A05319</t>
  </si>
  <si>
    <t>weighted percentage of correct</t>
  </si>
  <si>
    <t>% of correct (out of all normalised)</t>
  </si>
  <si>
    <t>% of incorrect (out of all not-nomalised)</t>
  </si>
  <si>
    <t>all normalised</t>
  </si>
  <si>
    <t>Average</t>
  </si>
  <si>
    <t>Mean</t>
  </si>
  <si>
    <t>stdev</t>
  </si>
  <si>
    <t>EarlyPrint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</si>
  <si>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</si>
  <si>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</si>
  <si>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</si>
  <si>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</si>
  <si>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</si>
  <si>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</si>
  <si>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</si>
  <si>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</si>
  <si>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</si>
  <si>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</si>
  <si>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</si>
  <si>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</si>
  <si>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</si>
  <si>
    <t>Bin</t>
  </si>
  <si>
    <t>More</t>
  </si>
  <si>
    <t>Frequency</t>
  </si>
  <si>
    <t>cSMTiser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</si>
</sst>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6" borderId="5" xfId="1" applyFill="1" applyBorder="1"/>
    <xf numFmtId="2" fontId="0" fillId="0" borderId="0" xfId="0" applyNumberFormat="1"/>
    <xf numFmtId="2" fontId="0" fillId="2" borderId="7" xfId="0" applyNumberFormat="1" applyFill="1" applyBorder="1"/>
    <xf numFmtId="0" fontId="1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0" fillId="2" borderId="0" xfId="0" applyNumberFormat="1" applyFill="1"/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Hypertextové prepojenie" xfId="1" builtinId="8"/>
    <cellStyle name="Normálna" xfId="0" builtinId="0"/>
  </cellStyles>
  <dxfs count="8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5C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5C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colors>
    <mruColors>
      <color rgb="FFFF979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incorrectly normalised</a:t>
            </a:r>
            <a:endParaRPr lang="sk-SK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76DC9B6B-6096-4546-8DB9-7E101AC64BCA}" formatIdx="0">
          <cx:tx>
            <cx:txData>
              <cx:f>_xlchart.v1.28</cx:f>
              <cx:v>cSMTiser</cx:v>
            </cx:txData>
          </cx:tx>
          <cx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2EA5E88B-3CF4-4419-86CF-2679A6A14C43}" formatIdx="2">
          <cx:tx>
            <cx:txData>
              <cx:f>_xlchart.v1.32</cx:f>
              <cx:v>EarlyPrint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sk-SK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incorrectly not-normalised</a:t>
            </a:r>
            <a:endParaRPr lang="sk-SK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76DC9B6B-6096-4546-8DB9-7E101AC64BCA}" formatIdx="0">
          <cx:tx>
            <cx:txData>
              <cx:f>_xlchart.v1.0</cx:f>
              <cx:v>cSMTiser</cx:v>
            </cx:txData>
          </cx:tx>
          <cx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2EA5E88B-3CF4-4419-86CF-2679A6A14C43}" formatIdx="2">
          <cx:tx>
            <cx:txData>
              <cx:f>_xlchart.v1.3</cx:f>
              <cx:v>EarlyPrint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sk-SK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correctly not-normalised</a:t>
            </a:r>
            <a:endParaRPr lang="sk-SK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00000000-92D3-4ED9-B38F-B43A9269AE51}" formatIdx="1">
          <cx:tx>
            <cx:txData>
              <cx:f>_xlchart.v1.10</cx:f>
              <cx:v>cSMTiser</cx:v>
            </cx:txData>
          </cx:tx>
          <cx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1-92D3-4ED9-B38F-B43A9269AE51}" formatIdx="3">
          <cx:tx>
            <cx:txData>
              <cx:f>_xlchart.v1.14</cx:f>
              <cx:v>EarlyPrint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95" min="30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sk-SK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correctly normalised</a:t>
            </a:r>
            <a:endParaRPr lang="sk-SK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boxWhisker" uniqueId="{76DC9B6B-6096-4546-8DB9-7E101AC64BCA}" formatIdx="0">
          <cx:tx>
            <cx:txData>
              <cx:f>_xlchart.v1.22</cx:f>
              <cx:v>cSMTiser</cx:v>
            </cx:txData>
          </cx:tx>
          <cx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2EA5E88B-3CF4-4419-86CF-2679A6A14C43}" formatIdx="2">
          <cx:tx>
            <cx:txData>
              <cx:f>_xlchart.v1.25</cx:f>
              <cx:v>EarlyPrint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5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sk-SK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513927</xdr:colOff>
      <xdr:row>26</xdr:row>
      <xdr:rowOff>39371</xdr:rowOff>
    </xdr:from>
    <xdr:to>
      <xdr:col>26</xdr:col>
      <xdr:colOff>209127</xdr:colOff>
      <xdr:row>48</xdr:row>
      <xdr:rowOff>54900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 7">
              <a:extLst>
                <a:ext uri="{FF2B5EF4-FFF2-40B4-BE49-F238E27FC236}">
                  <a16:creationId xmlns:a16="http://schemas.microsoft.com/office/drawing/2014/main" id="{1ABBC348-107E-3411-CB2D-ADE0A9BC66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0515" y="5627371"/>
              <a:ext cx="4595906" cy="39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25</xdr:col>
      <xdr:colOff>372534</xdr:colOff>
      <xdr:row>26</xdr:row>
      <xdr:rowOff>5503</xdr:rowOff>
    </xdr:from>
    <xdr:to>
      <xdr:col>33</xdr:col>
      <xdr:colOff>67734</xdr:colOff>
      <xdr:row>48</xdr:row>
      <xdr:rowOff>21032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 8">
              <a:extLst>
                <a:ext uri="{FF2B5EF4-FFF2-40B4-BE49-F238E27FC236}">
                  <a16:creationId xmlns:a16="http://schemas.microsoft.com/office/drawing/2014/main" id="{96A31906-6EF4-49E7-B76C-70289A5003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87240" y="5593503"/>
              <a:ext cx="4595906" cy="39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6</xdr:col>
      <xdr:colOff>574680</xdr:colOff>
      <xdr:row>26</xdr:row>
      <xdr:rowOff>170420</xdr:rowOff>
    </xdr:from>
    <xdr:to>
      <xdr:col>12</xdr:col>
      <xdr:colOff>0</xdr:colOff>
      <xdr:row>43</xdr:row>
      <xdr:rowOff>32016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2033AF52-F1E0-46F6-B198-11F95ECE2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596" y="5920638"/>
              <a:ext cx="3075236" cy="30184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  <xdr:twoCellAnchor>
    <xdr:from>
      <xdr:col>2</xdr:col>
      <xdr:colOff>295912</xdr:colOff>
      <xdr:row>26</xdr:row>
      <xdr:rowOff>170892</xdr:rowOff>
    </xdr:from>
    <xdr:to>
      <xdr:col>6</xdr:col>
      <xdr:colOff>600076</xdr:colOff>
      <xdr:row>43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AE3CCBFA-3EF1-4198-A670-960DC740D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5112" y="5800167"/>
              <a:ext cx="2742564" cy="29437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90487E-D1B6-4DC2-AEB3-2E5771BACA4E}" name="Tabuľka5" displayName="Tabuľka5" ref="A3:J22" headerRowCount="0" totalsRowShown="0" tableBorderDxfId="83">
  <sortState xmlns:xlrd2="http://schemas.microsoft.com/office/spreadsheetml/2017/richdata2" ref="A4:J22">
    <sortCondition ref="B2:B22"/>
  </sortState>
  <tableColumns count="10">
    <tableColumn id="1" xr3:uid="{1E682E8C-298B-4262-BF0B-B443CB8B5AEC}" name="Stĺpec1" headerRowDxfId="82" dataDxfId="81" headerRowCellStyle="Hypertextové prepojenie" dataCellStyle="Hypertextové prepojenie"/>
    <tableColumn id="2" xr3:uid="{AFC034FF-69D3-4843-883A-770A2321D9F3}" name="Stĺpec2" headerRowDxfId="80" dataDxfId="79"/>
    <tableColumn id="3" xr3:uid="{DA1B7E8C-EA9D-422A-9DBF-FE902C389AA6}" name="Stĺpec3" headerRowDxfId="78" dataDxfId="77"/>
    <tableColumn id="4" xr3:uid="{417B3988-AD5A-49F5-91FD-5B76BEC10F65}" name="Stĺpec4" headerRowDxfId="76" dataDxfId="75"/>
    <tableColumn id="5" xr3:uid="{E90B3B0C-CB3A-422C-BC9A-57B317E2AC40}" name="Stĺpec5" headerRowDxfId="74" dataDxfId="73"/>
    <tableColumn id="6" xr3:uid="{5CEA9EEF-AD47-4BB0-B836-C59A49EBF34F}" name="Stĺpec6" headerRowDxfId="72" dataDxfId="71"/>
    <tableColumn id="7" xr3:uid="{47E0EAB9-65F4-46E7-9F93-61BBB2D784B8}" name="Stĺpec7" headerRowDxfId="70" dataDxfId="69">
      <calculatedColumnFormula>((SUM(E3:F3)*100)/500)</calculatedColumnFormula>
    </tableColumn>
    <tableColumn id="10" xr3:uid="{74B07B8C-CDE3-4767-B4A7-200F96F2CAA3}" name="Stĺpec72" headerRowDxfId="68" dataDxfId="67">
      <calculatedColumnFormula>Tabuľka5[[#This Row],[Stĺpec5]]+Tabuľka5[[#This Row],[Stĺpec3]]</calculatedColumnFormula>
    </tableColumn>
    <tableColumn id="8" xr3:uid="{09191F21-EC66-4A1A-872D-2157C7A7E574}" name="Stĺpec8" headerRowDxfId="66" dataDxfId="65">
      <calculatedColumnFormula>(E3*100)/(E3+C3)</calculatedColumnFormula>
    </tableColumn>
    <tableColumn id="9" xr3:uid="{D2C4A2F9-2357-4B76-9B76-EFE23B3D304F}" name="Stĺpec9" headerRowDxfId="64" dataDxfId="63">
      <calculatedColumnFormula>(D3*100)/(D3+F3)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1D9D7-3872-4471-B57B-17CC399E8AE3}" name="Tabuľka58" displayName="Tabuľka58" ref="A4:J23" headerRowCount="0" totalsRowShown="0" tableBorderDxfId="62">
  <sortState xmlns:xlrd2="http://schemas.microsoft.com/office/spreadsheetml/2017/richdata2" ref="A5:J24">
    <sortCondition ref="B3:B23"/>
  </sortState>
  <tableColumns count="10">
    <tableColumn id="1" xr3:uid="{0156765D-EBF9-4061-B6BC-2AA416277378}" name="Stĺpec1" headerRowDxfId="61" dataDxfId="60" headerRowCellStyle="Hypertextové prepojenie" dataCellStyle="Hypertextové prepojenie"/>
    <tableColumn id="2" xr3:uid="{6FD98D50-47F0-4855-B6BC-FD3923412109}" name="Stĺpec2" headerRowDxfId="59" dataDxfId="58"/>
    <tableColumn id="3" xr3:uid="{647B02DB-E7B6-41EC-8BF7-CDBC6389E016}" name="Stĺpec3" headerRowDxfId="57" dataDxfId="56"/>
    <tableColumn id="4" xr3:uid="{DAB9A9F2-138A-495A-8472-F685CC2D88F2}" name="Stĺpec4" headerRowDxfId="55" dataDxfId="54"/>
    <tableColumn id="5" xr3:uid="{5C14F7B2-F2A8-4A74-B1E0-62A042B50B9B}" name="Stĺpec5" headerRowDxfId="53" dataDxfId="52"/>
    <tableColumn id="6" xr3:uid="{CD770C38-F780-4432-8CB1-5648A46A1A28}" name="Stĺpec6" headerRowDxfId="51" dataDxfId="50"/>
    <tableColumn id="7" xr3:uid="{D822280D-781E-4871-8570-C625C27A0A54}" name="Stĺpec7" headerRowDxfId="49" dataDxfId="48">
      <calculatedColumnFormula>((SUM(E4:F4)*100)/500)</calculatedColumnFormula>
    </tableColumn>
    <tableColumn id="10" xr3:uid="{8673E5AA-B796-4244-AF08-C13519408C56}" name="Stĺpec72" headerRowDxfId="47" dataDxfId="46">
      <calculatedColumnFormula>Tabuľka58[[#This Row],[Stĺpec5]]+Tabuľka58[[#This Row],[Stĺpec3]]</calculatedColumnFormula>
    </tableColumn>
    <tableColumn id="8" xr3:uid="{D7357FE6-F034-4F50-8590-6C9738EF69E5}" name="Stĺpec8" headerRowDxfId="45" dataDxfId="44">
      <calculatedColumnFormula>(E4*100)/(E4+C4)</calculatedColumnFormula>
    </tableColumn>
    <tableColumn id="9" xr3:uid="{7E6661AD-9C3D-4152-AE55-2661E143A7AB}" name="Stĺpec9" headerRowDxfId="43" dataDxfId="42">
      <calculatedColumnFormula>(D4*100)/(D4+F4)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94A960-2F9A-4A5C-B654-587ECBAA91FA}" name="Tabuľka69" displayName="Tabuľka69" ref="N4:W23" headerRowCount="0" totalsRowShown="0" tableBorderDxfId="41">
  <sortState xmlns:xlrd2="http://schemas.microsoft.com/office/spreadsheetml/2017/richdata2" ref="N5:W24">
    <sortCondition ref="O2:O22"/>
  </sortState>
  <tableColumns count="10">
    <tableColumn id="1" xr3:uid="{4D13336E-669F-4436-B410-49BE0316AF88}" name="Stĺpec1" headerRowDxfId="40" dataDxfId="39" headerRowCellStyle="Hypertextové prepojenie" dataCellStyle="Hypertextové prepojenie"/>
    <tableColumn id="2" xr3:uid="{7E6AB978-8C80-4C0D-8622-DD54EADC8883}" name="Stĺpec2" headerRowDxfId="38" dataDxfId="37"/>
    <tableColumn id="3" xr3:uid="{8AFB1A33-9B9C-456F-9111-0A2C50CFBA77}" name="Stĺpec3" headerRowDxfId="36" dataDxfId="35"/>
    <tableColumn id="4" xr3:uid="{957BAF60-D6CB-4A7C-AB7D-C35490B44B27}" name="Stĺpec4" headerRowDxfId="34" dataDxfId="33"/>
    <tableColumn id="5" xr3:uid="{C51C38CC-C41F-400E-AC5B-93598CC48607}" name="Stĺpec5" headerRowDxfId="32" dataDxfId="31"/>
    <tableColumn id="6" xr3:uid="{F1516910-33E0-4D8E-9CB0-F2F3ABED874F}" name="Stĺpec6" headerRowDxfId="30" dataDxfId="29"/>
    <tableColumn id="7" xr3:uid="{14BA3C49-D856-4D78-915B-3037BF18BDC2}" name="Stĺpec7" headerRowDxfId="28" dataDxfId="27">
      <calculatedColumnFormula>((SUM(R4:S4)*100)/500)</calculatedColumnFormula>
    </tableColumn>
    <tableColumn id="8" xr3:uid="{F3650052-C6C9-4114-B479-E903D4D4391A}" name="Stĺpec8" headerRowDxfId="26" dataDxfId="25">
      <calculatedColumnFormula>R4+P4</calculatedColumnFormula>
    </tableColumn>
    <tableColumn id="9" xr3:uid="{45B357E4-FEF4-46AC-B578-93E94090C2E0}" name="Stĺpec9" headerRowDxfId="24" dataDxfId="23">
      <calculatedColumnFormula>(R4*100)/(R4+P4)</calculatedColumnFormula>
    </tableColumn>
    <tableColumn id="10" xr3:uid="{148AAC95-5779-4C6D-9317-1A6BB38763AD}" name="Stĺpec10" headerRowDxfId="22" dataDxfId="21">
      <calculatedColumnFormula>(Q4*100)/(S4+Q4)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ED74E-F386-4166-B8E3-79D866F5A269}" name="Tabuľka6" displayName="Tabuľka6" ref="A3:J22" headerRowCount="0" totalsRowShown="0" tableBorderDxfId="20">
  <sortState xmlns:xlrd2="http://schemas.microsoft.com/office/spreadsheetml/2017/richdata2" ref="A4:J22">
    <sortCondition ref="B2:B22"/>
  </sortState>
  <tableColumns count="10">
    <tableColumn id="1" xr3:uid="{39CBCE64-49CC-4385-B228-C601AAA98A2E}" name="Stĺpec1" headerRowDxfId="19" dataDxfId="18" headerRowCellStyle="Hypertextové prepojenie" dataCellStyle="Hypertextové prepojenie"/>
    <tableColumn id="2" xr3:uid="{056F566D-4A75-4254-B23F-BEDCF237E2BA}" name="Stĺpec2" headerRowDxfId="17" dataDxfId="16"/>
    <tableColumn id="3" xr3:uid="{6E69F1EC-9E4A-459B-A1CA-88CDA9CFDC49}" name="Stĺpec3" headerRowDxfId="15" dataDxfId="14"/>
    <tableColumn id="4" xr3:uid="{6E432666-D329-47BF-83D4-E9EC90DFAA62}" name="Stĺpec4" headerRowDxfId="13" dataDxfId="12"/>
    <tableColumn id="5" xr3:uid="{D968119E-3092-466D-B58C-2A517ED4A4CB}" name="Stĺpec5" headerRowDxfId="11" dataDxfId="10"/>
    <tableColumn id="6" xr3:uid="{A916C890-0570-4721-9533-5E26A9021FFB}" name="Stĺpec6" headerRowDxfId="9" dataDxfId="8"/>
    <tableColumn id="7" xr3:uid="{1A25B8D8-0692-4553-9117-D9C4CD759C8C}" name="Stĺpec7" headerRowDxfId="7" dataDxfId="6">
      <calculatedColumnFormula>((SUM(E3:F3)*100)/500)</calculatedColumnFormula>
    </tableColumn>
    <tableColumn id="8" xr3:uid="{B9370FA1-6EC1-423F-86EF-5C5DEFA2DC0D}" name="Stĺpec8" headerRowDxfId="5" dataDxfId="4">
      <calculatedColumnFormula>E3+C3</calculatedColumnFormula>
    </tableColumn>
    <tableColumn id="9" xr3:uid="{F2C8CDD2-15D5-4195-AC62-7F51CE4795AE}" name="Stĺpec9" headerRowDxfId="3" dataDxfId="2">
      <calculatedColumnFormula>(E3*100)/(E3+C3)</calculatedColumnFormula>
    </tableColumn>
    <tableColumn id="10" xr3:uid="{4DF24C6C-18AE-46A0-9A62-E3EE1EF7DC9E}" name="Stĺpec10" headerRowDxfId="1" dataDxfId="0">
      <calculatedColumnFormula>(D3*100)/(F3+D3)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smtiser_data\train_correction\20_07_F\New%20folder\A00233.P4.xlsm" TargetMode="External"/><Relationship Id="rId13" Type="http://schemas.openxmlformats.org/officeDocument/2006/relationships/hyperlink" Target="csmtiser_data\train_correction\20_07_F\New%20folder\A35318.P4.xlsm" TargetMode="External"/><Relationship Id="rId18" Type="http://schemas.openxmlformats.org/officeDocument/2006/relationships/hyperlink" Target="csmtiser_data\train_correction\20_07_F\New%20folder\A12159.P4.xlsm" TargetMode="External"/><Relationship Id="rId3" Type="http://schemas.openxmlformats.org/officeDocument/2006/relationships/hyperlink" Target="csmtiser_data\train_correction\20_07_F\New%20folder\A00552.P4.xlsm" TargetMode="External"/><Relationship Id="rId7" Type="http://schemas.openxmlformats.org/officeDocument/2006/relationships/hyperlink" Target="csmtiser_data\train_correction\20_07_F\New%20folder\A06169.P4.xlsm" TargetMode="External"/><Relationship Id="rId12" Type="http://schemas.openxmlformats.org/officeDocument/2006/relationships/hyperlink" Target="csmtiser_data\train_correction\20_07_F\New%20folder\A08649.P4.xlsm" TargetMode="External"/><Relationship Id="rId17" Type="http://schemas.openxmlformats.org/officeDocument/2006/relationships/hyperlink" Target="csmtiser_data\train_correction\20_07_F\New%20folder\A09173.P4.xlsm" TargetMode="External"/><Relationship Id="rId2" Type="http://schemas.openxmlformats.org/officeDocument/2006/relationships/hyperlink" Target="csmtiser_data\train_correction\20_07_F\New%20folder\A01190.P4.xlsm" TargetMode="External"/><Relationship Id="rId16" Type="http://schemas.openxmlformats.org/officeDocument/2006/relationships/hyperlink" Target="csmtiser_data\train_correction\20_07_F\New%20folder\A00758.P4.xlsm" TargetMode="External"/><Relationship Id="rId1" Type="http://schemas.openxmlformats.org/officeDocument/2006/relationships/hyperlink" Target="csmtiser_data\train_correction\20_07_F\New%20folder\A01373.P4.xlsm" TargetMode="External"/><Relationship Id="rId6" Type="http://schemas.openxmlformats.org/officeDocument/2006/relationships/hyperlink" Target="csmtiser_data\train_correction\20_07_F\New%20folder\A46912.P4.xlsm" TargetMode="External"/><Relationship Id="rId11" Type="http://schemas.openxmlformats.org/officeDocument/2006/relationships/hyperlink" Target="csmtiser_data\train_correction\20_07_F\New%20folder\A74375.P4.xlsm" TargetMode="External"/><Relationship Id="rId5" Type="http://schemas.openxmlformats.org/officeDocument/2006/relationships/hyperlink" Target="csmtiser_data\train_correction\20_07_F\New%20folder\A03799.P4.xlsm" TargetMode="External"/><Relationship Id="rId15" Type="http://schemas.openxmlformats.org/officeDocument/2006/relationships/hyperlink" Target="csmtiser_data\train_correction\20_07_F\New%20folder\A13797.P4.xlsm" TargetMode="External"/><Relationship Id="rId10" Type="http://schemas.openxmlformats.org/officeDocument/2006/relationships/hyperlink" Target="csmtiser_data\train_correction\20_07_F\New%20folder\A00982.P4.xls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csmtiser_data\train_correction\20_07_F\New%20folder\A31653.P4.xlsm" TargetMode="External"/><Relationship Id="rId9" Type="http://schemas.openxmlformats.org/officeDocument/2006/relationships/hyperlink" Target="csmtiser_data\train_correction\20_07_F\New%20folder\A00605.P4.xlsm" TargetMode="External"/><Relationship Id="rId14" Type="http://schemas.openxmlformats.org/officeDocument/2006/relationships/hyperlink" Target="csmtiser_data\train_correction\20_07_F\New%20folder\A22826.P4.xls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csmtiser_data\train_correction\20_07_F\New%20folder\A35318.P4.xlsm" TargetMode="External"/><Relationship Id="rId18" Type="http://schemas.openxmlformats.org/officeDocument/2006/relationships/hyperlink" Target="csmtiser_data\train_correction\20_07_F\New%20folder\A12159.P4.xlsm" TargetMode="External"/><Relationship Id="rId26" Type="http://schemas.openxmlformats.org/officeDocument/2006/relationships/hyperlink" Target="csmtiser_data\train_correction\20_07_F\New%20folder\A00233.P4.xlsm" TargetMode="External"/><Relationship Id="rId39" Type="http://schemas.openxmlformats.org/officeDocument/2006/relationships/table" Target="../tables/table3.xml"/><Relationship Id="rId21" Type="http://schemas.openxmlformats.org/officeDocument/2006/relationships/hyperlink" Target="csmtiser_data\train_correction\20_07_F\New%20folder\A00552.P4.xlsm" TargetMode="External"/><Relationship Id="rId34" Type="http://schemas.openxmlformats.org/officeDocument/2006/relationships/hyperlink" Target="csmtiser_data\train_correction\20_07_F\New%20folder\A13797.P4.xlsm" TargetMode="External"/><Relationship Id="rId7" Type="http://schemas.openxmlformats.org/officeDocument/2006/relationships/hyperlink" Target="csmtiser_data\train_correction\20_07_F\New%20folder\A06169.P4.xlsm" TargetMode="External"/><Relationship Id="rId12" Type="http://schemas.openxmlformats.org/officeDocument/2006/relationships/hyperlink" Target="csmtiser_data\train_correction\20_07_F\New%20folder\A08649.P4.xlsm" TargetMode="External"/><Relationship Id="rId17" Type="http://schemas.openxmlformats.org/officeDocument/2006/relationships/hyperlink" Target="csmtiser_data\train_correction\20_07_F\New%20folder\A09173.P4.xlsm" TargetMode="External"/><Relationship Id="rId25" Type="http://schemas.openxmlformats.org/officeDocument/2006/relationships/hyperlink" Target="csmtiser_data\train_correction\20_07_F\New%20folder\A06169.P4.xlsm" TargetMode="External"/><Relationship Id="rId33" Type="http://schemas.openxmlformats.org/officeDocument/2006/relationships/hyperlink" Target="csmtiser_data\train_correction\20_07_F\New%20folder\A22826.P4.xls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csmtiser_data\train_correction\20_07_F\New%20folder\A01190.P4.xlsm" TargetMode="External"/><Relationship Id="rId16" Type="http://schemas.openxmlformats.org/officeDocument/2006/relationships/hyperlink" Target="csmtiser_data\train_correction\20_07_F\New%20folder\A00758.P4.xlsm" TargetMode="External"/><Relationship Id="rId20" Type="http://schemas.openxmlformats.org/officeDocument/2006/relationships/hyperlink" Target="csmtiser_data\train_correction\20_07_F\New%20folder\A01190.P4.xlsm" TargetMode="External"/><Relationship Id="rId29" Type="http://schemas.openxmlformats.org/officeDocument/2006/relationships/hyperlink" Target="csmtiser_data\train_correction\20_07_F\New%20folder\A74375.P4.xlsm" TargetMode="External"/><Relationship Id="rId1" Type="http://schemas.openxmlformats.org/officeDocument/2006/relationships/hyperlink" Target="csmtiser_data\train_correction\20_07_F\New%20folder\A01373.P4.xlsm" TargetMode="External"/><Relationship Id="rId6" Type="http://schemas.openxmlformats.org/officeDocument/2006/relationships/hyperlink" Target="csmtiser_data\train_correction\20_07_F\New%20folder\A46912.P4.xlsm" TargetMode="External"/><Relationship Id="rId11" Type="http://schemas.openxmlformats.org/officeDocument/2006/relationships/hyperlink" Target="csmtiser_data\train_correction\20_07_F\New%20folder\A74375.P4.xlsm" TargetMode="External"/><Relationship Id="rId24" Type="http://schemas.openxmlformats.org/officeDocument/2006/relationships/hyperlink" Target="csmtiser_data\train_correction\20_07_F\New%20folder\A46912.P4.xlsm" TargetMode="External"/><Relationship Id="rId32" Type="http://schemas.openxmlformats.org/officeDocument/2006/relationships/hyperlink" Target="csmtiser_data\train_correction\20_07_F\New%20folder\A12159.P4.xls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csmtiser_data\train_correction\20_07_F\New%20folder\A03799.P4.xlsm" TargetMode="External"/><Relationship Id="rId15" Type="http://schemas.openxmlformats.org/officeDocument/2006/relationships/hyperlink" Target="csmtiser_data\train_correction\20_07_F\New%20folder\A13797.P4.xlsm" TargetMode="External"/><Relationship Id="rId23" Type="http://schemas.openxmlformats.org/officeDocument/2006/relationships/hyperlink" Target="csmtiser_data\train_correction\20_07_F\New%20folder\A03799.P4.xlsm" TargetMode="External"/><Relationship Id="rId28" Type="http://schemas.openxmlformats.org/officeDocument/2006/relationships/hyperlink" Target="csmtiser_data\train_correction\20_07_F\New%20folder\A00982.P4.xlsm" TargetMode="External"/><Relationship Id="rId36" Type="http://schemas.openxmlformats.org/officeDocument/2006/relationships/hyperlink" Target="csmtiser_data\train_correction\20_07_F\New%20folder\A09173.P4.xlsm" TargetMode="External"/><Relationship Id="rId10" Type="http://schemas.openxmlformats.org/officeDocument/2006/relationships/hyperlink" Target="csmtiser_data\train_correction\20_07_F\New%20folder\A00982.P4.xlsm" TargetMode="External"/><Relationship Id="rId19" Type="http://schemas.openxmlformats.org/officeDocument/2006/relationships/hyperlink" Target="csmtiser_data\train_correction\20_07_F\New%20folder\A01373.P4.xlsm" TargetMode="External"/><Relationship Id="rId31" Type="http://schemas.openxmlformats.org/officeDocument/2006/relationships/hyperlink" Target="csmtiser_data\train_correction\20_07_F\New%20folder\A35318.P4.xlsm" TargetMode="External"/><Relationship Id="rId4" Type="http://schemas.openxmlformats.org/officeDocument/2006/relationships/hyperlink" Target="csmtiser_data\train_correction\20_07_F\New%20folder\A31653.P4.xlsm" TargetMode="External"/><Relationship Id="rId9" Type="http://schemas.openxmlformats.org/officeDocument/2006/relationships/hyperlink" Target="csmtiser_data\train_correction\20_07_F\New%20folder\A00605.P4.xlsm" TargetMode="External"/><Relationship Id="rId14" Type="http://schemas.openxmlformats.org/officeDocument/2006/relationships/hyperlink" Target="csmtiser_data\train_correction\20_07_F\New%20folder\A22826.P4.xlsm" TargetMode="External"/><Relationship Id="rId22" Type="http://schemas.openxmlformats.org/officeDocument/2006/relationships/hyperlink" Target="csmtiser_data\train_correction\20_07_F\New%20folder\A31653.P4.xlsm" TargetMode="External"/><Relationship Id="rId27" Type="http://schemas.openxmlformats.org/officeDocument/2006/relationships/hyperlink" Target="csmtiser_data\train_correction\20_07_F\New%20folder\A00605.P4.xlsm" TargetMode="External"/><Relationship Id="rId30" Type="http://schemas.openxmlformats.org/officeDocument/2006/relationships/hyperlink" Target="csmtiser_data\train_correction\20_07_F\New%20folder\A08649.P4.xlsm" TargetMode="External"/><Relationship Id="rId35" Type="http://schemas.openxmlformats.org/officeDocument/2006/relationships/hyperlink" Target="csmtiser_data\train_correction\20_07_F\New%20folder\A00758.P4.xlsm" TargetMode="External"/><Relationship Id="rId8" Type="http://schemas.openxmlformats.org/officeDocument/2006/relationships/hyperlink" Target="csmtiser_data\train_correction\20_07_F\New%20folder\A00233.P4.xlsm" TargetMode="External"/><Relationship Id="rId3" Type="http://schemas.openxmlformats.org/officeDocument/2006/relationships/hyperlink" Target="csmtiser_data\train_correction\20_07_F\New%20folder\A00552.P4.xls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csmtiser_data\train_correction\20_07_F\New%20folder\A00233.P4.xlsm" TargetMode="External"/><Relationship Id="rId13" Type="http://schemas.openxmlformats.org/officeDocument/2006/relationships/hyperlink" Target="csmtiser_data\train_correction\20_07_F\New%20folder\A35318.P4.xlsm" TargetMode="External"/><Relationship Id="rId18" Type="http://schemas.openxmlformats.org/officeDocument/2006/relationships/hyperlink" Target="csmtiser_data\train_correction\20_07_F\New%20folder\A09173.P4.xlsm" TargetMode="External"/><Relationship Id="rId3" Type="http://schemas.openxmlformats.org/officeDocument/2006/relationships/hyperlink" Target="csmtiser_data\train_correction\20_07_F\New%20folder\A00552.P4.xlsm" TargetMode="External"/><Relationship Id="rId7" Type="http://schemas.openxmlformats.org/officeDocument/2006/relationships/hyperlink" Target="csmtiser_data\train_correction\20_07_F\New%20folder\A06169.P4.xlsm" TargetMode="External"/><Relationship Id="rId12" Type="http://schemas.openxmlformats.org/officeDocument/2006/relationships/hyperlink" Target="csmtiser_data\train_correction\20_07_F\New%20folder\A08649.P4.xlsm" TargetMode="External"/><Relationship Id="rId17" Type="http://schemas.openxmlformats.org/officeDocument/2006/relationships/hyperlink" Target="csmtiser_data\train_correction\20_07_F\New%20folder\A00758.P4.xlsm" TargetMode="External"/><Relationship Id="rId2" Type="http://schemas.openxmlformats.org/officeDocument/2006/relationships/hyperlink" Target="csmtiser_data\train_correction\20_07_F\New%20folder\A01190.P4.xlsm" TargetMode="External"/><Relationship Id="rId16" Type="http://schemas.openxmlformats.org/officeDocument/2006/relationships/hyperlink" Target="csmtiser_data\train_correction\20_07_F\New%20folder\A13797.P4.xlsm" TargetMode="External"/><Relationship Id="rId1" Type="http://schemas.openxmlformats.org/officeDocument/2006/relationships/hyperlink" Target="csmtiser_data\train_correction\20_07_F\New%20folder\A01373.P4.xlsm" TargetMode="External"/><Relationship Id="rId6" Type="http://schemas.openxmlformats.org/officeDocument/2006/relationships/hyperlink" Target="csmtiser_data\train_correction\20_07_F\New%20folder\A46912.P4.xlsm" TargetMode="External"/><Relationship Id="rId11" Type="http://schemas.openxmlformats.org/officeDocument/2006/relationships/hyperlink" Target="csmtiser_data\train_correction\20_07_F\New%20folder\A74375.P4.xlsm" TargetMode="External"/><Relationship Id="rId5" Type="http://schemas.openxmlformats.org/officeDocument/2006/relationships/hyperlink" Target="csmtiser_data\train_correction\20_07_F\New%20folder\A03799.P4.xlsm" TargetMode="External"/><Relationship Id="rId15" Type="http://schemas.openxmlformats.org/officeDocument/2006/relationships/hyperlink" Target="csmtiser_data\train_correction\20_07_F\New%20folder\A22826.P4.xlsm" TargetMode="External"/><Relationship Id="rId10" Type="http://schemas.openxmlformats.org/officeDocument/2006/relationships/hyperlink" Target="csmtiser_data\train_correction\20_07_F\New%20folder\A00982.P4.xlsm" TargetMode="External"/><Relationship Id="rId19" Type="http://schemas.openxmlformats.org/officeDocument/2006/relationships/table" Target="../tables/table4.xml"/><Relationship Id="rId4" Type="http://schemas.openxmlformats.org/officeDocument/2006/relationships/hyperlink" Target="csmtiser_data\train_correction\20_07_F\New%20folder\A31653.P4.xlsm" TargetMode="External"/><Relationship Id="rId9" Type="http://schemas.openxmlformats.org/officeDocument/2006/relationships/hyperlink" Target="csmtiser_data\train_correction\20_07_F\New%20folder\A00605.P4.xlsm" TargetMode="External"/><Relationship Id="rId14" Type="http://schemas.openxmlformats.org/officeDocument/2006/relationships/hyperlink" Target="csmtiser_data\train_correction\20_07_F\New%20folder\A12159.P4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7124-FC0F-4BBD-9181-BF6946C877B2}">
  <dimension ref="A1:O24"/>
  <sheetViews>
    <sheetView topLeftCell="D2" workbookViewId="0">
      <selection activeCell="L23" sqref="L23"/>
    </sheetView>
  </sheetViews>
  <sheetFormatPr defaultRowHeight="14.4" x14ac:dyDescent="0.3"/>
  <cols>
    <col min="1" max="1" width="7.6640625" customWidth="1"/>
    <col min="2" max="2" width="6.44140625" customWidth="1"/>
    <col min="3" max="3" width="11.5546875" customWidth="1"/>
    <col min="4" max="5" width="11.77734375" customWidth="1"/>
    <col min="6" max="8" width="9" customWidth="1"/>
    <col min="9" max="9" width="17.44140625" customWidth="1"/>
    <col min="10" max="10" width="15.5546875" customWidth="1"/>
    <col min="11" max="11" width="28.5546875" customWidth="1"/>
    <col min="13" max="13" width="19.6640625" customWidth="1"/>
  </cols>
  <sheetData>
    <row r="1" spans="1:15" x14ac:dyDescent="0.3">
      <c r="A1" s="32" t="s">
        <v>4</v>
      </c>
      <c r="C1" s="37" t="s">
        <v>1</v>
      </c>
      <c r="D1" s="38"/>
      <c r="E1" s="34" t="s">
        <v>0</v>
      </c>
      <c r="F1" s="35"/>
      <c r="G1" s="36"/>
      <c r="H1" s="25"/>
    </row>
    <row r="2" spans="1:15" ht="43.8" thickBot="1" x14ac:dyDescent="0.35">
      <c r="A2" s="33"/>
      <c r="B2" s="9" t="s">
        <v>6</v>
      </c>
      <c r="C2" s="4" t="s">
        <v>2</v>
      </c>
      <c r="D2" s="23" t="s">
        <v>3</v>
      </c>
      <c r="E2" s="8" t="s">
        <v>2</v>
      </c>
      <c r="F2" s="22" t="s">
        <v>3</v>
      </c>
      <c r="G2" s="5" t="s">
        <v>5</v>
      </c>
      <c r="H2" s="26" t="s">
        <v>31</v>
      </c>
      <c r="I2" s="21" t="s">
        <v>29</v>
      </c>
      <c r="J2" s="24" t="s">
        <v>30</v>
      </c>
      <c r="M2" t="s">
        <v>28</v>
      </c>
      <c r="O2" t="s">
        <v>7</v>
      </c>
    </row>
    <row r="3" spans="1:15" x14ac:dyDescent="0.3">
      <c r="A3" s="18" t="s">
        <v>19</v>
      </c>
      <c r="B3" s="10">
        <v>1492</v>
      </c>
      <c r="C3" s="3">
        <v>20</v>
      </c>
      <c r="D3" s="2">
        <v>20</v>
      </c>
      <c r="E3" s="7">
        <v>150</v>
      </c>
      <c r="F3" s="1">
        <v>310</v>
      </c>
      <c r="G3" s="20">
        <f t="shared" ref="G3:G22" si="0">((SUM(E3:F3)*100)/500)</f>
        <v>92</v>
      </c>
      <c r="H3" s="27">
        <f>Tabuľka5[[#This Row],[Stĺpec5]]+Tabuľka5[[#This Row],[Stĺpec3]]</f>
        <v>170</v>
      </c>
      <c r="I3" s="19">
        <f t="shared" ref="I3:I22" si="1">(E3*100)/(E3+C3)</f>
        <v>88.235294117647058</v>
      </c>
      <c r="J3" s="19">
        <f t="shared" ref="J3:J22" si="2">(D3*100)/(D3+F3)</f>
        <v>6.0606060606060606</v>
      </c>
      <c r="K3">
        <f t="shared" ref="K3:K22" si="3">(E3+F3)/500</f>
        <v>0.92</v>
      </c>
      <c r="M3">
        <f t="shared" ref="M3:M22" si="4">I3*K3</f>
        <v>81.17647058823529</v>
      </c>
      <c r="O3">
        <f t="shared" ref="O3:O22" si="5">G3*K3</f>
        <v>84.64</v>
      </c>
    </row>
    <row r="4" spans="1:15" x14ac:dyDescent="0.3">
      <c r="A4" s="18" t="s">
        <v>8</v>
      </c>
      <c r="B4" s="10">
        <v>1533</v>
      </c>
      <c r="C4" s="3">
        <v>12</v>
      </c>
      <c r="D4" s="2">
        <v>8</v>
      </c>
      <c r="E4" s="7">
        <v>164</v>
      </c>
      <c r="F4" s="1">
        <v>316</v>
      </c>
      <c r="G4" s="20">
        <f t="shared" si="0"/>
        <v>96</v>
      </c>
      <c r="H4" s="27">
        <f>Tabuľka5[[#This Row],[Stĺpec5]]+Tabuľka5[[#This Row],[Stĺpec3]]</f>
        <v>176</v>
      </c>
      <c r="I4" s="19">
        <f t="shared" si="1"/>
        <v>93.181818181818187</v>
      </c>
      <c r="J4" s="19">
        <f t="shared" si="2"/>
        <v>2.4691358024691357</v>
      </c>
      <c r="K4">
        <f t="shared" si="3"/>
        <v>0.96</v>
      </c>
      <c r="M4">
        <f t="shared" si="4"/>
        <v>89.454545454545453</v>
      </c>
      <c r="O4">
        <f t="shared" si="5"/>
        <v>92.16</v>
      </c>
    </row>
    <row r="5" spans="1:15" x14ac:dyDescent="0.3">
      <c r="A5" s="18" t="s">
        <v>21</v>
      </c>
      <c r="B5" s="10">
        <v>1546</v>
      </c>
      <c r="C5" s="3">
        <v>11</v>
      </c>
      <c r="D5" s="2">
        <v>4</v>
      </c>
      <c r="E5" s="7">
        <v>119</v>
      </c>
      <c r="F5" s="1">
        <v>366</v>
      </c>
      <c r="G5" s="20">
        <f t="shared" si="0"/>
        <v>97</v>
      </c>
      <c r="H5" s="27">
        <f>Tabuľka5[[#This Row],[Stĺpec5]]+Tabuľka5[[#This Row],[Stĺpec3]]</f>
        <v>130</v>
      </c>
      <c r="I5" s="19">
        <f t="shared" si="1"/>
        <v>91.538461538461533</v>
      </c>
      <c r="J5" s="19">
        <f t="shared" si="2"/>
        <v>1.0810810810810811</v>
      </c>
      <c r="K5">
        <f t="shared" si="3"/>
        <v>0.97</v>
      </c>
      <c r="M5">
        <f t="shared" si="4"/>
        <v>88.792307692307688</v>
      </c>
      <c r="O5">
        <f t="shared" si="5"/>
        <v>94.09</v>
      </c>
    </row>
    <row r="6" spans="1:15" x14ac:dyDescent="0.3">
      <c r="A6" s="18" t="s">
        <v>27</v>
      </c>
      <c r="B6" s="10">
        <v>1548</v>
      </c>
      <c r="C6" s="3">
        <v>11</v>
      </c>
      <c r="D6" s="2">
        <v>4</v>
      </c>
      <c r="E6" s="7">
        <v>132</v>
      </c>
      <c r="F6" s="1">
        <v>353</v>
      </c>
      <c r="G6" s="20">
        <f t="shared" si="0"/>
        <v>97</v>
      </c>
      <c r="H6" s="27">
        <f>Tabuľka5[[#This Row],[Stĺpec5]]+Tabuľka5[[#This Row],[Stĺpec3]]</f>
        <v>143</v>
      </c>
      <c r="I6" s="19">
        <f t="shared" si="1"/>
        <v>92.307692307692307</v>
      </c>
      <c r="J6" s="19">
        <f t="shared" si="2"/>
        <v>1.1204481792717087</v>
      </c>
      <c r="K6">
        <f t="shared" si="3"/>
        <v>0.97</v>
      </c>
      <c r="M6">
        <f t="shared" si="4"/>
        <v>89.538461538461533</v>
      </c>
      <c r="O6">
        <f t="shared" si="5"/>
        <v>94.09</v>
      </c>
    </row>
    <row r="7" spans="1:15" x14ac:dyDescent="0.3">
      <c r="A7" s="18" t="s">
        <v>26</v>
      </c>
      <c r="B7" s="10">
        <v>1563</v>
      </c>
      <c r="C7" s="3">
        <v>15</v>
      </c>
      <c r="D7" s="2">
        <v>4</v>
      </c>
      <c r="E7" s="7">
        <v>91</v>
      </c>
      <c r="F7" s="1">
        <v>390</v>
      </c>
      <c r="G7" s="20">
        <f t="shared" si="0"/>
        <v>96.2</v>
      </c>
      <c r="H7" s="27">
        <f>Tabuľka5[[#This Row],[Stĺpec5]]+Tabuľka5[[#This Row],[Stĺpec3]]</f>
        <v>106</v>
      </c>
      <c r="I7" s="19">
        <f t="shared" si="1"/>
        <v>85.84905660377359</v>
      </c>
      <c r="J7" s="19">
        <f t="shared" si="2"/>
        <v>1.015228426395939</v>
      </c>
      <c r="K7">
        <f t="shared" si="3"/>
        <v>0.96199999999999997</v>
      </c>
      <c r="M7">
        <f t="shared" si="4"/>
        <v>82.586792452830196</v>
      </c>
      <c r="O7">
        <f t="shared" si="5"/>
        <v>92.544399999999996</v>
      </c>
    </row>
    <row r="8" spans="1:15" x14ac:dyDescent="0.3">
      <c r="A8" s="18" t="s">
        <v>23</v>
      </c>
      <c r="B8" s="10">
        <v>1567</v>
      </c>
      <c r="C8" s="3">
        <v>6</v>
      </c>
      <c r="D8" s="2">
        <v>10</v>
      </c>
      <c r="E8" s="7">
        <v>105</v>
      </c>
      <c r="F8" s="1">
        <v>379</v>
      </c>
      <c r="G8" s="20">
        <f t="shared" si="0"/>
        <v>96.8</v>
      </c>
      <c r="H8" s="27">
        <f>Tabuľka5[[#This Row],[Stĺpec5]]+Tabuľka5[[#This Row],[Stĺpec3]]</f>
        <v>111</v>
      </c>
      <c r="I8" s="19">
        <f t="shared" si="1"/>
        <v>94.594594594594597</v>
      </c>
      <c r="J8" s="19">
        <f t="shared" si="2"/>
        <v>2.5706940874035991</v>
      </c>
      <c r="K8">
        <f t="shared" si="3"/>
        <v>0.96799999999999997</v>
      </c>
      <c r="M8">
        <f t="shared" si="4"/>
        <v>91.567567567567565</v>
      </c>
      <c r="O8">
        <f t="shared" si="5"/>
        <v>93.702399999999997</v>
      </c>
    </row>
    <row r="9" spans="1:15" x14ac:dyDescent="0.3">
      <c r="A9" s="18" t="s">
        <v>9</v>
      </c>
      <c r="B9" s="10">
        <v>1570</v>
      </c>
      <c r="C9" s="3">
        <v>9</v>
      </c>
      <c r="D9" s="2">
        <v>6</v>
      </c>
      <c r="E9" s="7">
        <v>84</v>
      </c>
      <c r="F9" s="1">
        <v>401</v>
      </c>
      <c r="G9" s="20">
        <f t="shared" si="0"/>
        <v>97</v>
      </c>
      <c r="H9" s="27">
        <f>Tabuľka5[[#This Row],[Stĺpec5]]+Tabuľka5[[#This Row],[Stĺpec3]]</f>
        <v>93</v>
      </c>
      <c r="I9" s="19">
        <f t="shared" si="1"/>
        <v>90.322580645161295</v>
      </c>
      <c r="J9" s="19">
        <f t="shared" si="2"/>
        <v>1.4742014742014742</v>
      </c>
      <c r="K9">
        <f t="shared" si="3"/>
        <v>0.97</v>
      </c>
      <c r="M9">
        <f t="shared" si="4"/>
        <v>87.612903225806448</v>
      </c>
      <c r="O9">
        <f t="shared" si="5"/>
        <v>94.09</v>
      </c>
    </row>
    <row r="10" spans="1:15" x14ac:dyDescent="0.3">
      <c r="A10" s="18" t="s">
        <v>25</v>
      </c>
      <c r="B10" s="10">
        <v>1586</v>
      </c>
      <c r="C10" s="3">
        <v>6</v>
      </c>
      <c r="D10" s="2">
        <v>2</v>
      </c>
      <c r="E10" s="7">
        <v>75</v>
      </c>
      <c r="F10" s="1">
        <v>417</v>
      </c>
      <c r="G10" s="20">
        <f t="shared" si="0"/>
        <v>98.4</v>
      </c>
      <c r="H10" s="27">
        <f>Tabuľka5[[#This Row],[Stĺpec5]]+Tabuľka5[[#This Row],[Stĺpec3]]</f>
        <v>81</v>
      </c>
      <c r="I10" s="19">
        <f t="shared" si="1"/>
        <v>92.592592592592595</v>
      </c>
      <c r="J10" s="19">
        <f t="shared" si="2"/>
        <v>0.47732696897374699</v>
      </c>
      <c r="K10">
        <f t="shared" si="3"/>
        <v>0.98399999999999999</v>
      </c>
      <c r="M10">
        <f t="shared" si="4"/>
        <v>91.111111111111114</v>
      </c>
      <c r="O10">
        <f t="shared" si="5"/>
        <v>96.825600000000009</v>
      </c>
    </row>
    <row r="11" spans="1:15" x14ac:dyDescent="0.3">
      <c r="A11" s="18" t="s">
        <v>15</v>
      </c>
      <c r="B11" s="10">
        <v>1596</v>
      </c>
      <c r="C11" s="3">
        <v>9</v>
      </c>
      <c r="D11" s="2">
        <v>4</v>
      </c>
      <c r="E11" s="7">
        <v>87</v>
      </c>
      <c r="F11" s="1">
        <v>400</v>
      </c>
      <c r="G11" s="20">
        <f t="shared" si="0"/>
        <v>97.4</v>
      </c>
      <c r="H11" s="27">
        <f>Tabuľka5[[#This Row],[Stĺpec5]]+Tabuľka5[[#This Row],[Stĺpec3]]</f>
        <v>96</v>
      </c>
      <c r="I11" s="19">
        <f t="shared" si="1"/>
        <v>90.625</v>
      </c>
      <c r="J11" s="19">
        <f t="shared" si="2"/>
        <v>0.99009900990099009</v>
      </c>
      <c r="K11">
        <f t="shared" si="3"/>
        <v>0.97399999999999998</v>
      </c>
      <c r="M11">
        <f t="shared" si="4"/>
        <v>88.268749999999997</v>
      </c>
      <c r="O11">
        <f t="shared" si="5"/>
        <v>94.86760000000001</v>
      </c>
    </row>
    <row r="12" spans="1:15" x14ac:dyDescent="0.3">
      <c r="A12" s="18" t="s">
        <v>20</v>
      </c>
      <c r="B12" s="10">
        <v>1598</v>
      </c>
      <c r="C12" s="3">
        <v>17</v>
      </c>
      <c r="D12" s="2">
        <v>8</v>
      </c>
      <c r="E12" s="7">
        <v>94</v>
      </c>
      <c r="F12" s="1">
        <v>381</v>
      </c>
      <c r="G12" s="20">
        <f t="shared" si="0"/>
        <v>95</v>
      </c>
      <c r="H12" s="27">
        <f>Tabuľka5[[#This Row],[Stĺpec5]]+Tabuľka5[[#This Row],[Stĺpec3]]</f>
        <v>111</v>
      </c>
      <c r="I12" s="19">
        <f t="shared" si="1"/>
        <v>84.684684684684683</v>
      </c>
      <c r="J12" s="19">
        <f t="shared" si="2"/>
        <v>2.0565552699228791</v>
      </c>
      <c r="K12">
        <f t="shared" si="3"/>
        <v>0.95</v>
      </c>
      <c r="M12">
        <f t="shared" si="4"/>
        <v>80.450450450450447</v>
      </c>
      <c r="O12">
        <f t="shared" si="5"/>
        <v>90.25</v>
      </c>
    </row>
    <row r="13" spans="1:15" x14ac:dyDescent="0.3">
      <c r="A13" s="18" t="s">
        <v>18</v>
      </c>
      <c r="B13" s="10">
        <v>1606</v>
      </c>
      <c r="C13" s="3">
        <v>8</v>
      </c>
      <c r="D13" s="2">
        <v>7</v>
      </c>
      <c r="E13" s="7">
        <v>76</v>
      </c>
      <c r="F13" s="1">
        <v>409</v>
      </c>
      <c r="G13" s="20">
        <f t="shared" si="0"/>
        <v>97</v>
      </c>
      <c r="H13" s="27">
        <f>Tabuľka5[[#This Row],[Stĺpec5]]+Tabuľka5[[#This Row],[Stĺpec3]]</f>
        <v>84</v>
      </c>
      <c r="I13" s="19">
        <f t="shared" si="1"/>
        <v>90.476190476190482</v>
      </c>
      <c r="J13" s="19">
        <f t="shared" si="2"/>
        <v>1.6826923076923077</v>
      </c>
      <c r="K13">
        <f t="shared" si="3"/>
        <v>0.97</v>
      </c>
      <c r="M13">
        <f t="shared" si="4"/>
        <v>87.761904761904759</v>
      </c>
      <c r="O13">
        <f t="shared" si="5"/>
        <v>94.09</v>
      </c>
    </row>
    <row r="14" spans="1:15" x14ac:dyDescent="0.3">
      <c r="A14" s="18" t="s">
        <v>10</v>
      </c>
      <c r="B14" s="10">
        <v>1617</v>
      </c>
      <c r="C14" s="3">
        <v>11</v>
      </c>
      <c r="D14" s="2">
        <v>4</v>
      </c>
      <c r="E14" s="7">
        <v>77</v>
      </c>
      <c r="F14" s="1">
        <v>408</v>
      </c>
      <c r="G14" s="20">
        <f t="shared" si="0"/>
        <v>97</v>
      </c>
      <c r="H14" s="27">
        <f>Tabuľka5[[#This Row],[Stĺpec5]]+Tabuľka5[[#This Row],[Stĺpec3]]</f>
        <v>88</v>
      </c>
      <c r="I14" s="19">
        <f t="shared" si="1"/>
        <v>87.5</v>
      </c>
      <c r="J14" s="19">
        <f t="shared" si="2"/>
        <v>0.970873786407767</v>
      </c>
      <c r="K14">
        <f t="shared" si="3"/>
        <v>0.97</v>
      </c>
      <c r="M14">
        <f t="shared" si="4"/>
        <v>84.875</v>
      </c>
      <c r="O14">
        <f t="shared" si="5"/>
        <v>94.09</v>
      </c>
    </row>
    <row r="15" spans="1:15" x14ac:dyDescent="0.3">
      <c r="A15" s="18" t="s">
        <v>11</v>
      </c>
      <c r="B15" s="10">
        <v>1622</v>
      </c>
      <c r="C15" s="3">
        <v>17</v>
      </c>
      <c r="D15" s="2">
        <v>6</v>
      </c>
      <c r="E15" s="7">
        <v>69</v>
      </c>
      <c r="F15" s="1">
        <v>408</v>
      </c>
      <c r="G15" s="20">
        <f t="shared" si="0"/>
        <v>95.4</v>
      </c>
      <c r="H15" s="27">
        <f>Tabuľka5[[#This Row],[Stĺpec5]]+Tabuľka5[[#This Row],[Stĺpec3]]</f>
        <v>86</v>
      </c>
      <c r="I15" s="19">
        <f t="shared" si="1"/>
        <v>80.232558139534888</v>
      </c>
      <c r="J15" s="19">
        <f t="shared" si="2"/>
        <v>1.4492753623188406</v>
      </c>
      <c r="K15">
        <f t="shared" si="3"/>
        <v>0.95399999999999996</v>
      </c>
      <c r="M15">
        <f t="shared" si="4"/>
        <v>76.541860465116287</v>
      </c>
      <c r="O15">
        <f t="shared" si="5"/>
        <v>91.011600000000001</v>
      </c>
    </row>
    <row r="16" spans="1:15" x14ac:dyDescent="0.3">
      <c r="A16" s="18" t="s">
        <v>17</v>
      </c>
      <c r="B16" s="10">
        <v>1632</v>
      </c>
      <c r="C16" s="3">
        <v>7</v>
      </c>
      <c r="D16" s="2">
        <v>4</v>
      </c>
      <c r="E16" s="7">
        <v>42</v>
      </c>
      <c r="F16" s="1">
        <v>443</v>
      </c>
      <c r="G16" s="20">
        <f t="shared" si="0"/>
        <v>97</v>
      </c>
      <c r="H16" s="27">
        <f>Tabuľka5[[#This Row],[Stĺpec5]]+Tabuľka5[[#This Row],[Stĺpec3]]</f>
        <v>49</v>
      </c>
      <c r="I16" s="19">
        <f t="shared" si="1"/>
        <v>85.714285714285708</v>
      </c>
      <c r="J16" s="19">
        <f t="shared" si="2"/>
        <v>0.89485458612975388</v>
      </c>
      <c r="K16">
        <f t="shared" si="3"/>
        <v>0.97</v>
      </c>
      <c r="M16">
        <f t="shared" si="4"/>
        <v>83.142857142857139</v>
      </c>
      <c r="O16">
        <f t="shared" si="5"/>
        <v>94.09</v>
      </c>
    </row>
    <row r="17" spans="1:15" x14ac:dyDescent="0.3">
      <c r="A17" s="18" t="s">
        <v>16</v>
      </c>
      <c r="B17" s="10">
        <v>1636</v>
      </c>
      <c r="C17" s="3">
        <v>0</v>
      </c>
      <c r="D17" s="2">
        <v>4</v>
      </c>
      <c r="E17" s="7">
        <v>57</v>
      </c>
      <c r="F17" s="1">
        <v>439</v>
      </c>
      <c r="G17" s="20">
        <f t="shared" si="0"/>
        <v>99.2</v>
      </c>
      <c r="H17" s="27">
        <f>Tabuľka5[[#This Row],[Stĺpec5]]+Tabuľka5[[#This Row],[Stĺpec3]]</f>
        <v>57</v>
      </c>
      <c r="I17" s="19">
        <f t="shared" si="1"/>
        <v>100</v>
      </c>
      <c r="J17" s="19">
        <f t="shared" si="2"/>
        <v>0.90293453724604966</v>
      </c>
      <c r="K17">
        <f t="shared" si="3"/>
        <v>0.99199999999999999</v>
      </c>
      <c r="M17">
        <f t="shared" si="4"/>
        <v>99.2</v>
      </c>
      <c r="O17">
        <f t="shared" si="5"/>
        <v>98.406400000000005</v>
      </c>
    </row>
    <row r="18" spans="1:15" x14ac:dyDescent="0.3">
      <c r="A18" s="18" t="s">
        <v>13</v>
      </c>
      <c r="B18" s="10">
        <v>1640</v>
      </c>
      <c r="C18" s="3">
        <v>6</v>
      </c>
      <c r="D18" s="2">
        <v>4</v>
      </c>
      <c r="E18" s="7">
        <v>29</v>
      </c>
      <c r="F18" s="1">
        <v>461</v>
      </c>
      <c r="G18" s="20">
        <f t="shared" si="0"/>
        <v>98</v>
      </c>
      <c r="H18" s="27">
        <f>Tabuľka5[[#This Row],[Stĺpec5]]+Tabuľka5[[#This Row],[Stĺpec3]]</f>
        <v>35</v>
      </c>
      <c r="I18" s="19">
        <f t="shared" si="1"/>
        <v>82.857142857142861</v>
      </c>
      <c r="J18" s="19">
        <f t="shared" si="2"/>
        <v>0.86021505376344087</v>
      </c>
      <c r="K18">
        <f t="shared" si="3"/>
        <v>0.98</v>
      </c>
      <c r="M18">
        <f t="shared" si="4"/>
        <v>81.2</v>
      </c>
      <c r="O18">
        <f t="shared" si="5"/>
        <v>96.039999999999992</v>
      </c>
    </row>
    <row r="19" spans="1:15" x14ac:dyDescent="0.3">
      <c r="A19" s="18" t="s">
        <v>22</v>
      </c>
      <c r="B19" s="10">
        <v>1650</v>
      </c>
      <c r="C19" s="3">
        <v>0</v>
      </c>
      <c r="D19" s="2">
        <v>3</v>
      </c>
      <c r="E19" s="7">
        <v>18</v>
      </c>
      <c r="F19" s="1">
        <v>479</v>
      </c>
      <c r="G19" s="20">
        <f t="shared" si="0"/>
        <v>99.4</v>
      </c>
      <c r="H19" s="27">
        <f>Tabuľka5[[#This Row],[Stĺpec5]]+Tabuľka5[[#This Row],[Stĺpec3]]</f>
        <v>18</v>
      </c>
      <c r="I19" s="19">
        <f t="shared" si="1"/>
        <v>100</v>
      </c>
      <c r="J19" s="19">
        <f t="shared" si="2"/>
        <v>0.62240663900414939</v>
      </c>
      <c r="K19">
        <f t="shared" si="3"/>
        <v>0.99399999999999999</v>
      </c>
      <c r="M19">
        <f t="shared" si="4"/>
        <v>99.4</v>
      </c>
      <c r="O19">
        <f t="shared" si="5"/>
        <v>98.803600000000003</v>
      </c>
    </row>
    <row r="20" spans="1:15" x14ac:dyDescent="0.3">
      <c r="A20" s="18" t="s">
        <v>14</v>
      </c>
      <c r="B20" s="10">
        <v>1659</v>
      </c>
      <c r="C20" s="3">
        <v>6</v>
      </c>
      <c r="D20" s="2">
        <v>2</v>
      </c>
      <c r="E20" s="7">
        <v>9</v>
      </c>
      <c r="F20" s="1">
        <v>483</v>
      </c>
      <c r="G20" s="20">
        <f t="shared" si="0"/>
        <v>98.4</v>
      </c>
      <c r="H20" s="27">
        <f>Tabuľka5[[#This Row],[Stĺpec5]]+Tabuľka5[[#This Row],[Stĺpec3]]</f>
        <v>15</v>
      </c>
      <c r="I20" s="19">
        <f t="shared" si="1"/>
        <v>60</v>
      </c>
      <c r="J20" s="19">
        <f t="shared" si="2"/>
        <v>0.41237113402061853</v>
      </c>
      <c r="K20">
        <f t="shared" si="3"/>
        <v>0.98399999999999999</v>
      </c>
      <c r="M20">
        <f t="shared" si="4"/>
        <v>59.04</v>
      </c>
      <c r="O20">
        <f t="shared" si="5"/>
        <v>96.825600000000009</v>
      </c>
    </row>
    <row r="21" spans="1:15" x14ac:dyDescent="0.3">
      <c r="A21" s="18" t="s">
        <v>12</v>
      </c>
      <c r="B21" s="10">
        <v>1664</v>
      </c>
      <c r="C21" s="3">
        <v>6</v>
      </c>
      <c r="D21" s="2">
        <v>1</v>
      </c>
      <c r="E21" s="7">
        <v>11</v>
      </c>
      <c r="F21" s="1">
        <v>482</v>
      </c>
      <c r="G21" s="20">
        <f t="shared" si="0"/>
        <v>98.6</v>
      </c>
      <c r="H21" s="27">
        <f>Tabuľka5[[#This Row],[Stĺpec5]]+Tabuľka5[[#This Row],[Stĺpec3]]</f>
        <v>17</v>
      </c>
      <c r="I21" s="19">
        <f t="shared" si="1"/>
        <v>64.705882352941174</v>
      </c>
      <c r="J21" s="19">
        <f t="shared" si="2"/>
        <v>0.20703933747412009</v>
      </c>
      <c r="K21">
        <f t="shared" si="3"/>
        <v>0.98599999999999999</v>
      </c>
      <c r="M21">
        <f t="shared" si="4"/>
        <v>63.8</v>
      </c>
      <c r="O21">
        <f t="shared" si="5"/>
        <v>97.2196</v>
      </c>
    </row>
    <row r="22" spans="1:15" x14ac:dyDescent="0.3">
      <c r="A22" s="18" t="s">
        <v>24</v>
      </c>
      <c r="B22" s="10">
        <v>1697</v>
      </c>
      <c r="C22" s="3">
        <v>2</v>
      </c>
      <c r="D22" s="2">
        <v>1</v>
      </c>
      <c r="E22" s="7">
        <v>20</v>
      </c>
      <c r="F22" s="1">
        <v>477</v>
      </c>
      <c r="G22" s="20">
        <f t="shared" si="0"/>
        <v>99.4</v>
      </c>
      <c r="H22" s="27">
        <f>Tabuľka5[[#This Row],[Stĺpec5]]+Tabuľka5[[#This Row],[Stĺpec3]]</f>
        <v>22</v>
      </c>
      <c r="I22" s="19">
        <f t="shared" si="1"/>
        <v>90.909090909090907</v>
      </c>
      <c r="J22" s="19">
        <f t="shared" si="2"/>
        <v>0.20920502092050208</v>
      </c>
      <c r="K22">
        <f t="shared" si="3"/>
        <v>0.99399999999999999</v>
      </c>
      <c r="M22">
        <f t="shared" si="4"/>
        <v>90.36363636363636</v>
      </c>
      <c r="O22">
        <f t="shared" si="5"/>
        <v>98.803600000000003</v>
      </c>
    </row>
    <row r="23" spans="1:15" x14ac:dyDescent="0.3">
      <c r="A23" s="39" t="s">
        <v>33</v>
      </c>
      <c r="B23" s="39"/>
      <c r="C23">
        <f>AVERAGE(Tabuľka5[[#All],[Stĺpec3]])</f>
        <v>8.9499999999999993</v>
      </c>
      <c r="D23" s="19">
        <f>AVERAGE(Tabuľka5[[#All],[Stĺpec4]])</f>
        <v>5.3</v>
      </c>
      <c r="E23" s="19">
        <f>AVERAGE(Tabuľka5[[#All],[Stĺpec5]])</f>
        <v>75.45</v>
      </c>
      <c r="F23" s="19">
        <f>AVERAGE(Tabuľka5[[#All],[Stĺpec6]])</f>
        <v>410.1</v>
      </c>
      <c r="G23">
        <f>AVERAGE(Tabuľka5[[#All],[Stĺpec7]])</f>
        <v>97.110000000000014</v>
      </c>
      <c r="H23" s="19">
        <f>AVERAGE(Tabuľka5[[#All],[Stĺpec72]])</f>
        <v>84.4</v>
      </c>
      <c r="I23" s="19">
        <f>AVERAGE(Tabuľka5[[#All],[Stĺpec8]])</f>
        <v>87.316346285780611</v>
      </c>
      <c r="J23" s="19">
        <f>AVERAGE(Tabuľka5[[#All],[Stĺpec9]])</f>
        <v>1.3763622062602081</v>
      </c>
    </row>
    <row r="24" spans="1:15" x14ac:dyDescent="0.3">
      <c r="A24" s="39" t="s">
        <v>34</v>
      </c>
      <c r="B24" s="39"/>
      <c r="C24" s="19">
        <f>STDEV(Tabuľka5[[#All],[Stĺpec3]])</f>
        <v>5.4625519388112487</v>
      </c>
      <c r="D24" s="19">
        <f>STDEV(Tabuľka5[[#All],[Stĺpec4]])</f>
        <v>4.193980649002869</v>
      </c>
      <c r="E24" s="19">
        <f>STDEV(Tabuľka5[[#All],[Stĺpec5]])</f>
        <v>45.169243145261902</v>
      </c>
      <c r="F24" s="19">
        <f>STDEV(Tabuľka5[[#All],[Stĺpec6]])</f>
        <v>51.68518061046931</v>
      </c>
      <c r="G24" s="19">
        <f>STDEV(Tabuľka5[[#All],[Stĺpec7]])</f>
        <v>1.732020420446049</v>
      </c>
      <c r="H24" s="19">
        <f>STDEV(Tabuľka5[[#All],[Stĺpec72]])</f>
        <v>48.911735756736761</v>
      </c>
      <c r="I24" s="19">
        <f>STDEV(Tabuľka5[[#All],[Stĺpec8]])</f>
        <v>9.901053134348258</v>
      </c>
      <c r="J24" s="19">
        <f>STDEV(Tabuľka5[[#All],[Stĺpec9]])</f>
        <v>1.2873634570508168</v>
      </c>
    </row>
  </sheetData>
  <mergeCells count="5">
    <mergeCell ref="A1:A2"/>
    <mergeCell ref="E1:G1"/>
    <mergeCell ref="C1:D1"/>
    <mergeCell ref="A23:B23"/>
    <mergeCell ref="A24:B24"/>
  </mergeCells>
  <phoneticPr fontId="3" type="noConversion"/>
  <hyperlinks>
    <hyperlink ref="A9" r:id="rId1" display="A01373.P4.txt" xr:uid="{F2293792-4356-4136-BC35-229BD9CB754A}"/>
    <hyperlink ref="A14" r:id="rId2" display="A01190.P4.txt" xr:uid="{F757E865-C76D-4C5A-9279-0AF9DDC889A3}"/>
    <hyperlink ref="A15" r:id="rId3" display="A00552.P4.txt" xr:uid="{D131D35E-A149-4F07-9933-2FA337B13C76}"/>
    <hyperlink ref="A21" r:id="rId4" display="A31653.P4.txt" xr:uid="{20438851-7DED-42DF-AEB2-698B7370B794}"/>
    <hyperlink ref="A18" r:id="rId5" display="A03799.P4.txt" xr:uid="{27CB4706-5F98-4700-A8E2-EB9660B4CEAF}"/>
    <hyperlink ref="A20" r:id="rId6" display="A46912.P4.txt" xr:uid="{F92ED849-EA99-4284-BE4C-8BD92B1FBFF7}"/>
    <hyperlink ref="A11" r:id="rId7" display="A06169.P4.txt" xr:uid="{43F148FF-B7F8-4C60-AAD3-0D89F13814D5}"/>
    <hyperlink ref="A17" r:id="rId8" display="A00233.P4.txt" xr:uid="{3BB093BA-DC05-4AC5-B892-B2B222087300}"/>
    <hyperlink ref="A16" r:id="rId9" display="A00605.P4.txt" xr:uid="{BBE5D8C4-C544-4305-9AB6-5620B3407371}"/>
    <hyperlink ref="A13" r:id="rId10" display="A00982.P4.txt" xr:uid="{93D0E145-B8FF-4161-AEE9-DBE511AC5B9F}"/>
    <hyperlink ref="A19" r:id="rId11" display="A74375.P4.txt" xr:uid="{7B377DC8-E726-48C6-B419-8C780058D235}"/>
    <hyperlink ref="A8" r:id="rId12" display="A08649.P4.txt" xr:uid="{71425AA0-87B1-4556-B87C-E4843B9BB9A9}"/>
    <hyperlink ref="A22" r:id="rId13" display="A35318.P4.txt" xr:uid="{FBEDF3C5-6104-446C-8D1A-D3EDDAF8C765}"/>
    <hyperlink ref="A3" r:id="rId14" display="A22826.P4.txt" xr:uid="{3FA2ECF1-33EA-4A06-B107-63E939C8E510}"/>
    <hyperlink ref="A12" r:id="rId15" display="A13797.P4.txt" xr:uid="{A68C7E86-19EE-4741-8142-C9EB2B9F6642}"/>
    <hyperlink ref="A5" r:id="rId16" display="A00758.P4.txt" xr:uid="{89639E4A-A0A1-4F50-B16E-FAD81DCE2290}"/>
    <hyperlink ref="A10" r:id="rId17" display="A09173.P4.txt" xr:uid="{860641A4-69C3-42EF-A0F4-805D994CBDB5}"/>
    <hyperlink ref="A7" r:id="rId18" display="A12159.P4.txt" xr:uid="{1B360B67-E006-4891-8A72-9FE40726909F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FAEA-56C6-4758-B6F7-4AC0158E21D0}">
  <dimension ref="A1:C14"/>
  <sheetViews>
    <sheetView workbookViewId="0">
      <selection sqref="A1:C14"/>
    </sheetView>
  </sheetViews>
  <sheetFormatPr defaultRowHeight="14.4" x14ac:dyDescent="0.3"/>
  <cols>
    <col min="1" max="1" width="15.6640625" customWidth="1"/>
  </cols>
  <sheetData>
    <row r="1" spans="1:3" x14ac:dyDescent="0.3">
      <c r="A1" t="s">
        <v>47</v>
      </c>
    </row>
    <row r="2" spans="1:3" ht="15" thickBot="1" x14ac:dyDescent="0.35"/>
    <row r="3" spans="1:3" x14ac:dyDescent="0.3">
      <c r="A3" s="31"/>
      <c r="B3" s="31" t="s">
        <v>36</v>
      </c>
      <c r="C3" s="31" t="s">
        <v>37</v>
      </c>
    </row>
    <row r="4" spans="1:3" x14ac:dyDescent="0.3">
      <c r="A4" t="s">
        <v>33</v>
      </c>
      <c r="B4">
        <v>97.110000000000014</v>
      </c>
      <c r="C4">
        <v>98.609999999999985</v>
      </c>
    </row>
    <row r="5" spans="1:3" x14ac:dyDescent="0.3">
      <c r="A5" t="s">
        <v>38</v>
      </c>
      <c r="B5">
        <v>2.9998947368421081</v>
      </c>
      <c r="C5">
        <v>2.3725263157894707</v>
      </c>
    </row>
    <row r="6" spans="1:3" x14ac:dyDescent="0.3">
      <c r="A6" t="s">
        <v>39</v>
      </c>
      <c r="B6">
        <v>20</v>
      </c>
      <c r="C6">
        <v>20</v>
      </c>
    </row>
    <row r="7" spans="1:3" x14ac:dyDescent="0.3">
      <c r="A7" t="s">
        <v>48</v>
      </c>
      <c r="B7">
        <v>0.81789248742765286</v>
      </c>
    </row>
    <row r="8" spans="1:3" x14ac:dyDescent="0.3">
      <c r="A8" t="s">
        <v>40</v>
      </c>
      <c r="B8">
        <v>0</v>
      </c>
    </row>
    <row r="9" spans="1:3" x14ac:dyDescent="0.3">
      <c r="A9" t="s">
        <v>41</v>
      </c>
      <c r="B9">
        <v>19</v>
      </c>
    </row>
    <row r="10" spans="1:3" x14ac:dyDescent="0.3">
      <c r="A10" t="s">
        <v>42</v>
      </c>
      <c r="B10">
        <v>-6.6801360105163852</v>
      </c>
    </row>
    <row r="11" spans="1:3" x14ac:dyDescent="0.3">
      <c r="A11" t="s">
        <v>43</v>
      </c>
      <c r="B11">
        <v>1.0918375024221965E-6</v>
      </c>
    </row>
    <row r="12" spans="1:3" x14ac:dyDescent="0.3">
      <c r="A12" t="s">
        <v>44</v>
      </c>
      <c r="B12">
        <v>1.7291328115213698</v>
      </c>
    </row>
    <row r="13" spans="1:3" x14ac:dyDescent="0.3">
      <c r="A13" t="s">
        <v>45</v>
      </c>
      <c r="B13">
        <v>2.1836750048443931E-6</v>
      </c>
    </row>
    <row r="14" spans="1:3" ht="15" thickBot="1" x14ac:dyDescent="0.35">
      <c r="A14" s="30" t="s">
        <v>46</v>
      </c>
      <c r="B14" s="30">
        <v>2.0930240544083096</v>
      </c>
      <c r="C1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98A6-AC68-452A-9525-D8EB880D12C7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1" t="s">
        <v>49</v>
      </c>
      <c r="B1" s="31" t="s">
        <v>51</v>
      </c>
    </row>
    <row r="2" spans="1:2" x14ac:dyDescent="0.3">
      <c r="A2">
        <v>92</v>
      </c>
      <c r="B2">
        <v>0</v>
      </c>
    </row>
    <row r="3" spans="1:2" x14ac:dyDescent="0.3">
      <c r="A3">
        <v>93</v>
      </c>
      <c r="B3">
        <v>1</v>
      </c>
    </row>
    <row r="4" spans="1:2" x14ac:dyDescent="0.3">
      <c r="A4">
        <v>94</v>
      </c>
      <c r="B4">
        <v>0</v>
      </c>
    </row>
    <row r="5" spans="1:2" x14ac:dyDescent="0.3">
      <c r="A5">
        <v>95</v>
      </c>
      <c r="B5">
        <v>0</v>
      </c>
    </row>
    <row r="6" spans="1:2" x14ac:dyDescent="0.3">
      <c r="A6">
        <v>96</v>
      </c>
      <c r="B6">
        <v>0</v>
      </c>
    </row>
    <row r="7" spans="1:2" x14ac:dyDescent="0.3">
      <c r="A7">
        <v>97</v>
      </c>
      <c r="B7">
        <v>1</v>
      </c>
    </row>
    <row r="8" spans="1:2" x14ac:dyDescent="0.3">
      <c r="A8">
        <v>98</v>
      </c>
      <c r="B8">
        <v>1</v>
      </c>
    </row>
    <row r="9" spans="1:2" x14ac:dyDescent="0.3">
      <c r="A9">
        <v>99</v>
      </c>
      <c r="B9">
        <v>8</v>
      </c>
    </row>
    <row r="10" spans="1:2" x14ac:dyDescent="0.3">
      <c r="A10">
        <v>100</v>
      </c>
      <c r="B10">
        <v>9</v>
      </c>
    </row>
    <row r="11" spans="1:2" ht="15" thickBot="1" x14ac:dyDescent="0.35">
      <c r="A11" s="30" t="s">
        <v>50</v>
      </c>
      <c r="B11" s="30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E66-7ECF-4742-AC9F-E0232ED1C9D6}">
  <dimension ref="A1:W25"/>
  <sheetViews>
    <sheetView tabSelected="1" topLeftCell="O3" zoomScale="91" zoomScaleNormal="70" workbookViewId="0">
      <selection activeCell="W14" sqref="W14"/>
    </sheetView>
  </sheetViews>
  <sheetFormatPr defaultRowHeight="14.4" x14ac:dyDescent="0.3"/>
  <sheetData>
    <row r="1" spans="1:23" x14ac:dyDescent="0.3">
      <c r="A1" s="39" t="s">
        <v>52</v>
      </c>
      <c r="B1" s="39"/>
      <c r="C1" s="39"/>
      <c r="D1" s="39"/>
      <c r="E1" s="39"/>
      <c r="F1" s="39"/>
      <c r="G1" s="39"/>
      <c r="H1" s="39"/>
      <c r="I1" s="39"/>
      <c r="J1" s="39"/>
      <c r="N1" s="39" t="s">
        <v>35</v>
      </c>
      <c r="O1" s="39"/>
      <c r="P1" s="39"/>
      <c r="Q1" s="39"/>
      <c r="R1" s="39"/>
      <c r="S1" s="39"/>
      <c r="T1" s="39"/>
      <c r="U1" s="39"/>
      <c r="V1" s="39"/>
      <c r="W1" s="39"/>
    </row>
    <row r="2" spans="1:23" x14ac:dyDescent="0.3">
      <c r="A2" s="32" t="s">
        <v>4</v>
      </c>
      <c r="C2" s="37" t="s">
        <v>1</v>
      </c>
      <c r="D2" s="38"/>
      <c r="E2" s="34" t="s">
        <v>0</v>
      </c>
      <c r="F2" s="35"/>
      <c r="G2" s="36"/>
      <c r="H2" s="25"/>
      <c r="N2" s="11" t="s">
        <v>4</v>
      </c>
      <c r="P2" s="16" t="s">
        <v>1</v>
      </c>
      <c r="Q2" s="17"/>
      <c r="R2" s="13" t="s">
        <v>0</v>
      </c>
      <c r="S2" s="14"/>
      <c r="T2" s="15"/>
      <c r="U2" s="25"/>
    </row>
    <row r="3" spans="1:23" ht="87" thickBot="1" x14ac:dyDescent="0.35">
      <c r="A3" s="33"/>
      <c r="B3" s="9" t="s">
        <v>6</v>
      </c>
      <c r="C3" s="4" t="s">
        <v>2</v>
      </c>
      <c r="D3" s="23" t="s">
        <v>3</v>
      </c>
      <c r="E3" s="8" t="s">
        <v>2</v>
      </c>
      <c r="F3" s="22" t="s">
        <v>3</v>
      </c>
      <c r="G3" s="5" t="s">
        <v>5</v>
      </c>
      <c r="H3" s="26" t="s">
        <v>31</v>
      </c>
      <c r="I3" s="21" t="s">
        <v>29</v>
      </c>
      <c r="J3" s="24" t="s">
        <v>30</v>
      </c>
      <c r="N3" s="12"/>
      <c r="O3" s="9" t="s">
        <v>6</v>
      </c>
      <c r="P3" s="28" t="s">
        <v>2</v>
      </c>
      <c r="Q3" s="23" t="s">
        <v>3</v>
      </c>
      <c r="R3" s="8" t="s">
        <v>2</v>
      </c>
      <c r="S3" s="22" t="s">
        <v>3</v>
      </c>
      <c r="T3" s="5" t="s">
        <v>5</v>
      </c>
      <c r="U3" s="26" t="s">
        <v>31</v>
      </c>
      <c r="V3" s="21" t="s">
        <v>29</v>
      </c>
      <c r="W3" s="24" t="s">
        <v>30</v>
      </c>
    </row>
    <row r="4" spans="1:23" x14ac:dyDescent="0.3">
      <c r="A4" s="18" t="s">
        <v>19</v>
      </c>
      <c r="B4" s="10">
        <v>1492</v>
      </c>
      <c r="C4" s="3">
        <v>19</v>
      </c>
      <c r="D4" s="2">
        <v>22</v>
      </c>
      <c r="E4" s="7">
        <v>151</v>
      </c>
      <c r="F4" s="1">
        <v>308</v>
      </c>
      <c r="G4" s="20">
        <f t="shared" ref="G4:G23" si="0">((SUM(E4:F4)*100)/500)</f>
        <v>91.8</v>
      </c>
      <c r="H4" s="27">
        <f>Tabuľka58[[#This Row],[Stĺpec5]]+Tabuľka58[[#This Row],[Stĺpec3]]</f>
        <v>170</v>
      </c>
      <c r="I4" s="19">
        <f t="shared" ref="I4:I23" si="1">(E4*100)/(E4+C4)</f>
        <v>88.82352941176471</v>
      </c>
      <c r="J4" s="19">
        <f t="shared" ref="J4:J23" si="2">(D4*100)/(D4+F4)</f>
        <v>6.666666666666667</v>
      </c>
      <c r="N4" s="18" t="s">
        <v>19</v>
      </c>
      <c r="O4" s="10">
        <v>1492</v>
      </c>
      <c r="P4" s="3">
        <v>7</v>
      </c>
      <c r="Q4" s="2">
        <v>29</v>
      </c>
      <c r="R4" s="7">
        <v>156</v>
      </c>
      <c r="S4" s="1">
        <v>308</v>
      </c>
      <c r="T4" s="6">
        <f t="shared" ref="T4:T23" si="3">((SUM(R4:S4)*100)/500)</f>
        <v>92.8</v>
      </c>
      <c r="U4" s="27">
        <f t="shared" ref="U4:U23" si="4">R4+P4</f>
        <v>163</v>
      </c>
      <c r="V4" s="19">
        <f t="shared" ref="V4:V23" si="5">(R4*100)/(R4+P4)</f>
        <v>95.705521472392633</v>
      </c>
      <c r="W4" s="19">
        <f t="shared" ref="W4:W23" si="6">(Q4*100)/(S4+Q4)</f>
        <v>8.6053412462908003</v>
      </c>
    </row>
    <row r="5" spans="1:23" x14ac:dyDescent="0.3">
      <c r="A5" s="18" t="s">
        <v>8</v>
      </c>
      <c r="B5" s="10">
        <v>1533</v>
      </c>
      <c r="C5" s="3">
        <v>12</v>
      </c>
      <c r="D5" s="2">
        <v>8</v>
      </c>
      <c r="E5" s="7">
        <v>164</v>
      </c>
      <c r="F5" s="1">
        <v>316</v>
      </c>
      <c r="G5" s="20">
        <f t="shared" si="0"/>
        <v>96</v>
      </c>
      <c r="H5" s="27">
        <f>Tabuľka58[[#This Row],[Stĺpec5]]+Tabuľka58[[#This Row],[Stĺpec3]]</f>
        <v>176</v>
      </c>
      <c r="I5" s="19">
        <f t="shared" si="1"/>
        <v>93.181818181818187</v>
      </c>
      <c r="J5" s="19">
        <f t="shared" si="2"/>
        <v>2.4691358024691357</v>
      </c>
      <c r="N5" s="18" t="s">
        <v>8</v>
      </c>
      <c r="O5" s="10">
        <v>1533</v>
      </c>
      <c r="P5" s="3">
        <v>3</v>
      </c>
      <c r="Q5" s="2">
        <v>6</v>
      </c>
      <c r="R5" s="7">
        <v>170</v>
      </c>
      <c r="S5" s="1">
        <v>321</v>
      </c>
      <c r="T5" s="6">
        <f t="shared" si="3"/>
        <v>98.2</v>
      </c>
      <c r="U5" s="27">
        <f t="shared" si="4"/>
        <v>173</v>
      </c>
      <c r="V5" s="19">
        <f t="shared" si="5"/>
        <v>98.265895953757223</v>
      </c>
      <c r="W5" s="19">
        <f t="shared" si="6"/>
        <v>1.834862385321101</v>
      </c>
    </row>
    <row r="6" spans="1:23" x14ac:dyDescent="0.3">
      <c r="A6" s="18" t="s">
        <v>21</v>
      </c>
      <c r="B6" s="10">
        <v>1546</v>
      </c>
      <c r="C6" s="3">
        <v>11</v>
      </c>
      <c r="D6" s="2">
        <v>4</v>
      </c>
      <c r="E6" s="7">
        <v>119</v>
      </c>
      <c r="F6" s="1">
        <v>366</v>
      </c>
      <c r="G6" s="20">
        <f t="shared" si="0"/>
        <v>97</v>
      </c>
      <c r="H6" s="27">
        <f>Tabuľka58[[#This Row],[Stĺpec5]]+Tabuľka58[[#This Row],[Stĺpec3]]</f>
        <v>130</v>
      </c>
      <c r="I6" s="19">
        <f t="shared" si="1"/>
        <v>91.538461538461533</v>
      </c>
      <c r="J6" s="19">
        <f t="shared" si="2"/>
        <v>1.0810810810810811</v>
      </c>
      <c r="N6" s="18" t="s">
        <v>21</v>
      </c>
      <c r="O6" s="10">
        <v>1546</v>
      </c>
      <c r="P6" s="3">
        <v>4</v>
      </c>
      <c r="Q6" s="2">
        <v>14</v>
      </c>
      <c r="R6" s="7">
        <v>133</v>
      </c>
      <c r="S6" s="1">
        <v>349</v>
      </c>
      <c r="T6" s="6">
        <f t="shared" si="3"/>
        <v>96.4</v>
      </c>
      <c r="U6" s="27">
        <f t="shared" si="4"/>
        <v>137</v>
      </c>
      <c r="V6" s="19">
        <f t="shared" si="5"/>
        <v>97.080291970802918</v>
      </c>
      <c r="W6" s="19">
        <f t="shared" si="6"/>
        <v>3.8567493112947657</v>
      </c>
    </row>
    <row r="7" spans="1:23" x14ac:dyDescent="0.3">
      <c r="A7" s="18" t="s">
        <v>27</v>
      </c>
      <c r="B7" s="10">
        <v>1548</v>
      </c>
      <c r="C7" s="3">
        <v>11</v>
      </c>
      <c r="D7" s="2">
        <v>4</v>
      </c>
      <c r="E7" s="7">
        <v>132</v>
      </c>
      <c r="F7" s="1">
        <v>353</v>
      </c>
      <c r="G7" s="20">
        <f t="shared" si="0"/>
        <v>97</v>
      </c>
      <c r="H7" s="27">
        <f>Tabuľka58[[#This Row],[Stĺpec5]]+Tabuľka58[[#This Row],[Stĺpec3]]</f>
        <v>143</v>
      </c>
      <c r="I7" s="19">
        <f t="shared" si="1"/>
        <v>92.307692307692307</v>
      </c>
      <c r="J7" s="19">
        <f t="shared" si="2"/>
        <v>1.1204481792717087</v>
      </c>
      <c r="N7" s="18" t="s">
        <v>27</v>
      </c>
      <c r="O7" s="10">
        <v>1548</v>
      </c>
      <c r="P7" s="3">
        <v>2</v>
      </c>
      <c r="Q7" s="2">
        <v>5</v>
      </c>
      <c r="R7" s="7">
        <v>148</v>
      </c>
      <c r="S7" s="1">
        <v>345</v>
      </c>
      <c r="T7" s="6">
        <f t="shared" si="3"/>
        <v>98.6</v>
      </c>
      <c r="U7" s="27">
        <f t="shared" si="4"/>
        <v>150</v>
      </c>
      <c r="V7" s="19">
        <f t="shared" si="5"/>
        <v>98.666666666666671</v>
      </c>
      <c r="W7" s="19">
        <f t="shared" si="6"/>
        <v>1.4285714285714286</v>
      </c>
    </row>
    <row r="8" spans="1:23" x14ac:dyDescent="0.3">
      <c r="A8" s="18" t="s">
        <v>26</v>
      </c>
      <c r="B8" s="10">
        <v>1563</v>
      </c>
      <c r="C8" s="3">
        <v>15</v>
      </c>
      <c r="D8" s="2">
        <v>4</v>
      </c>
      <c r="E8" s="7">
        <v>91</v>
      </c>
      <c r="F8" s="1">
        <v>390</v>
      </c>
      <c r="G8" s="20">
        <f t="shared" si="0"/>
        <v>96.2</v>
      </c>
      <c r="H8" s="27">
        <f>Tabuľka58[[#This Row],[Stĺpec5]]+Tabuľka58[[#This Row],[Stĺpec3]]</f>
        <v>106</v>
      </c>
      <c r="I8" s="19">
        <f t="shared" si="1"/>
        <v>85.84905660377359</v>
      </c>
      <c r="J8" s="19">
        <f t="shared" si="2"/>
        <v>1.015228426395939</v>
      </c>
      <c r="N8" s="18" t="s">
        <v>26</v>
      </c>
      <c r="O8" s="10">
        <v>1563</v>
      </c>
      <c r="P8" s="3">
        <v>3</v>
      </c>
      <c r="Q8" s="2">
        <v>10</v>
      </c>
      <c r="R8" s="7">
        <v>98</v>
      </c>
      <c r="S8" s="1">
        <v>397</v>
      </c>
      <c r="T8" s="6">
        <f t="shared" si="3"/>
        <v>99</v>
      </c>
      <c r="U8" s="27">
        <f t="shared" si="4"/>
        <v>101</v>
      </c>
      <c r="V8" s="19">
        <f t="shared" si="5"/>
        <v>97.029702970297024</v>
      </c>
      <c r="W8" s="19">
        <f t="shared" si="6"/>
        <v>2.4570024570024569</v>
      </c>
    </row>
    <row r="9" spans="1:23" x14ac:dyDescent="0.3">
      <c r="A9" s="18" t="s">
        <v>23</v>
      </c>
      <c r="B9" s="10">
        <v>1567</v>
      </c>
      <c r="C9" s="3">
        <v>6</v>
      </c>
      <c r="D9" s="2">
        <v>10</v>
      </c>
      <c r="E9" s="7">
        <v>105</v>
      </c>
      <c r="F9" s="1">
        <v>379</v>
      </c>
      <c r="G9" s="20">
        <f t="shared" si="0"/>
        <v>96.8</v>
      </c>
      <c r="H9" s="27">
        <f>Tabuľka58[[#This Row],[Stĺpec5]]+Tabuľka58[[#This Row],[Stĺpec3]]</f>
        <v>111</v>
      </c>
      <c r="I9" s="19">
        <f t="shared" si="1"/>
        <v>94.594594594594597</v>
      </c>
      <c r="J9" s="19">
        <f t="shared" si="2"/>
        <v>2.5706940874035991</v>
      </c>
      <c r="N9" s="18" t="s">
        <v>23</v>
      </c>
      <c r="O9" s="10">
        <v>1567</v>
      </c>
      <c r="P9" s="3">
        <v>0</v>
      </c>
      <c r="Q9" s="2">
        <v>6</v>
      </c>
      <c r="R9" s="7">
        <v>116</v>
      </c>
      <c r="S9" s="1">
        <v>378</v>
      </c>
      <c r="T9" s="6">
        <f t="shared" si="3"/>
        <v>98.8</v>
      </c>
      <c r="U9" s="27">
        <f t="shared" si="4"/>
        <v>116</v>
      </c>
      <c r="V9" s="19">
        <f t="shared" si="5"/>
        <v>100</v>
      </c>
      <c r="W9" s="19">
        <f t="shared" si="6"/>
        <v>1.5625</v>
      </c>
    </row>
    <row r="10" spans="1:23" x14ac:dyDescent="0.3">
      <c r="A10" s="18" t="s">
        <v>9</v>
      </c>
      <c r="B10" s="10">
        <v>1570</v>
      </c>
      <c r="C10" s="3">
        <v>9</v>
      </c>
      <c r="D10" s="2">
        <v>6</v>
      </c>
      <c r="E10" s="7">
        <v>84</v>
      </c>
      <c r="F10" s="1">
        <v>401</v>
      </c>
      <c r="G10" s="20">
        <f t="shared" si="0"/>
        <v>97</v>
      </c>
      <c r="H10" s="27">
        <f>Tabuľka58[[#This Row],[Stĺpec5]]+Tabuľka58[[#This Row],[Stĺpec3]]</f>
        <v>93</v>
      </c>
      <c r="I10" s="19">
        <f t="shared" si="1"/>
        <v>90.322580645161295</v>
      </c>
      <c r="J10" s="19">
        <f t="shared" si="2"/>
        <v>1.4742014742014742</v>
      </c>
      <c r="N10" s="18" t="s">
        <v>9</v>
      </c>
      <c r="O10" s="10">
        <v>1570</v>
      </c>
      <c r="P10" s="3">
        <v>3</v>
      </c>
      <c r="Q10" s="2">
        <v>3</v>
      </c>
      <c r="R10" s="7">
        <v>92</v>
      </c>
      <c r="S10" s="1">
        <v>402</v>
      </c>
      <c r="T10" s="6">
        <f t="shared" si="3"/>
        <v>98.8</v>
      </c>
      <c r="U10" s="27">
        <f t="shared" si="4"/>
        <v>95</v>
      </c>
      <c r="V10" s="19">
        <f t="shared" si="5"/>
        <v>96.84210526315789</v>
      </c>
      <c r="W10" s="19">
        <f t="shared" si="6"/>
        <v>0.7407407407407407</v>
      </c>
    </row>
    <row r="11" spans="1:23" x14ac:dyDescent="0.3">
      <c r="A11" s="18" t="s">
        <v>25</v>
      </c>
      <c r="B11" s="10">
        <v>1586</v>
      </c>
      <c r="C11" s="3">
        <v>6</v>
      </c>
      <c r="D11" s="2">
        <v>2</v>
      </c>
      <c r="E11" s="7">
        <v>75</v>
      </c>
      <c r="F11" s="1">
        <v>417</v>
      </c>
      <c r="G11" s="20">
        <f t="shared" si="0"/>
        <v>98.4</v>
      </c>
      <c r="H11" s="27">
        <f>Tabuľka58[[#This Row],[Stĺpec5]]+Tabuľka58[[#This Row],[Stĺpec3]]</f>
        <v>81</v>
      </c>
      <c r="I11" s="19">
        <f t="shared" si="1"/>
        <v>92.592592592592595</v>
      </c>
      <c r="J11" s="19">
        <f t="shared" si="2"/>
        <v>0.47732696897374699</v>
      </c>
      <c r="N11" s="18" t="s">
        <v>25</v>
      </c>
      <c r="O11" s="10">
        <v>1586</v>
      </c>
      <c r="P11" s="3">
        <v>0</v>
      </c>
      <c r="Q11" s="2">
        <v>4</v>
      </c>
      <c r="R11" s="7">
        <v>82</v>
      </c>
      <c r="S11" s="1">
        <v>414</v>
      </c>
      <c r="T11" s="6">
        <f t="shared" si="3"/>
        <v>99.2</v>
      </c>
      <c r="U11" s="27">
        <f t="shared" si="4"/>
        <v>82</v>
      </c>
      <c r="V11" s="19">
        <f t="shared" si="5"/>
        <v>100</v>
      </c>
      <c r="W11" s="19">
        <f t="shared" si="6"/>
        <v>0.9569377990430622</v>
      </c>
    </row>
    <row r="12" spans="1:23" x14ac:dyDescent="0.3">
      <c r="A12" s="18" t="s">
        <v>15</v>
      </c>
      <c r="B12" s="10">
        <v>1596</v>
      </c>
      <c r="C12" s="3">
        <v>9</v>
      </c>
      <c r="D12" s="2">
        <v>4</v>
      </c>
      <c r="E12" s="7">
        <v>87</v>
      </c>
      <c r="F12" s="1">
        <v>400</v>
      </c>
      <c r="G12" s="20">
        <f t="shared" si="0"/>
        <v>97.4</v>
      </c>
      <c r="H12" s="27">
        <f>Tabuľka58[[#This Row],[Stĺpec5]]+Tabuľka58[[#This Row],[Stĺpec3]]</f>
        <v>96</v>
      </c>
      <c r="I12" s="19">
        <f t="shared" si="1"/>
        <v>90.625</v>
      </c>
      <c r="J12" s="19">
        <f t="shared" si="2"/>
        <v>0.99009900990099009</v>
      </c>
      <c r="N12" s="18" t="s">
        <v>15</v>
      </c>
      <c r="O12" s="10">
        <v>1596</v>
      </c>
      <c r="P12" s="3">
        <v>2</v>
      </c>
      <c r="Q12" s="2">
        <v>2</v>
      </c>
      <c r="R12" s="7">
        <v>95</v>
      </c>
      <c r="S12" s="1">
        <v>401</v>
      </c>
      <c r="T12" s="6">
        <f t="shared" si="3"/>
        <v>99.2</v>
      </c>
      <c r="U12" s="27">
        <f t="shared" si="4"/>
        <v>97</v>
      </c>
      <c r="V12" s="19">
        <f t="shared" si="5"/>
        <v>97.9381443298969</v>
      </c>
      <c r="W12" s="19">
        <f t="shared" si="6"/>
        <v>0.49627791563275436</v>
      </c>
    </row>
    <row r="13" spans="1:23" x14ac:dyDescent="0.3">
      <c r="A13" s="18" t="s">
        <v>20</v>
      </c>
      <c r="B13" s="10">
        <v>1598</v>
      </c>
      <c r="C13" s="3">
        <v>17</v>
      </c>
      <c r="D13" s="2">
        <v>8</v>
      </c>
      <c r="E13" s="7">
        <v>94</v>
      </c>
      <c r="F13" s="1">
        <v>381</v>
      </c>
      <c r="G13" s="20">
        <f t="shared" si="0"/>
        <v>95</v>
      </c>
      <c r="H13" s="27">
        <f>Tabuľka58[[#This Row],[Stĺpec5]]+Tabuľka58[[#This Row],[Stĺpec3]]</f>
        <v>111</v>
      </c>
      <c r="I13" s="19">
        <f t="shared" si="1"/>
        <v>84.684684684684683</v>
      </c>
      <c r="J13" s="19">
        <f t="shared" si="2"/>
        <v>2.0565552699228791</v>
      </c>
      <c r="N13" s="18" t="s">
        <v>20</v>
      </c>
      <c r="O13" s="10">
        <v>1598</v>
      </c>
      <c r="P13" s="3">
        <v>4</v>
      </c>
      <c r="Q13" s="2">
        <v>5</v>
      </c>
      <c r="R13" s="7">
        <v>100</v>
      </c>
      <c r="S13" s="1">
        <v>391</v>
      </c>
      <c r="T13" s="6">
        <f t="shared" si="3"/>
        <v>98.2</v>
      </c>
      <c r="U13" s="27">
        <f t="shared" si="4"/>
        <v>104</v>
      </c>
      <c r="V13" s="19">
        <f t="shared" si="5"/>
        <v>96.15384615384616</v>
      </c>
      <c r="W13" s="19">
        <f t="shared" si="6"/>
        <v>1.2626262626262625</v>
      </c>
    </row>
    <row r="14" spans="1:23" x14ac:dyDescent="0.3">
      <c r="A14" s="18" t="s">
        <v>18</v>
      </c>
      <c r="B14" s="10">
        <v>1606</v>
      </c>
      <c r="C14" s="3">
        <v>8</v>
      </c>
      <c r="D14" s="2">
        <v>7</v>
      </c>
      <c r="E14" s="7">
        <v>76</v>
      </c>
      <c r="F14" s="1">
        <v>409</v>
      </c>
      <c r="G14" s="20">
        <f t="shared" si="0"/>
        <v>97</v>
      </c>
      <c r="H14" s="27">
        <f>Tabuľka58[[#This Row],[Stĺpec5]]+Tabuľka58[[#This Row],[Stĺpec3]]</f>
        <v>84</v>
      </c>
      <c r="I14" s="19">
        <f t="shared" si="1"/>
        <v>90.476190476190482</v>
      </c>
      <c r="J14" s="19">
        <f t="shared" si="2"/>
        <v>1.6826923076923077</v>
      </c>
      <c r="N14" s="18" t="s">
        <v>18</v>
      </c>
      <c r="O14" s="10">
        <v>1606</v>
      </c>
      <c r="P14" s="3">
        <v>0</v>
      </c>
      <c r="Q14" s="2">
        <v>5</v>
      </c>
      <c r="R14" s="7">
        <v>71</v>
      </c>
      <c r="S14" s="1">
        <v>424</v>
      </c>
      <c r="T14" s="6">
        <f t="shared" si="3"/>
        <v>99</v>
      </c>
      <c r="U14" s="27">
        <f t="shared" si="4"/>
        <v>71</v>
      </c>
      <c r="V14" s="19">
        <f t="shared" si="5"/>
        <v>100</v>
      </c>
      <c r="W14" s="19">
        <f t="shared" si="6"/>
        <v>1.1655011655011656</v>
      </c>
    </row>
    <row r="15" spans="1:23" x14ac:dyDescent="0.3">
      <c r="A15" s="18" t="s">
        <v>10</v>
      </c>
      <c r="B15" s="10">
        <v>1617</v>
      </c>
      <c r="C15" s="3">
        <v>11</v>
      </c>
      <c r="D15" s="2">
        <v>4</v>
      </c>
      <c r="E15" s="7">
        <v>77</v>
      </c>
      <c r="F15" s="1">
        <v>408</v>
      </c>
      <c r="G15" s="20">
        <f t="shared" si="0"/>
        <v>97</v>
      </c>
      <c r="H15" s="27">
        <f>Tabuľka58[[#This Row],[Stĺpec5]]+Tabuľka58[[#This Row],[Stĺpec3]]</f>
        <v>88</v>
      </c>
      <c r="I15" s="19">
        <f t="shared" si="1"/>
        <v>87.5</v>
      </c>
      <c r="J15" s="19">
        <f t="shared" si="2"/>
        <v>0.970873786407767</v>
      </c>
      <c r="N15" s="18" t="s">
        <v>10</v>
      </c>
      <c r="O15" s="10">
        <v>1617</v>
      </c>
      <c r="P15" s="3">
        <v>2</v>
      </c>
      <c r="Q15" s="2">
        <v>8</v>
      </c>
      <c r="R15" s="7">
        <v>74</v>
      </c>
      <c r="S15" s="1">
        <v>416</v>
      </c>
      <c r="T15" s="6">
        <f t="shared" si="3"/>
        <v>98</v>
      </c>
      <c r="U15" s="27">
        <f t="shared" si="4"/>
        <v>76</v>
      </c>
      <c r="V15" s="19">
        <f t="shared" si="5"/>
        <v>97.368421052631575</v>
      </c>
      <c r="W15" s="19">
        <f t="shared" si="6"/>
        <v>1.8867924528301887</v>
      </c>
    </row>
    <row r="16" spans="1:23" x14ac:dyDescent="0.3">
      <c r="A16" s="18" t="s">
        <v>11</v>
      </c>
      <c r="B16" s="10">
        <v>1622</v>
      </c>
      <c r="C16" s="3">
        <v>17</v>
      </c>
      <c r="D16" s="2">
        <v>6</v>
      </c>
      <c r="E16" s="7">
        <v>69</v>
      </c>
      <c r="F16" s="1">
        <v>408</v>
      </c>
      <c r="G16" s="20">
        <f t="shared" si="0"/>
        <v>95.4</v>
      </c>
      <c r="H16" s="27">
        <f>Tabuľka58[[#This Row],[Stĺpec5]]+Tabuľka58[[#This Row],[Stĺpec3]]</f>
        <v>86</v>
      </c>
      <c r="I16" s="19">
        <f t="shared" si="1"/>
        <v>80.232558139534888</v>
      </c>
      <c r="J16" s="19">
        <f t="shared" si="2"/>
        <v>1.4492753623188406</v>
      </c>
      <c r="N16" s="18" t="s">
        <v>11</v>
      </c>
      <c r="O16" s="10">
        <v>1622</v>
      </c>
      <c r="P16" s="3">
        <v>3</v>
      </c>
      <c r="Q16" s="2">
        <v>3</v>
      </c>
      <c r="R16" s="7">
        <v>81</v>
      </c>
      <c r="S16" s="1">
        <v>413</v>
      </c>
      <c r="T16" s="6">
        <f t="shared" si="3"/>
        <v>98.8</v>
      </c>
      <c r="U16" s="27">
        <f t="shared" si="4"/>
        <v>84</v>
      </c>
      <c r="V16" s="19">
        <f t="shared" si="5"/>
        <v>96.428571428571431</v>
      </c>
      <c r="W16" s="19">
        <f t="shared" si="6"/>
        <v>0.72115384615384615</v>
      </c>
    </row>
    <row r="17" spans="1:23" x14ac:dyDescent="0.3">
      <c r="A17" s="18" t="s">
        <v>17</v>
      </c>
      <c r="B17" s="10">
        <v>1632</v>
      </c>
      <c r="C17" s="3">
        <v>7</v>
      </c>
      <c r="D17" s="2">
        <v>4</v>
      </c>
      <c r="E17" s="7">
        <v>42</v>
      </c>
      <c r="F17" s="1">
        <v>443</v>
      </c>
      <c r="G17" s="20">
        <f t="shared" si="0"/>
        <v>97</v>
      </c>
      <c r="H17" s="27">
        <f>Tabuľka58[[#This Row],[Stĺpec5]]+Tabuľka58[[#This Row],[Stĺpec3]]</f>
        <v>49</v>
      </c>
      <c r="I17" s="19">
        <f t="shared" si="1"/>
        <v>85.714285714285708</v>
      </c>
      <c r="J17" s="19">
        <f t="shared" si="2"/>
        <v>0.89485458612975388</v>
      </c>
      <c r="N17" s="18" t="s">
        <v>17</v>
      </c>
      <c r="O17" s="10">
        <v>1632</v>
      </c>
      <c r="P17" s="3">
        <v>0</v>
      </c>
      <c r="Q17" s="2">
        <v>4</v>
      </c>
      <c r="R17" s="7">
        <v>40</v>
      </c>
      <c r="S17" s="1">
        <v>456</v>
      </c>
      <c r="T17" s="6">
        <f t="shared" si="3"/>
        <v>99.2</v>
      </c>
      <c r="U17" s="27">
        <f t="shared" si="4"/>
        <v>40</v>
      </c>
      <c r="V17" s="19">
        <f t="shared" si="5"/>
        <v>100</v>
      </c>
      <c r="W17" s="19">
        <f t="shared" si="6"/>
        <v>0.86956521739130432</v>
      </c>
    </row>
    <row r="18" spans="1:23" x14ac:dyDescent="0.3">
      <c r="A18" s="18" t="s">
        <v>16</v>
      </c>
      <c r="B18" s="10">
        <v>1636</v>
      </c>
      <c r="C18" s="3">
        <v>0</v>
      </c>
      <c r="D18" s="2">
        <v>4</v>
      </c>
      <c r="E18" s="7">
        <v>57</v>
      </c>
      <c r="F18" s="1">
        <v>439</v>
      </c>
      <c r="G18" s="20">
        <f t="shared" si="0"/>
        <v>99.2</v>
      </c>
      <c r="H18" s="27">
        <f>Tabuľka58[[#This Row],[Stĺpec5]]+Tabuľka58[[#This Row],[Stĺpec3]]</f>
        <v>57</v>
      </c>
      <c r="I18" s="19">
        <f t="shared" si="1"/>
        <v>100</v>
      </c>
      <c r="J18" s="19">
        <f t="shared" si="2"/>
        <v>0.90293453724604966</v>
      </c>
      <c r="N18" s="18" t="s">
        <v>16</v>
      </c>
      <c r="O18" s="10">
        <v>1636</v>
      </c>
      <c r="P18" s="3">
        <v>0</v>
      </c>
      <c r="Q18" s="2">
        <v>2</v>
      </c>
      <c r="R18" s="7">
        <v>61</v>
      </c>
      <c r="S18" s="1">
        <v>437</v>
      </c>
      <c r="T18" s="6">
        <f t="shared" si="3"/>
        <v>99.6</v>
      </c>
      <c r="U18" s="27">
        <f t="shared" si="4"/>
        <v>61</v>
      </c>
      <c r="V18" s="19">
        <f t="shared" si="5"/>
        <v>100</v>
      </c>
      <c r="W18" s="19">
        <f t="shared" si="6"/>
        <v>0.45558086560364464</v>
      </c>
    </row>
    <row r="19" spans="1:23" x14ac:dyDescent="0.3">
      <c r="A19" s="18" t="s">
        <v>13</v>
      </c>
      <c r="B19" s="10">
        <v>1640</v>
      </c>
      <c r="C19" s="3">
        <v>6</v>
      </c>
      <c r="D19" s="2">
        <v>4</v>
      </c>
      <c r="E19" s="7">
        <v>29</v>
      </c>
      <c r="F19" s="1">
        <v>461</v>
      </c>
      <c r="G19" s="20">
        <f t="shared" si="0"/>
        <v>98</v>
      </c>
      <c r="H19" s="27">
        <f>Tabuľka58[[#This Row],[Stĺpec5]]+Tabuľka58[[#This Row],[Stĺpec3]]</f>
        <v>35</v>
      </c>
      <c r="I19" s="19">
        <f t="shared" si="1"/>
        <v>82.857142857142861</v>
      </c>
      <c r="J19" s="19">
        <f t="shared" si="2"/>
        <v>0.86021505376344087</v>
      </c>
      <c r="N19" s="18" t="s">
        <v>13</v>
      </c>
      <c r="O19" s="10">
        <v>1640</v>
      </c>
      <c r="P19" s="3">
        <v>1</v>
      </c>
      <c r="Q19" s="2">
        <v>3</v>
      </c>
      <c r="R19" s="7">
        <v>32</v>
      </c>
      <c r="S19" s="1">
        <v>464</v>
      </c>
      <c r="T19" s="6">
        <f t="shared" si="3"/>
        <v>99.2</v>
      </c>
      <c r="U19" s="27">
        <f t="shared" si="4"/>
        <v>33</v>
      </c>
      <c r="V19" s="19">
        <f t="shared" si="5"/>
        <v>96.969696969696969</v>
      </c>
      <c r="W19" s="19">
        <f t="shared" si="6"/>
        <v>0.64239828693790146</v>
      </c>
    </row>
    <row r="20" spans="1:23" x14ac:dyDescent="0.3">
      <c r="A20" s="18" t="s">
        <v>22</v>
      </c>
      <c r="B20" s="10">
        <v>1650</v>
      </c>
      <c r="C20" s="3">
        <v>0</v>
      </c>
      <c r="D20" s="2">
        <v>3</v>
      </c>
      <c r="E20" s="7">
        <v>18</v>
      </c>
      <c r="F20" s="1">
        <v>479</v>
      </c>
      <c r="G20" s="20">
        <f t="shared" si="0"/>
        <v>99.4</v>
      </c>
      <c r="H20" s="27">
        <f>Tabuľka58[[#This Row],[Stĺpec5]]+Tabuľka58[[#This Row],[Stĺpec3]]</f>
        <v>18</v>
      </c>
      <c r="I20" s="19">
        <f t="shared" si="1"/>
        <v>100</v>
      </c>
      <c r="J20" s="19">
        <f t="shared" si="2"/>
        <v>0.62240663900414939</v>
      </c>
      <c r="N20" s="18" t="s">
        <v>22</v>
      </c>
      <c r="O20" s="10">
        <v>1650</v>
      </c>
      <c r="P20" s="3">
        <v>0</v>
      </c>
      <c r="Q20" s="2">
        <v>2</v>
      </c>
      <c r="R20" s="7">
        <v>17</v>
      </c>
      <c r="S20" s="1">
        <v>482</v>
      </c>
      <c r="T20" s="6">
        <f t="shared" si="3"/>
        <v>99.8</v>
      </c>
      <c r="U20" s="27">
        <f t="shared" si="4"/>
        <v>17</v>
      </c>
      <c r="V20" s="19">
        <f t="shared" si="5"/>
        <v>100</v>
      </c>
      <c r="W20" s="19">
        <f t="shared" si="6"/>
        <v>0.41322314049586778</v>
      </c>
    </row>
    <row r="21" spans="1:23" x14ac:dyDescent="0.3">
      <c r="A21" s="18" t="s">
        <v>14</v>
      </c>
      <c r="B21" s="10">
        <v>1659</v>
      </c>
      <c r="C21" s="3">
        <v>6</v>
      </c>
      <c r="D21" s="2">
        <v>2</v>
      </c>
      <c r="E21" s="7">
        <v>9</v>
      </c>
      <c r="F21" s="1">
        <v>483</v>
      </c>
      <c r="G21" s="20">
        <f t="shared" si="0"/>
        <v>98.4</v>
      </c>
      <c r="H21" s="27">
        <f>Tabuľka58[[#This Row],[Stĺpec5]]+Tabuľka58[[#This Row],[Stĺpec3]]</f>
        <v>15</v>
      </c>
      <c r="I21" s="19">
        <f t="shared" si="1"/>
        <v>60</v>
      </c>
      <c r="J21" s="19">
        <f t="shared" si="2"/>
        <v>0.41237113402061853</v>
      </c>
      <c r="N21" s="18" t="s">
        <v>14</v>
      </c>
      <c r="O21" s="10">
        <v>1659</v>
      </c>
      <c r="P21" s="3">
        <v>1</v>
      </c>
      <c r="Q21" s="2">
        <v>1</v>
      </c>
      <c r="R21" s="7">
        <v>8</v>
      </c>
      <c r="S21" s="1">
        <v>490</v>
      </c>
      <c r="T21" s="6">
        <f t="shared" si="3"/>
        <v>99.6</v>
      </c>
      <c r="U21" s="27">
        <f t="shared" si="4"/>
        <v>9</v>
      </c>
      <c r="V21" s="19">
        <f t="shared" si="5"/>
        <v>88.888888888888886</v>
      </c>
      <c r="W21" s="19">
        <f t="shared" si="6"/>
        <v>0.20366598778004075</v>
      </c>
    </row>
    <row r="22" spans="1:23" x14ac:dyDescent="0.3">
      <c r="A22" s="18" t="s">
        <v>12</v>
      </c>
      <c r="B22" s="10">
        <v>1664</v>
      </c>
      <c r="C22" s="3">
        <v>6</v>
      </c>
      <c r="D22" s="2">
        <v>1</v>
      </c>
      <c r="E22" s="7">
        <v>11</v>
      </c>
      <c r="F22" s="1">
        <v>482</v>
      </c>
      <c r="G22" s="20">
        <f t="shared" si="0"/>
        <v>98.6</v>
      </c>
      <c r="H22" s="27">
        <f>Tabuľka58[[#This Row],[Stĺpec5]]+Tabuľka58[[#This Row],[Stĺpec3]]</f>
        <v>17</v>
      </c>
      <c r="I22" s="19">
        <f t="shared" si="1"/>
        <v>64.705882352941174</v>
      </c>
      <c r="J22" s="19">
        <f t="shared" si="2"/>
        <v>0.20703933747412009</v>
      </c>
      <c r="N22" s="18" t="s">
        <v>12</v>
      </c>
      <c r="O22" s="10">
        <v>1664</v>
      </c>
      <c r="P22" s="3">
        <v>1</v>
      </c>
      <c r="Q22" s="2">
        <v>0</v>
      </c>
      <c r="R22" s="7">
        <v>11</v>
      </c>
      <c r="S22" s="1">
        <v>488</v>
      </c>
      <c r="T22" s="6">
        <f t="shared" si="3"/>
        <v>99.8</v>
      </c>
      <c r="U22" s="27">
        <f t="shared" si="4"/>
        <v>12</v>
      </c>
      <c r="V22" s="19">
        <f t="shared" si="5"/>
        <v>91.666666666666671</v>
      </c>
      <c r="W22" s="19">
        <f t="shared" si="6"/>
        <v>0</v>
      </c>
    </row>
    <row r="23" spans="1:23" x14ac:dyDescent="0.3">
      <c r="A23" s="18" t="s">
        <v>24</v>
      </c>
      <c r="B23" s="10">
        <v>1697</v>
      </c>
      <c r="C23" s="3">
        <v>2</v>
      </c>
      <c r="D23" s="2">
        <v>1</v>
      </c>
      <c r="E23" s="7">
        <v>20</v>
      </c>
      <c r="F23" s="1">
        <v>477</v>
      </c>
      <c r="G23" s="20">
        <f t="shared" si="0"/>
        <v>99.4</v>
      </c>
      <c r="H23" s="27">
        <f>Tabuľka58[[#This Row],[Stĺpec5]]+Tabuľka58[[#This Row],[Stĺpec3]]</f>
        <v>22</v>
      </c>
      <c r="I23" s="19">
        <f t="shared" si="1"/>
        <v>90.909090909090907</v>
      </c>
      <c r="J23" s="19">
        <f t="shared" si="2"/>
        <v>0.20920502092050208</v>
      </c>
      <c r="N23" s="18" t="s">
        <v>24</v>
      </c>
      <c r="O23" s="10">
        <v>1697</v>
      </c>
      <c r="P23" s="3">
        <v>1</v>
      </c>
      <c r="Q23" s="2">
        <v>0</v>
      </c>
      <c r="R23" s="7">
        <v>19</v>
      </c>
      <c r="S23" s="1">
        <v>480</v>
      </c>
      <c r="T23" s="6">
        <f t="shared" si="3"/>
        <v>99.8</v>
      </c>
      <c r="U23" s="27">
        <f t="shared" si="4"/>
        <v>20</v>
      </c>
      <c r="V23" s="19">
        <f t="shared" si="5"/>
        <v>95</v>
      </c>
      <c r="W23" s="19">
        <f t="shared" si="6"/>
        <v>0</v>
      </c>
    </row>
    <row r="24" spans="1:23" x14ac:dyDescent="0.3">
      <c r="A24" s="39" t="s">
        <v>33</v>
      </c>
      <c r="B24" s="39"/>
      <c r="C24">
        <f>AVERAGE(Tabuľka58[[#All],[Stĺpec3]])</f>
        <v>8.9</v>
      </c>
      <c r="D24" s="19">
        <f>AVERAGE(Tabuľka58[[#All],[Stĺpec4]])</f>
        <v>5.4</v>
      </c>
      <c r="E24" s="19">
        <f>AVERAGE(Tabuľka58[[#All],[Stĺpec5]])</f>
        <v>75.5</v>
      </c>
      <c r="F24" s="19">
        <f>AVERAGE(Tabuľka58[[#All],[Stĺpec6]])</f>
        <v>410</v>
      </c>
      <c r="G24">
        <f>AVERAGE(Tabuľka58[[#All],[Stĺpec7]])</f>
        <v>97.100000000000009</v>
      </c>
      <c r="H24" s="19">
        <f>AVERAGE(Tabuľka58[[#All],[Stĺpec72]])</f>
        <v>84.4</v>
      </c>
      <c r="I24" s="19">
        <f>AVERAGE(Tabuľka58[[#All],[Stĺpec8]])</f>
        <v>87.345758050486481</v>
      </c>
      <c r="J24" s="19">
        <f>AVERAGE(Tabuľka58[[#All],[Stĺpec9]])</f>
        <v>1.4066652365632384</v>
      </c>
      <c r="N24" s="29" t="s">
        <v>32</v>
      </c>
      <c r="O24" s="29"/>
      <c r="P24" s="19">
        <f>AVERAGE(Tabuľka69[[#All],[Stĺpec3]])</f>
        <v>1.85</v>
      </c>
      <c r="Q24" s="19">
        <f>AVERAGE(Tabuľka69[[#All],[Stĺpec4]])</f>
        <v>5.6</v>
      </c>
      <c r="R24" s="19">
        <f>AVERAGE(Tabuľka69[[#All],[Stĺpec5]])</f>
        <v>80.2</v>
      </c>
      <c r="S24">
        <f>AVERAGE(Tabuľka69[[#All],[Stĺpec6]])</f>
        <v>412.8</v>
      </c>
      <c r="T24">
        <f>AVERAGE(Tabuľka69[[#All],[Stĺpec7]])</f>
        <v>98.6</v>
      </c>
      <c r="U24" s="19">
        <f>AVERAGE(Tabuľka69[[#All],[Stĺpec8]])</f>
        <v>82.05</v>
      </c>
      <c r="V24" s="19">
        <f>AVERAGE(Tabuľka69[[#All],[Stĺpec9]])</f>
        <v>97.200220989363658</v>
      </c>
      <c r="W24" s="19">
        <f>AVERAGE(Tabuľka69[[#All],[Stĺpec10]])</f>
        <v>1.4779745254608667</v>
      </c>
    </row>
    <row r="25" spans="1:23" x14ac:dyDescent="0.3">
      <c r="A25" s="39" t="s">
        <v>34</v>
      </c>
      <c r="B25" s="39"/>
      <c r="C25" s="19">
        <f>STDEV(Tabuľka58[[#All],[Stĺpec3]])</f>
        <v>5.3596936283218355</v>
      </c>
      <c r="D25" s="19">
        <f>STDEV(Tabuľka58[[#All],[Stĺpec4]])</f>
        <v>4.5699245646198348</v>
      </c>
      <c r="E25" s="19">
        <f>STDEV(Tabuľka58[[#All],[Stĺpec5]])</f>
        <v>45.25657846917774</v>
      </c>
      <c r="F25" s="19">
        <f>STDEV(Tabuľka58[[#All],[Stĺpec6]])</f>
        <v>51.890573122170935</v>
      </c>
      <c r="G25" s="19">
        <f>STDEV(Tabuľka58[[#All],[Stĺpec7]])</f>
        <v>1.7633699793890478</v>
      </c>
      <c r="H25" s="19">
        <f>STDEV(Tabuľka58[[#All],[Stĺpec72]])</f>
        <v>48.911735756736761</v>
      </c>
      <c r="I25" s="19">
        <f>STDEV(Tabuľka58[[#All],[Stĺpec8]])</f>
        <v>9.9047995942267342</v>
      </c>
      <c r="J25" s="19">
        <f>STDEV(Tabuľka58[[#All],[Stĺpec9]])</f>
        <v>1.4051709778782577</v>
      </c>
      <c r="N25" s="39" t="s">
        <v>34</v>
      </c>
      <c r="O25" s="39"/>
      <c r="P25" s="19">
        <f>STDEV(Tabuľka69[[#All],[Stĺpec3]])</f>
        <v>1.8431951662948316</v>
      </c>
      <c r="Q25" s="19">
        <f>STDEV(Tabuľka69[[#All],[Stĺpec4]])</f>
        <v>6.4595909924292947</v>
      </c>
      <c r="R25" s="19">
        <f>STDEV(Tabuľka69[[#All],[Stĺpec5]])</f>
        <v>49.053783587104938</v>
      </c>
      <c r="S25" s="19">
        <f>STDEV(Tabuľka69[[#All],[Stĺpec6]])</f>
        <v>54.482831675385881</v>
      </c>
      <c r="T25" s="19">
        <f>STDEV(Tabuľka69[[#All],[Stĺpec7]])</f>
        <v>1.578807011305488</v>
      </c>
      <c r="U25" s="19">
        <f>STDEV(Tabuľka69[[#All],[Stĺpec8]])</f>
        <v>50.236781450709167</v>
      </c>
      <c r="V25" s="19">
        <f>STDEV(Tabuľka69[[#All],[Stĺpec9]])</f>
        <v>2.8980962707801479</v>
      </c>
      <c r="W25" s="19">
        <f>STDEV(Tabuľka69[[#All],[Stĺpec10]])</f>
        <v>1.9119573116761805</v>
      </c>
    </row>
  </sheetData>
  <mergeCells count="8">
    <mergeCell ref="N25:O25"/>
    <mergeCell ref="A1:J1"/>
    <mergeCell ref="N1:W1"/>
    <mergeCell ref="A2:A3"/>
    <mergeCell ref="C2:D2"/>
    <mergeCell ref="E2:G2"/>
    <mergeCell ref="A24:B24"/>
    <mergeCell ref="A25:B25"/>
  </mergeCells>
  <hyperlinks>
    <hyperlink ref="A10" r:id="rId1" display="A01373.P4.txt" xr:uid="{8BD9D07D-F05E-40A2-8BDD-37EB128F731E}"/>
    <hyperlink ref="A15" r:id="rId2" display="A01190.P4.txt" xr:uid="{68EBDD21-8FA1-4A03-80AC-7E769C332418}"/>
    <hyperlink ref="A16" r:id="rId3" display="A00552.P4.txt" xr:uid="{659308C2-E3BE-4C96-B35F-5F7D07A4DB71}"/>
    <hyperlink ref="A22" r:id="rId4" display="A31653.P4.txt" xr:uid="{64E7C6C4-DB6D-4957-B409-950118F26FB1}"/>
    <hyperlink ref="A19" r:id="rId5" display="A03799.P4.txt" xr:uid="{B1E82CDA-FC07-4AAE-8EE4-2EE09221D742}"/>
    <hyperlink ref="A21" r:id="rId6" display="A46912.P4.txt" xr:uid="{218F4D0E-71EF-4BCC-8945-DE2ADD9A084F}"/>
    <hyperlink ref="A12" r:id="rId7" display="A06169.P4.txt" xr:uid="{9BE56F4B-51BB-463D-B6D0-6F61F6C5EBE0}"/>
    <hyperlink ref="A18" r:id="rId8" display="A00233.P4.txt" xr:uid="{EEBC8BB6-A10F-4C07-BB6A-BDA7F1ADA900}"/>
    <hyperlink ref="A17" r:id="rId9" display="A00605.P4.txt" xr:uid="{D3051630-7E20-4CA4-90BD-0EEA81A187CE}"/>
    <hyperlink ref="A14" r:id="rId10" display="A00982.P4.txt" xr:uid="{BD940161-E399-4BD4-9A5B-451E7599EE99}"/>
    <hyperlink ref="A20" r:id="rId11" display="A74375.P4.txt" xr:uid="{C66376AD-263B-44E2-B668-535657756D3B}"/>
    <hyperlink ref="A9" r:id="rId12" display="A08649.P4.txt" xr:uid="{5FAB2D87-C53A-4B04-8110-053FACA97AB0}"/>
    <hyperlink ref="A23" r:id="rId13" display="A35318.P4.txt" xr:uid="{7AE0CA12-FB27-42E7-BD01-19FF7E5D588C}"/>
    <hyperlink ref="A4" r:id="rId14" display="A22826.P4.txt" xr:uid="{F38D0428-9F39-4092-94A2-3572982988EE}"/>
    <hyperlink ref="A13" r:id="rId15" display="A13797.P4.txt" xr:uid="{D8D1C4D1-542F-4F8D-A5DC-30C81E530F0E}"/>
    <hyperlink ref="A6" r:id="rId16" display="A00758.P4.txt" xr:uid="{0A49A78F-3F11-43DE-9F7C-C0636B70026C}"/>
    <hyperlink ref="A11" r:id="rId17" display="A09173.P4.txt" xr:uid="{17B3A55F-3AD8-4DEC-BF0E-5588934FC7C0}"/>
    <hyperlink ref="A8" r:id="rId18" display="A12159.P4.txt" xr:uid="{EA0FD44C-929B-48C4-AECE-6D075D7F35AE}"/>
    <hyperlink ref="N10" r:id="rId19" display="A01373.P4.txt" xr:uid="{F22B1D70-D1D4-471A-84DA-6447DF883A5C}"/>
    <hyperlink ref="N15" r:id="rId20" display="A01190.P4.txt" xr:uid="{04423FCA-58E1-4FD3-9D56-2E9F8F449086}"/>
    <hyperlink ref="N16" r:id="rId21" display="A00552.P4.txt" xr:uid="{BCDF26D7-A446-4210-AF17-A337B2ED67B6}"/>
    <hyperlink ref="N22" r:id="rId22" display="A31653.P4.txt" xr:uid="{1416E0FD-F911-4BD5-AF78-7922051A5C98}"/>
    <hyperlink ref="N19" r:id="rId23" display="A03799.P4.txt" xr:uid="{CA67C6AD-0967-4C8A-8029-9D31D37E77EF}"/>
    <hyperlink ref="N21" r:id="rId24" display="A46912.P4.txt" xr:uid="{17DEEB58-B45A-417F-8659-2D00976ECE56}"/>
    <hyperlink ref="N12" r:id="rId25" display="A06169.P4.txt" xr:uid="{8164CA7E-7CC5-44E3-A94A-2B24E47EDEB9}"/>
    <hyperlink ref="N18" r:id="rId26" display="A00233.P4.txt" xr:uid="{137441EC-3FFD-4BBB-9FD1-78A4D80E6ACC}"/>
    <hyperlink ref="N17" r:id="rId27" display="A00605.P4.txt" xr:uid="{3398A9D1-28BB-44F5-A187-0522AF303F14}"/>
    <hyperlink ref="N14" r:id="rId28" display="A00982.P4.txt" xr:uid="{AA178F62-E0F8-41EA-9625-1751C33D4939}"/>
    <hyperlink ref="N20" r:id="rId29" display="A74375.P4.txt" xr:uid="{E0426AC9-C87A-42BD-9034-AAA2D2B72A48}"/>
    <hyperlink ref="N9" r:id="rId30" display="A08649.P4.txt" xr:uid="{21EFF3DE-C2C0-4C80-A1B6-57DA114058CC}"/>
    <hyperlink ref="N23" r:id="rId31" display="A35318.P4.txt" xr:uid="{E2AEDADE-8CC2-434F-81CC-AA9AC679ACFF}"/>
    <hyperlink ref="N8" r:id="rId32" display="A12159.P4.txt" xr:uid="{531B5E6C-1B91-428B-911A-A538486B49F7}"/>
    <hyperlink ref="N4" r:id="rId33" display="A22826.P4.txt" xr:uid="{60B2775B-7866-4531-92F1-734E245FECE5}"/>
    <hyperlink ref="N13" r:id="rId34" display="A13797.P4.txt" xr:uid="{DF06E876-B6FC-495A-BFD9-950FFC94D130}"/>
    <hyperlink ref="N6" r:id="rId35" display="A00758.P4.txt" xr:uid="{47FEFF49-CFFF-4E96-A676-530AAC1D78AC}"/>
    <hyperlink ref="N11" r:id="rId36" display="A09173.P4.txt" xr:uid="{FB61DCD6-8076-4210-8C44-C01D7943F16D}"/>
  </hyperlinks>
  <pageMargins left="0.7" right="0.7" top="0.75" bottom="0.75" header="0.3" footer="0.3"/>
  <drawing r:id="rId37"/>
  <tableParts count="2">
    <tablePart r:id="rId38"/>
    <tablePart r:id="rId3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D51-3C20-4F80-A697-BBE32B87ABF6}">
  <dimension ref="A1:J24"/>
  <sheetViews>
    <sheetView topLeftCell="A2" workbookViewId="0">
      <selection sqref="A1:J24"/>
    </sheetView>
  </sheetViews>
  <sheetFormatPr defaultRowHeight="14.4" x14ac:dyDescent="0.3"/>
  <cols>
    <col min="1" max="4" width="9" customWidth="1"/>
    <col min="5" max="5" width="11.77734375" customWidth="1"/>
    <col min="6" max="8" width="9" customWidth="1"/>
    <col min="9" max="9" width="13.109375" customWidth="1"/>
    <col min="10" max="10" width="11.88671875" customWidth="1"/>
  </cols>
  <sheetData>
    <row r="1" spans="1:10" x14ac:dyDescent="0.3">
      <c r="A1" s="40" t="s">
        <v>4</v>
      </c>
      <c r="C1" s="37" t="s">
        <v>1</v>
      </c>
      <c r="D1" s="38"/>
      <c r="E1" s="34" t="s">
        <v>0</v>
      </c>
      <c r="F1" s="35"/>
      <c r="G1" s="36"/>
      <c r="H1" s="25"/>
    </row>
    <row r="2" spans="1:10" ht="72.599999999999994" thickBot="1" x14ac:dyDescent="0.35">
      <c r="A2" s="41"/>
      <c r="B2" s="9" t="s">
        <v>6</v>
      </c>
      <c r="C2" s="28" t="s">
        <v>2</v>
      </c>
      <c r="D2" s="23" t="s">
        <v>3</v>
      </c>
      <c r="E2" s="8" t="s">
        <v>2</v>
      </c>
      <c r="F2" s="22" t="s">
        <v>3</v>
      </c>
      <c r="G2" s="5" t="s">
        <v>5</v>
      </c>
      <c r="H2" s="26" t="s">
        <v>31</v>
      </c>
      <c r="I2" s="21" t="s">
        <v>29</v>
      </c>
      <c r="J2" s="24" t="s">
        <v>30</v>
      </c>
    </row>
    <row r="3" spans="1:10" x14ac:dyDescent="0.3">
      <c r="A3" s="18" t="s">
        <v>19</v>
      </c>
      <c r="B3" s="10">
        <v>1492</v>
      </c>
      <c r="C3" s="3">
        <v>4</v>
      </c>
      <c r="D3" s="2">
        <v>31</v>
      </c>
      <c r="E3" s="7">
        <v>154</v>
      </c>
      <c r="F3" s="1">
        <v>311</v>
      </c>
      <c r="G3" s="6">
        <f t="shared" ref="G3:G22" si="0">((SUM(E3:F3)*100)/500)</f>
        <v>93</v>
      </c>
      <c r="H3" s="27">
        <f t="shared" ref="H3:H22" si="1">E3+C3</f>
        <v>158</v>
      </c>
      <c r="I3" s="19">
        <f t="shared" ref="I3:I22" si="2">(E3*100)/(E3+C3)</f>
        <v>97.468354430379748</v>
      </c>
      <c r="J3" s="19">
        <f t="shared" ref="J3:J22" si="3">(D3*100)/(F3+D3)</f>
        <v>9.064327485380117</v>
      </c>
    </row>
    <row r="4" spans="1:10" x14ac:dyDescent="0.3">
      <c r="A4" s="18" t="s">
        <v>8</v>
      </c>
      <c r="B4" s="10">
        <v>1533</v>
      </c>
      <c r="C4" s="3">
        <v>3</v>
      </c>
      <c r="D4" s="2">
        <v>6</v>
      </c>
      <c r="E4" s="7">
        <v>170</v>
      </c>
      <c r="F4" s="1">
        <v>321</v>
      </c>
      <c r="G4" s="6">
        <f t="shared" si="0"/>
        <v>98.2</v>
      </c>
      <c r="H4" s="27">
        <f t="shared" si="1"/>
        <v>173</v>
      </c>
      <c r="I4" s="19">
        <f t="shared" si="2"/>
        <v>98.265895953757223</v>
      </c>
      <c r="J4" s="19">
        <f t="shared" si="3"/>
        <v>1.834862385321101</v>
      </c>
    </row>
    <row r="5" spans="1:10" x14ac:dyDescent="0.3">
      <c r="A5" s="18" t="s">
        <v>21</v>
      </c>
      <c r="B5" s="10">
        <v>1546</v>
      </c>
      <c r="C5" s="3">
        <v>4</v>
      </c>
      <c r="D5" s="2">
        <v>14</v>
      </c>
      <c r="E5" s="7">
        <v>133</v>
      </c>
      <c r="F5" s="1">
        <v>349</v>
      </c>
      <c r="G5" s="6">
        <f t="shared" si="0"/>
        <v>96.4</v>
      </c>
      <c r="H5" s="27">
        <f t="shared" si="1"/>
        <v>137</v>
      </c>
      <c r="I5" s="19">
        <f t="shared" si="2"/>
        <v>97.080291970802918</v>
      </c>
      <c r="J5" s="19">
        <f t="shared" si="3"/>
        <v>3.8567493112947657</v>
      </c>
    </row>
    <row r="6" spans="1:10" x14ac:dyDescent="0.3">
      <c r="A6" s="18" t="s">
        <v>27</v>
      </c>
      <c r="B6" s="10">
        <v>1548</v>
      </c>
      <c r="C6" s="3">
        <v>2</v>
      </c>
      <c r="D6" s="2">
        <v>5</v>
      </c>
      <c r="E6" s="7">
        <v>148</v>
      </c>
      <c r="F6" s="1">
        <v>345</v>
      </c>
      <c r="G6" s="6">
        <f t="shared" si="0"/>
        <v>98.6</v>
      </c>
      <c r="H6" s="27">
        <f t="shared" si="1"/>
        <v>150</v>
      </c>
      <c r="I6" s="19">
        <f t="shared" si="2"/>
        <v>98.666666666666671</v>
      </c>
      <c r="J6" s="19">
        <f t="shared" si="3"/>
        <v>1.4285714285714286</v>
      </c>
    </row>
    <row r="7" spans="1:10" x14ac:dyDescent="0.3">
      <c r="A7" s="18" t="s">
        <v>26</v>
      </c>
      <c r="B7" s="10">
        <v>1563</v>
      </c>
      <c r="C7" s="3">
        <v>3</v>
      </c>
      <c r="D7" s="2">
        <v>10</v>
      </c>
      <c r="E7" s="7">
        <v>98</v>
      </c>
      <c r="F7" s="1">
        <v>397</v>
      </c>
      <c r="G7" s="6">
        <f t="shared" si="0"/>
        <v>99</v>
      </c>
      <c r="H7" s="27">
        <f t="shared" si="1"/>
        <v>101</v>
      </c>
      <c r="I7" s="19">
        <f t="shared" si="2"/>
        <v>97.029702970297024</v>
      </c>
      <c r="J7" s="19">
        <f t="shared" si="3"/>
        <v>2.4570024570024569</v>
      </c>
    </row>
    <row r="8" spans="1:10" x14ac:dyDescent="0.3">
      <c r="A8" s="18" t="s">
        <v>23</v>
      </c>
      <c r="B8" s="10">
        <v>1567</v>
      </c>
      <c r="C8" s="3">
        <v>0</v>
      </c>
      <c r="D8" s="2">
        <v>6</v>
      </c>
      <c r="E8" s="7">
        <v>116</v>
      </c>
      <c r="F8" s="1">
        <v>378</v>
      </c>
      <c r="G8" s="6">
        <f t="shared" si="0"/>
        <v>98.8</v>
      </c>
      <c r="H8" s="27">
        <f t="shared" si="1"/>
        <v>116</v>
      </c>
      <c r="I8" s="19">
        <f t="shared" si="2"/>
        <v>100</v>
      </c>
      <c r="J8" s="19">
        <f t="shared" si="3"/>
        <v>1.5625</v>
      </c>
    </row>
    <row r="9" spans="1:10" x14ac:dyDescent="0.3">
      <c r="A9" s="18" t="s">
        <v>9</v>
      </c>
      <c r="B9" s="10">
        <v>1570</v>
      </c>
      <c r="C9" s="3">
        <v>3</v>
      </c>
      <c r="D9" s="2">
        <v>3</v>
      </c>
      <c r="E9" s="7">
        <v>92</v>
      </c>
      <c r="F9" s="1">
        <v>402</v>
      </c>
      <c r="G9" s="6">
        <f t="shared" si="0"/>
        <v>98.8</v>
      </c>
      <c r="H9" s="27">
        <f t="shared" si="1"/>
        <v>95</v>
      </c>
      <c r="I9" s="19">
        <f t="shared" si="2"/>
        <v>96.84210526315789</v>
      </c>
      <c r="J9" s="19">
        <f t="shared" si="3"/>
        <v>0.7407407407407407</v>
      </c>
    </row>
    <row r="10" spans="1:10" x14ac:dyDescent="0.3">
      <c r="A10" s="18" t="s">
        <v>25</v>
      </c>
      <c r="B10" s="10">
        <v>1586</v>
      </c>
      <c r="C10" s="3">
        <v>0</v>
      </c>
      <c r="D10" s="2">
        <v>4</v>
      </c>
      <c r="E10" s="7">
        <v>82</v>
      </c>
      <c r="F10" s="1">
        <v>414</v>
      </c>
      <c r="G10" s="6">
        <f t="shared" si="0"/>
        <v>99.2</v>
      </c>
      <c r="H10" s="27">
        <f t="shared" si="1"/>
        <v>82</v>
      </c>
      <c r="I10" s="19">
        <f t="shared" si="2"/>
        <v>100</v>
      </c>
      <c r="J10" s="19">
        <f t="shared" si="3"/>
        <v>0.9569377990430622</v>
      </c>
    </row>
    <row r="11" spans="1:10" x14ac:dyDescent="0.3">
      <c r="A11" s="18" t="s">
        <v>15</v>
      </c>
      <c r="B11" s="10">
        <v>1596</v>
      </c>
      <c r="C11" s="3">
        <v>2</v>
      </c>
      <c r="D11" s="2">
        <v>2</v>
      </c>
      <c r="E11" s="7">
        <v>95</v>
      </c>
      <c r="F11" s="1">
        <v>401</v>
      </c>
      <c r="G11" s="6">
        <f t="shared" si="0"/>
        <v>99.2</v>
      </c>
      <c r="H11" s="27">
        <f t="shared" si="1"/>
        <v>97</v>
      </c>
      <c r="I11" s="19">
        <f t="shared" si="2"/>
        <v>97.9381443298969</v>
      </c>
      <c r="J11" s="19">
        <f t="shared" si="3"/>
        <v>0.49627791563275436</v>
      </c>
    </row>
    <row r="12" spans="1:10" x14ac:dyDescent="0.3">
      <c r="A12" s="18" t="s">
        <v>20</v>
      </c>
      <c r="B12" s="10">
        <v>1598</v>
      </c>
      <c r="C12" s="3">
        <v>4</v>
      </c>
      <c r="D12" s="2">
        <v>5</v>
      </c>
      <c r="E12" s="7">
        <v>100</v>
      </c>
      <c r="F12" s="1">
        <v>391</v>
      </c>
      <c r="G12" s="6">
        <f t="shared" si="0"/>
        <v>98.2</v>
      </c>
      <c r="H12" s="27">
        <f t="shared" si="1"/>
        <v>104</v>
      </c>
      <c r="I12" s="19">
        <f t="shared" si="2"/>
        <v>96.15384615384616</v>
      </c>
      <c r="J12" s="19">
        <f t="shared" si="3"/>
        <v>1.2626262626262625</v>
      </c>
    </row>
    <row r="13" spans="1:10" x14ac:dyDescent="0.3">
      <c r="A13" s="18" t="s">
        <v>18</v>
      </c>
      <c r="B13" s="10">
        <v>1606</v>
      </c>
      <c r="C13" s="3">
        <v>0</v>
      </c>
      <c r="D13" s="2">
        <v>5</v>
      </c>
      <c r="E13" s="7">
        <v>71</v>
      </c>
      <c r="F13" s="1">
        <v>424</v>
      </c>
      <c r="G13" s="6">
        <f t="shared" si="0"/>
        <v>99</v>
      </c>
      <c r="H13" s="27">
        <f t="shared" si="1"/>
        <v>71</v>
      </c>
      <c r="I13" s="19">
        <f t="shared" si="2"/>
        <v>100</v>
      </c>
      <c r="J13" s="19">
        <f t="shared" si="3"/>
        <v>1.1655011655011656</v>
      </c>
    </row>
    <row r="14" spans="1:10" x14ac:dyDescent="0.3">
      <c r="A14" s="18" t="s">
        <v>10</v>
      </c>
      <c r="B14" s="10">
        <v>1617</v>
      </c>
      <c r="C14" s="3">
        <v>2</v>
      </c>
      <c r="D14" s="2">
        <v>8</v>
      </c>
      <c r="E14" s="7">
        <v>74</v>
      </c>
      <c r="F14" s="1">
        <v>416</v>
      </c>
      <c r="G14" s="6">
        <f t="shared" si="0"/>
        <v>98</v>
      </c>
      <c r="H14" s="27">
        <f t="shared" si="1"/>
        <v>76</v>
      </c>
      <c r="I14" s="19">
        <f t="shared" si="2"/>
        <v>97.368421052631575</v>
      </c>
      <c r="J14" s="19">
        <f t="shared" si="3"/>
        <v>1.8867924528301887</v>
      </c>
    </row>
    <row r="15" spans="1:10" x14ac:dyDescent="0.3">
      <c r="A15" s="18" t="s">
        <v>11</v>
      </c>
      <c r="B15" s="10">
        <v>1622</v>
      </c>
      <c r="C15" s="3">
        <v>3</v>
      </c>
      <c r="D15" s="2">
        <v>3</v>
      </c>
      <c r="E15" s="7">
        <v>81</v>
      </c>
      <c r="F15" s="1">
        <v>413</v>
      </c>
      <c r="G15" s="6">
        <f t="shared" si="0"/>
        <v>98.8</v>
      </c>
      <c r="H15" s="27">
        <f t="shared" si="1"/>
        <v>84</v>
      </c>
      <c r="I15" s="19">
        <f t="shared" si="2"/>
        <v>96.428571428571431</v>
      </c>
      <c r="J15" s="19">
        <f t="shared" si="3"/>
        <v>0.72115384615384615</v>
      </c>
    </row>
    <row r="16" spans="1:10" x14ac:dyDescent="0.3">
      <c r="A16" s="18" t="s">
        <v>17</v>
      </c>
      <c r="B16" s="10">
        <v>1632</v>
      </c>
      <c r="C16" s="3">
        <v>0</v>
      </c>
      <c r="D16" s="2">
        <v>4</v>
      </c>
      <c r="E16" s="7">
        <v>40</v>
      </c>
      <c r="F16" s="1">
        <v>456</v>
      </c>
      <c r="G16" s="6">
        <f t="shared" si="0"/>
        <v>99.2</v>
      </c>
      <c r="H16" s="27">
        <f t="shared" si="1"/>
        <v>40</v>
      </c>
      <c r="I16" s="19">
        <f t="shared" si="2"/>
        <v>100</v>
      </c>
      <c r="J16" s="19">
        <f t="shared" si="3"/>
        <v>0.86956521739130432</v>
      </c>
    </row>
    <row r="17" spans="1:10" x14ac:dyDescent="0.3">
      <c r="A17" s="18" t="s">
        <v>16</v>
      </c>
      <c r="B17" s="10">
        <v>1636</v>
      </c>
      <c r="C17" s="3">
        <v>0</v>
      </c>
      <c r="D17" s="2">
        <v>2</v>
      </c>
      <c r="E17" s="7">
        <v>61</v>
      </c>
      <c r="F17" s="1">
        <v>437</v>
      </c>
      <c r="G17" s="6">
        <f t="shared" si="0"/>
        <v>99.6</v>
      </c>
      <c r="H17" s="27">
        <f t="shared" si="1"/>
        <v>61</v>
      </c>
      <c r="I17" s="19">
        <f t="shared" si="2"/>
        <v>100</v>
      </c>
      <c r="J17" s="19">
        <f t="shared" si="3"/>
        <v>0.45558086560364464</v>
      </c>
    </row>
    <row r="18" spans="1:10" x14ac:dyDescent="0.3">
      <c r="A18" s="18" t="s">
        <v>13</v>
      </c>
      <c r="B18" s="10">
        <v>1640</v>
      </c>
      <c r="C18" s="3">
        <v>1</v>
      </c>
      <c r="D18" s="2">
        <v>3</v>
      </c>
      <c r="E18" s="7">
        <v>32</v>
      </c>
      <c r="F18" s="1">
        <v>464</v>
      </c>
      <c r="G18" s="6">
        <f t="shared" si="0"/>
        <v>99.2</v>
      </c>
      <c r="H18" s="27">
        <f t="shared" si="1"/>
        <v>33</v>
      </c>
      <c r="I18" s="19">
        <f t="shared" si="2"/>
        <v>96.969696969696969</v>
      </c>
      <c r="J18" s="19">
        <f t="shared" si="3"/>
        <v>0.64239828693790146</v>
      </c>
    </row>
    <row r="19" spans="1:10" x14ac:dyDescent="0.3">
      <c r="A19" s="18" t="s">
        <v>22</v>
      </c>
      <c r="B19" s="10">
        <v>1650</v>
      </c>
      <c r="C19" s="3">
        <v>0</v>
      </c>
      <c r="D19" s="2">
        <v>2</v>
      </c>
      <c r="E19" s="7">
        <v>17</v>
      </c>
      <c r="F19" s="1">
        <v>482</v>
      </c>
      <c r="G19" s="6">
        <f t="shared" si="0"/>
        <v>99.8</v>
      </c>
      <c r="H19" s="27">
        <f t="shared" si="1"/>
        <v>17</v>
      </c>
      <c r="I19" s="19">
        <f t="shared" si="2"/>
        <v>100</v>
      </c>
      <c r="J19" s="19">
        <f t="shared" si="3"/>
        <v>0.41322314049586778</v>
      </c>
    </row>
    <row r="20" spans="1:10" x14ac:dyDescent="0.3">
      <c r="A20" s="18" t="s">
        <v>14</v>
      </c>
      <c r="B20" s="10">
        <v>1659</v>
      </c>
      <c r="C20" s="3">
        <v>1</v>
      </c>
      <c r="D20" s="2">
        <v>1</v>
      </c>
      <c r="E20" s="7">
        <v>8</v>
      </c>
      <c r="F20" s="1">
        <v>490</v>
      </c>
      <c r="G20" s="6">
        <f t="shared" si="0"/>
        <v>99.6</v>
      </c>
      <c r="H20" s="27">
        <f t="shared" si="1"/>
        <v>9</v>
      </c>
      <c r="I20" s="19">
        <f t="shared" si="2"/>
        <v>88.888888888888886</v>
      </c>
      <c r="J20" s="19">
        <f t="shared" si="3"/>
        <v>0.20366598778004075</v>
      </c>
    </row>
    <row r="21" spans="1:10" x14ac:dyDescent="0.3">
      <c r="A21" s="18" t="s">
        <v>12</v>
      </c>
      <c r="B21" s="10">
        <v>1664</v>
      </c>
      <c r="C21" s="3">
        <v>1</v>
      </c>
      <c r="D21" s="2">
        <v>0</v>
      </c>
      <c r="E21" s="7">
        <v>11</v>
      </c>
      <c r="F21" s="1">
        <v>488</v>
      </c>
      <c r="G21" s="6">
        <f t="shared" si="0"/>
        <v>99.8</v>
      </c>
      <c r="H21" s="27">
        <f t="shared" si="1"/>
        <v>12</v>
      </c>
      <c r="I21" s="19">
        <f t="shared" si="2"/>
        <v>91.666666666666671</v>
      </c>
      <c r="J21" s="19">
        <f t="shared" si="3"/>
        <v>0</v>
      </c>
    </row>
    <row r="22" spans="1:10" x14ac:dyDescent="0.3">
      <c r="A22" s="18" t="s">
        <v>24</v>
      </c>
      <c r="B22" s="10">
        <v>1697</v>
      </c>
      <c r="C22" s="3">
        <v>1</v>
      </c>
      <c r="D22" s="2">
        <v>0</v>
      </c>
      <c r="E22" s="7">
        <v>19</v>
      </c>
      <c r="F22" s="1">
        <v>480</v>
      </c>
      <c r="G22" s="6">
        <f t="shared" si="0"/>
        <v>99.8</v>
      </c>
      <c r="H22" s="27">
        <f t="shared" si="1"/>
        <v>20</v>
      </c>
      <c r="I22" s="19">
        <f t="shared" si="2"/>
        <v>95</v>
      </c>
      <c r="J22" s="19">
        <f t="shared" si="3"/>
        <v>0</v>
      </c>
    </row>
    <row r="23" spans="1:10" x14ac:dyDescent="0.3">
      <c r="A23" s="39" t="s">
        <v>32</v>
      </c>
      <c r="B23" s="39"/>
      <c r="C23" s="19">
        <f>AVERAGE(Tabuľka6[[#All],[Stĺpec3]])</f>
        <v>1.7</v>
      </c>
      <c r="D23" s="19">
        <f>AVERAGE(Tabuľka6[[#All],[Stĺpec4]])</f>
        <v>5.7</v>
      </c>
      <c r="E23" s="19">
        <f>AVERAGE(Tabuľka6[[#All],[Stĺpec5]])</f>
        <v>80.099999999999994</v>
      </c>
      <c r="F23">
        <f>AVERAGE(Tabuľka6[[#All],[Stĺpec6]])</f>
        <v>412.95</v>
      </c>
      <c r="G23">
        <f>AVERAGE(Tabuľka6[[#All],[Stĺpec7]])</f>
        <v>98.609999999999985</v>
      </c>
      <c r="H23" s="19">
        <f>AVERAGE(Tabuľka6[[#All],[Stĺpec8]])</f>
        <v>81.8</v>
      </c>
      <c r="I23" s="19">
        <f>AVERAGE(Tabuľka6[[#All],[Stĺpec9]])</f>
        <v>97.28836263726302</v>
      </c>
      <c r="J23" s="19">
        <f>AVERAGE(Tabuľka6[[#All],[Stĺpec10]])</f>
        <v>1.5009238374153324</v>
      </c>
    </row>
    <row r="24" spans="1:10" x14ac:dyDescent="0.3">
      <c r="A24" s="39" t="s">
        <v>34</v>
      </c>
      <c r="B24" s="39"/>
      <c r="C24" s="19">
        <f>STDEV(Tabuľka6[[#All],[Stĺpec3]])</f>
        <v>1.4903196407411894</v>
      </c>
      <c r="D24" s="19">
        <f>STDEV(Tabuľka6[[#All],[Stĺpec4]])</f>
        <v>6.8448982153825613</v>
      </c>
      <c r="E24" s="19">
        <f>STDEV(Tabuľka6[[#All],[Stĺpec5]])</f>
        <v>48.892901217596858</v>
      </c>
      <c r="F24" s="19">
        <f>STDEV(Tabuľka6[[#All],[Stĺpec6]])</f>
        <v>54.182416063943897</v>
      </c>
      <c r="G24" s="19">
        <f>STDEV(Tabuľka6[[#All],[Stĺpec7]])</f>
        <v>1.5403007225179992</v>
      </c>
      <c r="H24" s="19">
        <f>STDEV(Tabuľka6[[#All],[Stĺpec8]])</f>
        <v>49.823477873071262</v>
      </c>
      <c r="I24" s="19">
        <f>STDEV(Tabuľka6[[#All],[Stĺpec9]])</f>
        <v>2.8769745420251507</v>
      </c>
      <c r="J24" s="19">
        <f>STDEV(Tabuľka6[[#All],[Stĺpec10]])</f>
        <v>2.0026153414796837</v>
      </c>
    </row>
  </sheetData>
  <mergeCells count="5">
    <mergeCell ref="A1:A2"/>
    <mergeCell ref="E1:G1"/>
    <mergeCell ref="C1:D1"/>
    <mergeCell ref="A23:B23"/>
    <mergeCell ref="A24:B24"/>
  </mergeCells>
  <hyperlinks>
    <hyperlink ref="A9" r:id="rId1" display="A01373.P4.txt" xr:uid="{90876223-610A-4D8E-8085-4883484A3E78}"/>
    <hyperlink ref="A14" r:id="rId2" display="A01190.P4.txt" xr:uid="{430B574E-F4FE-4DDE-A498-D869B9C3D869}"/>
    <hyperlink ref="A15" r:id="rId3" display="A00552.P4.txt" xr:uid="{EE565B56-1BA6-4736-94BD-9E1753593DB6}"/>
    <hyperlink ref="A21" r:id="rId4" display="A31653.P4.txt" xr:uid="{8439FE4B-E717-49DA-9F46-73E37AE6D190}"/>
    <hyperlink ref="A18" r:id="rId5" display="A03799.P4.txt" xr:uid="{70DD41C9-5150-4C69-9688-416CBDA44526}"/>
    <hyperlink ref="A20" r:id="rId6" display="A46912.P4.txt" xr:uid="{E70F6A46-D437-40C2-8EF8-B0C231D68C7B}"/>
    <hyperlink ref="A11" r:id="rId7" display="A06169.P4.txt" xr:uid="{620C8BA1-76C6-43E1-BFCA-861CCBBDB75A}"/>
    <hyperlink ref="A17" r:id="rId8" display="A00233.P4.txt" xr:uid="{D5F7A466-AFBD-45E8-A196-875B667AD1D6}"/>
    <hyperlink ref="A16" r:id="rId9" display="A00605.P4.txt" xr:uid="{A1B86C86-DDEB-4A74-9E5E-3670EDF6DBC0}"/>
    <hyperlink ref="A13" r:id="rId10" display="A00982.P4.txt" xr:uid="{0C38708C-53D5-432A-A9AD-5AFF34F8EB3A}"/>
    <hyperlink ref="A19" r:id="rId11" display="A74375.P4.txt" xr:uid="{26680166-364C-44EF-8872-C13CF4FAF3DB}"/>
    <hyperlink ref="A8" r:id="rId12" display="A08649.P4.txt" xr:uid="{FAF68400-00ED-4084-9D6E-F66A11049F13}"/>
    <hyperlink ref="A22" r:id="rId13" display="A35318.P4.txt" xr:uid="{AEB06F98-F46F-42DA-8471-4B9B78F9843C}"/>
    <hyperlink ref="A7" r:id="rId14" display="A12159.P4.txt" xr:uid="{0A1CE487-F6A0-49EF-9CC1-0617F67D08F4}"/>
    <hyperlink ref="A3" r:id="rId15" display="A22826.P4.txt" xr:uid="{BC586C82-E103-4B91-B9A8-9FE7D47231DF}"/>
    <hyperlink ref="A12" r:id="rId16" display="A13797.P4.txt" xr:uid="{02CC2940-E696-4768-B276-E2B573746EC5}"/>
    <hyperlink ref="A5" r:id="rId17" display="A00758.P4.txt" xr:uid="{5398DC19-EC00-4BCA-922A-27F67FAFB27F}"/>
    <hyperlink ref="A10" r:id="rId18" display="A09173.P4.txt" xr:uid="{289E40D6-DC4F-4390-9B9A-BF19A809EA15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csmitser</vt:lpstr>
      <vt:lpstr>T-test</vt:lpstr>
      <vt:lpstr>Hárok1</vt:lpstr>
      <vt:lpstr>both</vt:lpstr>
      <vt:lpstr>EarlyPrint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of a Cup</dc:creator>
  <cp:lastModifiedBy>T of a Cup</cp:lastModifiedBy>
  <dcterms:created xsi:type="dcterms:W3CDTF">2023-07-20T18:14:11Z</dcterms:created>
  <dcterms:modified xsi:type="dcterms:W3CDTF">2023-08-03T19:11:29Z</dcterms:modified>
</cp:coreProperties>
</file>