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sheets/sheet8.xml" ContentType="application/vnd.openxmlformats-officedocument.spreadsheetml.worksheet+xml"/>
  <Override PartName="/xl/comments/comment3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4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3.xml" ContentType="application/vnd.openxmlformats-officedocument.drawing+xml"/>
  <Override PartName="/xl/comments/comment5.xml" ContentType="application/vnd.openxmlformats-officedocument.spreadsheetml.comment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/comment6.xml" ContentType="application/vnd.openxmlformats-officedocument.spreadsheetml.comments+xml"/>
  <Override PartName="/xl/worksheets/sheet15.xml" ContentType="application/vnd.openxmlformats-officedocument.spreadsheetml.worksheet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Key" sheetId="1" state="visible" r:id="rId1"/>
    <sheet name="Data" sheetId="2" state="visible" r:id="rId2"/>
    <sheet name="Weekly Data" sheetId="3" state="visible" r:id="rId3"/>
    <sheet name="Reporting 2021" sheetId="4" state="visible" r:id="rId4"/>
    <sheet name="Reporting 2022" sheetId="5" state="visible" r:id="rId5"/>
    <sheet name="GRAPH NEW STRUCTURE" sheetId="6" state="visible" r:id="rId6"/>
    <sheet name="Monthly Data" sheetId="7" state="visible" r:id="rId7"/>
    <sheet name="Reporting" sheetId="8" state="visible" r:id="rId8"/>
    <sheet name="AIA" sheetId="9" state="visible" r:id="rId9"/>
    <sheet name="FCP+AIA" sheetId="10" state="visible" r:id="rId10"/>
    <sheet name="Forecast 2020" sheetId="11" state="visible" r:id="rId11"/>
    <sheet name="Daily Tracking" sheetId="12" state="visible" r:id="rId12"/>
    <sheet name="Delivery Plan" sheetId="13" state="visible" r:id="rId13"/>
    <sheet name="Reconciliation SOLUNE vs SAP" sheetId="14" state="visible" r:id="rId14"/>
    <sheet name="GroupExport" sheetId="15" state="visible" r:id="rId15"/>
  </sheets>
  <externalReferences>
    <externalReference r:id="rId17"/>
  </externalReferences>
  <definedNames>
    <definedName name="ASM">[1]Key!$H$2:$H$4</definedName>
    <definedName name="CAT">Key!$C$2:$C$14</definedName>
    <definedName name="CurrentYear" localSheetId="5">[1]Config!$A$1</definedName>
    <definedName name="CurrentYear" localSheetId="3">[1]Config!$A$1</definedName>
    <definedName name="CurrentYear" localSheetId="4">[1]Config!$A$1</definedName>
    <definedName name="Dstatus" localSheetId="5">[1]Key!$B$2:$B$7</definedName>
    <definedName name="Dstatus" localSheetId="3">[1]Key!$B$2:$B$7</definedName>
    <definedName name="Dstatus" localSheetId="4">[1]Key!$B$2:$B$7</definedName>
    <definedName name="Dstatus">Key!$D$2:$D$7</definedName>
    <definedName name="On_Site">Key!$N$2:$N$3</definedName>
    <definedName name="Raison_externalisation" localSheetId="5">[1]Key!$D$2:$D$9</definedName>
    <definedName name="Raison_externalisation" localSheetId="3">[1]Key!$D$2:$D$9</definedName>
    <definedName name="Raison_externalisation" localSheetId="4">[1]Key!$D$2:$D$9</definedName>
    <definedName name="Raison_externalisation">Key!$F$2:$F$9</definedName>
    <definedName name="Refuse" localSheetId="5">[1]Key!$C$2:$C$6</definedName>
    <definedName name="Refuse" localSheetId="3">[1]Key!$C$2:$C$6</definedName>
    <definedName name="Refuse" localSheetId="4">[1]Key!$C$2:$C$6</definedName>
    <definedName name="Refuse">Key!$E$2:$E$6</definedName>
    <definedName name="_xlnm.Print_Titles" localSheetId="1">'Data'!$1:$2</definedName>
    <definedName name="_xlnm.Print_Area" localSheetId="3">'Reporting 2021'!$A$1:$AK$60</definedName>
    <definedName name="_xlnm.Print_Area" localSheetId="4">'Reporting 2022'!$A$1:$AM$60</definedName>
    <definedName name="_xlnm._FilterDatabase" localSheetId="12" hidden="1">'Delivery Plan'!$A$3:$N$561</definedName>
  </definedNames>
  <calcPr calcId="191029" fullCalcOnLoad="1"/>
  <pivotCaches>
    <pivotCache cacheId="0" r:id="rId16"/>
  </pivotCaches>
</workbook>
</file>

<file path=xl/styles.xml><?xml version="1.0" encoding="utf-8"?>
<styleSheet xmlns="http://schemas.openxmlformats.org/spreadsheetml/2006/main">
  <numFmts count="22">
    <numFmt numFmtId="164" formatCode="#,##0\ &quot;€&quot;"/>
    <numFmt numFmtId="165" formatCode="#,##0.00\ &quot;€&quot;"/>
    <numFmt numFmtId="166" formatCode="dd/mm/yy;@"/>
    <numFmt numFmtId="167" formatCode="_-* #,##0\ &quot;€&quot;_-;\-* #,##0\ &quot;€&quot;_-;_-* &quot;-&quot;??\ &quot;€&quot;_-;_-@_-"/>
    <numFmt numFmtId="168" formatCode="_-* #,##0.00\ &quot;€&quot;_-;\-* #,##0.00\ &quot;€&quot;_-;_-* &quot;-&quot;??\ &quot;€&quot;_-;_-@_-"/>
    <numFmt numFmtId="169" formatCode="_-* #,##0\ [$€-407]_-;\-* #,##0\ [$€-407]_-;_-* &quot;-&quot;??\ [$€-407]_-;_-@_-"/>
    <numFmt numFmtId="170" formatCode="#,##0,"/>
    <numFmt numFmtId="171" formatCode="#,##0.0,,,"/>
    <numFmt numFmtId="172" formatCode="#,##0.0,"/>
    <numFmt numFmtId="173" formatCode="_-* #,##0.00\ [$€-40C]_-;\-* #,##0.00\ [$€-40C]_-;_-* &quot;-&quot;??\ [$€-40C]_-;_-@_-"/>
    <numFmt numFmtId="174" formatCode="_-* #,##0\ &quot;€&quot;_-;\-* #,##0\ &quot;€&quot;_-;_-* &quot;-&quot;?\ &quot;€&quot;_-;_-@_-"/>
    <numFmt numFmtId="175" formatCode="_-* #,##0.0\ &quot;€&quot;_-;\-* #,##0.0\ &quot;€&quot;_-;_-* &quot;-&quot;??\ &quot;€&quot;_-;_-@_-"/>
    <numFmt numFmtId="176" formatCode="[$-809]mmm"/>
    <numFmt numFmtId="177" formatCode="#,##0\ &quot;€&quot;;\-#,##0\ &quot;€&quot;"/>
    <numFmt numFmtId="178" formatCode="#,##0\ &quot;€&quot;;[Red]\-#,##0\ &quot;€&quot;"/>
    <numFmt numFmtId="179" formatCode="mmm"/>
    <numFmt numFmtId="180" formatCode="0;;;@"/>
    <numFmt numFmtId="181" formatCode="0.0"/>
    <numFmt numFmtId="182" formatCode="_-* #,##0\ [$€-40C]_-;\-* #,##0\ [$€-40C]_-;_-* &quot;-&quot;??\ [$€-40C]_-;_-@_-"/>
    <numFmt numFmtId="183" formatCode="#,##0.00\ &quot;€&quot;;[Red]\-#,##0.00\ &quot;€&quot;"/>
    <numFmt numFmtId="184" formatCode="#,##0.00_ ;[Red]\-#,##0.00;\-"/>
    <numFmt numFmtId="185" formatCode="_(&quot;$&quot;* #,##0.00_);_(&quot;$&quot;* \(#,##0.00\);_(&quot;$&quot;* &quot;-&quot;??_);_(@_)"/>
  </numFmts>
  <fonts count="50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Arial"/>
      <family val="2"/>
      <color rgb="FF303030"/>
      <sz val="12"/>
    </font>
    <font>
      <name val="Calibri"/>
      <family val="2"/>
      <color theme="1"/>
      <sz val="18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8"/>
      <scheme val="minor"/>
    </font>
    <font>
      <name val="Arial"/>
      <family val="2"/>
      <sz val="8"/>
    </font>
    <font>
      <name val="Arial"/>
      <family val="2"/>
      <color theme="1"/>
      <sz val="8"/>
    </font>
    <font>
      <name val="Arial"/>
      <family val="2"/>
      <b val="1"/>
      <i val="1"/>
      <sz val="10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Calibri"/>
      <family val="2"/>
      <b val="1"/>
      <color theme="0"/>
      <sz val="11"/>
      <scheme val="minor"/>
    </font>
    <font>
      <name val="Arial"/>
      <family val="2"/>
      <color rgb="FFFF0000"/>
      <sz val="8"/>
    </font>
    <font>
      <name val="Calibri"/>
      <family val="2"/>
      <color rgb="FFFF0000"/>
      <sz val="8"/>
      <scheme val="minor"/>
    </font>
    <font>
      <name val="Calibri"/>
      <family val="2"/>
      <color indexed="9"/>
      <sz val="11"/>
    </font>
    <font>
      <name val="Calibri"/>
      <family val="2"/>
      <color theme="1" tint="0.149998474074526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rgb="FF0070C0"/>
      <sz val="11"/>
      <scheme val="minor"/>
    </font>
    <font>
      <name val="Calibri"/>
      <family val="2"/>
      <b val="1"/>
      <color theme="1" tint="0.0499893185216834"/>
      <sz val="11"/>
      <scheme val="minor"/>
    </font>
    <font>
      <name val="Calibri"/>
      <family val="2"/>
      <color rgb="FF92D050"/>
      <sz val="11"/>
      <scheme val="minor"/>
    </font>
    <font>
      <name val="Calibri"/>
      <family val="2"/>
      <color rgb="FFFFC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strike val="1"/>
      <color theme="1"/>
      <sz val="11"/>
      <scheme val="minor"/>
    </font>
    <font>
      <name val="Calibri"/>
      <family val="2"/>
      <strike val="1"/>
      <color theme="1"/>
      <sz val="11"/>
      <scheme val="minor"/>
    </font>
    <font>
      <name val="Calibri"/>
      <family val="2"/>
      <b val="1"/>
      <strike val="1"/>
      <color theme="0"/>
      <sz val="11"/>
      <scheme val="minor"/>
    </font>
    <font>
      <name val="Calibri"/>
      <family val="2"/>
      <b val="1"/>
      <strike val="1"/>
      <color theme="1"/>
      <sz val="11"/>
      <u val="single"/>
      <scheme val="minor"/>
    </font>
  </fonts>
  <fills count="70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ABF2B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theme="4"/>
        <bgColor theme="4"/>
      </patternFill>
    </fill>
    <fill>
      <patternFill patternType="solid">
        <fgColor rgb="FF7030A0"/>
        <bgColor theme="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rgb="FFC5D9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7B5D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0" tint="-0.1499984740745262"/>
        <bgColor theme="4" tint="0.799981688894314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E7E9E9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/>
      <diagonal/>
    </border>
  </borders>
  <cellStyleXfs count="26881">
    <xf numFmtId="0" fontId="7" fillId="0" borderId="0"/>
    <xf numFmtId="44" fontId="7" fillId="0" borderId="0"/>
    <xf numFmtId="9" fontId="7" fillId="0" borderId="0"/>
    <xf numFmtId="0" fontId="12" fillId="0" borderId="0"/>
    <xf numFmtId="0" fontId="39" fillId="0" borderId="0"/>
    <xf numFmtId="0" fontId="7" fillId="0" borderId="0"/>
    <xf numFmtId="0" fontId="39" fillId="0" borderId="0"/>
    <xf numFmtId="44" fontId="39" fillId="0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14" fillId="35" borderId="0"/>
    <xf numFmtId="0" fontId="15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8" fillId="35" borderId="0"/>
    <xf numFmtId="0" fontId="29" fillId="35" borderId="0"/>
    <xf numFmtId="0" fontId="25" fillId="35" borderId="0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0" fontId="15" fillId="36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14" fillId="35" borderId="0"/>
    <xf numFmtId="0" fontId="15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28" fillId="35" borderId="0"/>
    <xf numFmtId="0" fontId="29" fillId="35" borderId="0"/>
    <xf numFmtId="0" fontId="25" fillId="35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1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1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1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1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1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1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1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1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1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1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1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1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1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1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44" fontId="39" fillId="0" borderId="0"/>
    <xf numFmtId="0" fontId="39" fillId="0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0" fillId="37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0" borderId="0"/>
    <xf numFmtId="0" fontId="30" fillId="43" borderId="0"/>
    <xf numFmtId="0" fontId="30" fillId="46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9" fontId="39" fillId="0" borderId="0"/>
    <xf numFmtId="0" fontId="7" fillId="0" borderId="0"/>
    <xf numFmtId="185" fontId="7" fillId="0" borderId="0"/>
    <xf numFmtId="9" fontId="39" fillId="0" borderId="0"/>
    <xf numFmtId="9" fontId="39" fillId="0" borderId="0"/>
  </cellStyleXfs>
  <cellXfs count="1041">
    <xf numFmtId="0" fontId="0" fillId="0" borderId="0" pivotButton="0" quotePrefix="0" xfId="0"/>
    <xf numFmtId="0" fontId="0" fillId="3" borderId="0" pivotButton="0" quotePrefix="0" xfId="0"/>
    <xf numFmtId="0" fontId="4" fillId="5" borderId="0" pivotButton="0" quotePrefix="0" xfId="0"/>
    <xf numFmtId="0" fontId="4" fillId="9" borderId="0" pivotButton="0" quotePrefix="0" xfId="0"/>
    <xf numFmtId="0" fontId="6" fillId="11" borderId="0" pivotButton="0" quotePrefix="0" xfId="0"/>
    <xf numFmtId="0" fontId="6" fillId="1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" borderId="0" pivotButton="0" quotePrefix="0" xfId="0"/>
    <xf numFmtId="0" fontId="0" fillId="21" borderId="0" pivotButton="0" quotePrefix="0" xfId="0"/>
    <xf numFmtId="0" fontId="0" fillId="13" borderId="1" pivotButton="0" quotePrefix="0" xfId="0"/>
    <xf numFmtId="14" fontId="0" fillId="3" borderId="1" pivotButton="0" quotePrefix="0" xfId="0"/>
    <xf numFmtId="0" fontId="0" fillId="3" borderId="1" pivotButton="0" quotePrefix="0" xfId="0"/>
    <xf numFmtId="9" fontId="0" fillId="0" borderId="0" pivotButton="0" quotePrefix="0" xfId="2"/>
    <xf numFmtId="14" fontId="0" fillId="16" borderId="4" pivotButton="0" quotePrefix="0" xfId="0"/>
    <xf numFmtId="0" fontId="0" fillId="16" borderId="4" pivotButton="0" quotePrefix="0" xfId="0"/>
    <xf numFmtId="14" fontId="0" fillId="16" borderId="0" pivotButton="0" quotePrefix="0" xfId="0"/>
    <xf numFmtId="0" fontId="0" fillId="16" borderId="0" pivotButton="0" quotePrefix="0" xfId="0"/>
    <xf numFmtId="0" fontId="10" fillId="0" borderId="6" applyAlignment="1" pivotButton="0" quotePrefix="0" xfId="0">
      <alignment horizontal="left" vertical="center" indent="2"/>
    </xf>
    <xf numFmtId="0" fontId="0" fillId="0" borderId="5" pivotButton="0" quotePrefix="0" xfId="0"/>
    <xf numFmtId="0" fontId="0" fillId="13" borderId="0" applyAlignment="1" pivotButton="0" quotePrefix="0" xfId="0">
      <alignment horizontal="center"/>
    </xf>
    <xf numFmtId="0" fontId="0" fillId="26" borderId="0" applyAlignment="1" pivotButton="0" quotePrefix="0" xfId="0">
      <alignment horizontal="right"/>
    </xf>
    <xf numFmtId="0" fontId="0" fillId="26" borderId="0" applyAlignment="1" pivotButton="0" quotePrefix="0" xfId="0">
      <alignment horizontal="center"/>
    </xf>
    <xf numFmtId="0" fontId="2" fillId="27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0" fillId="3" borderId="0" applyAlignment="1" pivotButton="0" quotePrefix="0" xfId="0">
      <alignment horizontal="centerContinuous"/>
    </xf>
    <xf numFmtId="0" fontId="0" fillId="3" borderId="0" applyAlignment="1" pivotButton="0" quotePrefix="1" xfId="0">
      <alignment horizontal="centerContinuous"/>
    </xf>
    <xf numFmtId="0" fontId="0" fillId="28" borderId="0" applyAlignment="1" pivotButton="0" quotePrefix="0" xfId="0">
      <alignment horizontal="centerContinuous"/>
    </xf>
    <xf numFmtId="4" fontId="0" fillId="28" borderId="0" applyAlignment="1" pivotButton="0" quotePrefix="0" xfId="0">
      <alignment horizontal="centerContinuous"/>
    </xf>
    <xf numFmtId="0" fontId="0" fillId="29" borderId="0" applyAlignment="1" pivotButton="0" quotePrefix="0" xfId="0">
      <alignment horizontal="centerContinuous"/>
    </xf>
    <xf numFmtId="0" fontId="0" fillId="30" borderId="0" applyAlignment="1" pivotButton="0" quotePrefix="1" xfId="0">
      <alignment horizontal="centerContinuous"/>
    </xf>
    <xf numFmtId="4" fontId="0" fillId="29" borderId="0" applyAlignment="1" pivotButton="0" quotePrefix="0" xfId="0">
      <alignment horizontal="centerContinuous"/>
    </xf>
    <xf numFmtId="0" fontId="0" fillId="3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2" fillId="0" borderId="0" pivotButton="0" quotePrefix="0" xfId="0"/>
    <xf numFmtId="14" fontId="0" fillId="26" borderId="0" pivotButton="0" quotePrefix="0" xfId="0"/>
    <xf numFmtId="4" fontId="0" fillId="26" borderId="0" pivotButton="0" quotePrefix="0" xfId="0"/>
    <xf numFmtId="0" fontId="0" fillId="27" borderId="0" applyAlignment="1" pivotButton="0" quotePrefix="0" xfId="0">
      <alignment horizontal="center"/>
    </xf>
    <xf numFmtId="0" fontId="0" fillId="27" borderId="1" pivotButton="0" quotePrefix="0" xfId="0"/>
    <xf numFmtId="0" fontId="0" fillId="23" borderId="1" pivotButton="0" quotePrefix="0" xfId="0"/>
    <xf numFmtId="0" fontId="3" fillId="0" borderId="0" pivotButton="0" quotePrefix="0" xfId="0"/>
    <xf numFmtId="0" fontId="4" fillId="26" borderId="0" applyAlignment="1" pivotButton="0" quotePrefix="0" xfId="0">
      <alignment horizontal="center"/>
    </xf>
    <xf numFmtId="4" fontId="0" fillId="3" borderId="0" pivotButton="0" quotePrefix="0" xfId="0"/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0" fillId="31" borderId="0" pivotButton="0" quotePrefix="0" xfId="0"/>
    <xf numFmtId="4" fontId="0" fillId="31" borderId="0" pivotButton="0" quotePrefix="0" xfId="0"/>
    <xf numFmtId="1" fontId="0" fillId="0" borderId="0" pivotButton="0" quotePrefix="0" xfId="0"/>
    <xf numFmtId="1" fontId="0" fillId="0" borderId="1" pivotButton="0" quotePrefix="0" xfId="0"/>
    <xf numFmtId="1" fontId="0" fillId="0" borderId="0" applyAlignment="1" pivotButton="0" quotePrefix="0" xfId="0">
      <alignment horizontal="center"/>
    </xf>
    <xf numFmtId="1" fontId="0" fillId="0" borderId="0" pivotButton="0" quotePrefix="0" xfId="1"/>
    <xf numFmtId="1" fontId="1" fillId="0" borderId="0" pivotButton="0" quotePrefix="0" xfId="0"/>
    <xf numFmtId="1" fontId="2" fillId="32" borderId="0" pivotButton="0" quotePrefix="0" xfId="0"/>
    <xf numFmtId="0" fontId="17" fillId="0" borderId="1" applyAlignment="1" pivotButton="0" quotePrefix="0" xfId="0">
      <alignment horizontal="center"/>
    </xf>
    <xf numFmtId="0" fontId="17" fillId="25" borderId="1" applyAlignment="1" pivotButton="0" quotePrefix="0" xfId="0">
      <alignment horizontal="center"/>
    </xf>
    <xf numFmtId="0" fontId="17" fillId="0" borderId="10" applyAlignment="1" pivotButton="0" quotePrefix="0" xfId="0">
      <alignment horizontal="center"/>
    </xf>
    <xf numFmtId="0" fontId="20" fillId="0" borderId="0" pivotButton="0" quotePrefix="0" xfId="0"/>
    <xf numFmtId="0" fontId="18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18" fillId="0" borderId="1" pivotButton="0" quotePrefix="0" xfId="0"/>
    <xf numFmtId="2" fontId="18" fillId="0" borderId="0" applyAlignment="1" pivotButton="0" quotePrefix="0" xfId="0">
      <alignment horizontal="right"/>
    </xf>
    <xf numFmtId="2" fontId="18" fillId="0" borderId="0" applyAlignment="1" pivotButton="0" quotePrefix="0" xfId="1">
      <alignment horizontal="center"/>
    </xf>
    <xf numFmtId="1" fontId="18" fillId="0" borderId="1" applyAlignment="1" pivotButton="0" quotePrefix="0" xfId="1">
      <alignment horizontal="center"/>
    </xf>
    <xf numFmtId="1" fontId="18" fillId="0" borderId="0" pivotButton="0" quotePrefix="0" xfId="1"/>
    <xf numFmtId="1" fontId="18" fillId="0" borderId="1" pivotButton="0" quotePrefix="0" xfId="1"/>
    <xf numFmtId="0" fontId="16" fillId="0" borderId="0" pivotButton="0" quotePrefix="0" xfId="0"/>
    <xf numFmtId="1" fontId="2" fillId="0" borderId="0" pivotButton="0" quotePrefix="0" xfId="0"/>
    <xf numFmtId="1" fontId="18" fillId="0" borderId="0" applyAlignment="1" pivotButton="0" quotePrefix="0" xfId="0">
      <alignment horizontal="right"/>
    </xf>
    <xf numFmtId="1" fontId="18" fillId="0" borderId="0" applyAlignment="1" pivotButton="0" quotePrefix="0" xfId="1">
      <alignment horizontal="center"/>
    </xf>
    <xf numFmtId="0" fontId="16" fillId="33" borderId="1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2" fillId="0" borderId="1" pivotButton="0" quotePrefix="0" xfId="0"/>
    <xf numFmtId="14" fontId="16" fillId="0" borderId="1" pivotButton="0" quotePrefix="0" xfId="0"/>
    <xf numFmtId="0" fontId="16" fillId="0" borderId="1" pivotButton="0" quotePrefix="0" xfId="0"/>
    <xf numFmtId="14" fontId="0" fillId="0" borderId="1" pivotButton="0" quotePrefix="0" xfId="0"/>
    <xf numFmtId="0" fontId="18" fillId="0" borderId="0" pivotButton="0" quotePrefix="0" xfId="0"/>
    <xf numFmtId="0" fontId="0" fillId="0" borderId="1" applyAlignment="1" pivotButton="0" quotePrefix="0" xfId="0">
      <alignment horizontal="center"/>
    </xf>
    <xf numFmtId="1" fontId="23" fillId="0" borderId="0" applyAlignment="1" pivotButton="0" quotePrefix="0" xfId="0">
      <alignment horizontal="center"/>
    </xf>
    <xf numFmtId="1" fontId="21" fillId="0" borderId="1" applyAlignment="1" pivotButton="0" quotePrefix="0" xfId="0">
      <alignment horizontal="center"/>
    </xf>
    <xf numFmtId="0" fontId="17" fillId="34" borderId="1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1" fontId="23" fillId="0" borderId="1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8" fillId="4" borderId="0" pivotButton="0" quotePrefix="0" xfId="0"/>
    <xf numFmtId="14" fontId="0" fillId="4" borderId="0" pivotButton="0" quotePrefix="0" xfId="0"/>
    <xf numFmtId="14" fontId="1" fillId="4" borderId="0" pivotButton="0" quotePrefix="0" xfId="0"/>
    <xf numFmtId="0" fontId="0" fillId="0" borderId="0" applyAlignment="1" pivotButton="0" quotePrefix="0" xfId="0">
      <alignment vertical="top"/>
    </xf>
    <xf numFmtId="0" fontId="1" fillId="0" borderId="0" pivotButton="0" quotePrefix="0" xfId="0"/>
    <xf numFmtId="0" fontId="18" fillId="25" borderId="0" pivotButton="0" quotePrefix="0" xfId="0"/>
    <xf numFmtId="0" fontId="24" fillId="0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 wrapText="1"/>
    </xf>
    <xf numFmtId="14" fontId="2" fillId="6" borderId="1" applyAlignment="1" pivotButton="0" quotePrefix="0" xfId="0">
      <alignment horizontal="center" vertical="center" wrapText="1"/>
    </xf>
    <xf numFmtId="0" fontId="0" fillId="25" borderId="0" applyAlignment="1" pivotButton="0" quotePrefix="0" xfId="0">
      <alignment horizontal="right"/>
    </xf>
    <xf numFmtId="14" fontId="2" fillId="8" borderId="1" applyAlignment="1" pivotButton="0" quotePrefix="0" xfId="0">
      <alignment horizontal="center" vertical="center" wrapText="1"/>
    </xf>
    <xf numFmtId="0" fontId="3" fillId="15" borderId="0" applyAlignment="1" pivotButton="0" quotePrefix="0" xfId="0">
      <alignment horizontal="left"/>
    </xf>
    <xf numFmtId="10" fontId="0" fillId="0" borderId="0" applyAlignment="1" pivotButton="0" quotePrefix="0" xfId="2">
      <alignment horizontal="center"/>
    </xf>
    <xf numFmtId="10" fontId="0" fillId="0" borderId="0" pivotButton="0" quotePrefix="0" xfId="0"/>
    <xf numFmtId="10" fontId="9" fillId="0" borderId="0" pivotButton="0" quotePrefix="0" xfId="0"/>
    <xf numFmtId="0" fontId="9" fillId="0" borderId="0" pivotButton="0" quotePrefix="0" xfId="0"/>
    <xf numFmtId="0" fontId="2" fillId="26" borderId="0" applyAlignment="1" pivotButton="0" quotePrefix="0" xfId="0">
      <alignment horizontal="left"/>
    </xf>
    <xf numFmtId="10" fontId="2" fillId="0" borderId="0" applyAlignment="1" pivotButton="0" quotePrefix="0" xfId="2">
      <alignment horizontal="center"/>
    </xf>
    <xf numFmtId="0" fontId="0" fillId="6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10" fontId="2" fillId="3" borderId="0" pivotButton="0" quotePrefix="0" xfId="0"/>
    <xf numFmtId="10" fontId="2" fillId="6" borderId="0" pivotButton="0" quotePrefix="0" xfId="0"/>
    <xf numFmtId="10" fontId="2" fillId="19" borderId="0" pivotButton="0" quotePrefix="0" xfId="0"/>
    <xf numFmtId="0" fontId="0" fillId="25" borderId="0" applyAlignment="1" pivotButton="0" quotePrefix="0" xfId="0">
      <alignment horizontal="center"/>
    </xf>
    <xf numFmtId="2" fontId="18" fillId="0" borderId="0" applyAlignment="1" pivotButton="0" quotePrefix="0" xfId="0">
      <alignment horizontal="center"/>
    </xf>
    <xf numFmtId="1" fontId="18" fillId="0" borderId="9" applyAlignment="1" pivotButton="0" quotePrefix="0" xfId="0">
      <alignment horizontal="center"/>
    </xf>
    <xf numFmtId="1" fontId="21" fillId="0" borderId="0" applyAlignment="1" pivotButton="0" quotePrefix="0" xfId="0">
      <alignment horizontal="center"/>
    </xf>
    <xf numFmtId="1" fontId="18" fillId="0" borderId="10" applyAlignment="1" pivotButton="0" quotePrefix="0" xfId="0">
      <alignment horizontal="center"/>
    </xf>
    <xf numFmtId="1" fontId="18" fillId="0" borderId="1" applyAlignment="1" pivotButton="0" quotePrefix="0" xfId="0">
      <alignment horizontal="center"/>
    </xf>
    <xf numFmtId="1" fontId="18" fillId="0" borderId="1" pivotButton="0" quotePrefix="0" xfId="0"/>
    <xf numFmtId="1" fontId="2" fillId="27" borderId="0" applyAlignment="1" pivotButton="0" quotePrefix="0" xfId="0">
      <alignment vertical="top"/>
    </xf>
    <xf numFmtId="0" fontId="25" fillId="0" borderId="0" applyAlignment="1" pivotButton="0" quotePrefix="0" xfId="4">
      <alignment vertical="top"/>
    </xf>
    <xf numFmtId="0" fontId="26" fillId="0" borderId="0" pivotButton="0" quotePrefix="0" xfId="0"/>
    <xf numFmtId="0" fontId="26" fillId="0" borderId="2" applyAlignment="1" pivotButton="0" quotePrefix="0" xfId="0">
      <alignment wrapText="1"/>
    </xf>
    <xf numFmtId="0" fontId="26" fillId="0" borderId="0" applyAlignment="1" pivotButton="0" quotePrefix="0" xfId="0">
      <alignment horizontal="center" wrapText="1"/>
    </xf>
    <xf numFmtId="0" fontId="26" fillId="0" borderId="2" pivotButton="0" quotePrefix="0" xfId="0"/>
    <xf numFmtId="0" fontId="26" fillId="0" borderId="2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2" fillId="47" borderId="16" pivotButton="0" quotePrefix="0" xfId="0"/>
    <xf numFmtId="0" fontId="32" fillId="48" borderId="16" pivotButton="0" quotePrefix="0" xfId="0"/>
    <xf numFmtId="0" fontId="32" fillId="48" borderId="17" pivotButton="0" quotePrefix="0" xfId="0"/>
    <xf numFmtId="0" fontId="32" fillId="47" borderId="14" pivotButton="0" quotePrefix="0" xfId="0"/>
    <xf numFmtId="4" fontId="0" fillId="16" borderId="16" pivotButton="0" quotePrefix="0" xfId="0"/>
    <xf numFmtId="4" fontId="0" fillId="16" borderId="17" pivotButton="0" quotePrefix="0" xfId="0"/>
    <xf numFmtId="4" fontId="0" fillId="0" borderId="0" pivotButton="0" quotePrefix="0" xfId="0"/>
    <xf numFmtId="4" fontId="0" fillId="16" borderId="15" pivotButton="0" quotePrefix="0" xfId="0"/>
    <xf numFmtId="4" fontId="0" fillId="16" borderId="18" pivotButton="0" quotePrefix="0" xfId="0"/>
    <xf numFmtId="0" fontId="2" fillId="3" borderId="0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33" fillId="0" borderId="0" applyAlignment="1" pivotButton="0" quotePrefix="0" xfId="0">
      <alignment wrapText="1"/>
    </xf>
    <xf numFmtId="0" fontId="34" fillId="0" borderId="0" applyAlignment="1" pivotButton="0" quotePrefix="0" xfId="0">
      <alignment horizontal="center" wrapText="1"/>
    </xf>
    <xf numFmtId="9" fontId="4" fillId="0" borderId="0" pivotButton="0" quotePrefix="0" xfId="2"/>
    <xf numFmtId="0" fontId="9" fillId="0" borderId="0" applyAlignment="1" pivotButton="0" quotePrefix="0" xfId="0">
      <alignment horizontal="center"/>
    </xf>
    <xf numFmtId="0" fontId="3" fillId="24" borderId="0" pivotButton="0" quotePrefix="0" xfId="0"/>
    <xf numFmtId="0" fontId="3" fillId="24" borderId="1" pivotButton="0" quotePrefix="0" xfId="0"/>
    <xf numFmtId="0" fontId="3" fillId="0" borderId="1" pivotButton="0" quotePrefix="0" xfId="0"/>
    <xf numFmtId="0" fontId="5" fillId="0" borderId="0" applyAlignment="1" pivotButton="0" quotePrefix="0" xfId="0">
      <alignment horizontal="right"/>
    </xf>
    <xf numFmtId="0" fontId="0" fillId="13" borderId="0" applyAlignment="1" pivotButton="0" quotePrefix="0" xfId="0">
      <alignment horizontal="left"/>
    </xf>
    <xf numFmtId="0" fontId="0" fillId="13" borderId="0" applyAlignment="1" pivotButton="0" quotePrefix="0" xfId="0">
      <alignment horizontal="right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2" fillId="0" borderId="0" pivotButton="0" quotePrefix="0" xfId="0"/>
    <xf numFmtId="10" fontId="0" fillId="0" borderId="0" pivotButton="0" quotePrefix="0" xfId="2"/>
    <xf numFmtId="0" fontId="0" fillId="25" borderId="1" applyAlignment="1" pivotButton="0" quotePrefix="0" xfId="0">
      <alignment horizontal="right"/>
    </xf>
    <xf numFmtId="14" fontId="0" fillId="0" borderId="0" pivotButton="0" quotePrefix="0" xfId="0"/>
    <xf numFmtId="0" fontId="0" fillId="4" borderId="0" pivotButton="0" quotePrefix="0" xfId="0"/>
    <xf numFmtId="0" fontId="0" fillId="7" borderId="1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26" fillId="0" borderId="0" applyAlignment="1" pivotButton="0" quotePrefix="0" xfId="0">
      <alignment wrapText="1"/>
    </xf>
    <xf numFmtId="0" fontId="25" fillId="0" borderId="0" applyAlignment="1" pivotButton="0" quotePrefix="0" xfId="0">
      <alignment wrapText="1"/>
    </xf>
    <xf numFmtId="10" fontId="3" fillId="0" borderId="10" pivotButton="0" quotePrefix="0" xfId="0"/>
    <xf numFmtId="9" fontId="0" fillId="0" borderId="0" applyAlignment="1" pivotButton="0" quotePrefix="0" xfId="2">
      <alignment horizontal="center"/>
    </xf>
    <xf numFmtId="10" fontId="3" fillId="20" borderId="23" pivotButton="0" quotePrefix="0" xfId="0"/>
    <xf numFmtId="0" fontId="36" fillId="0" borderId="0" pivotButton="0" quotePrefix="0" xfId="0"/>
    <xf numFmtId="0" fontId="2" fillId="0" borderId="30" applyAlignment="1" pivotButton="0" quotePrefix="0" xfId="0">
      <alignment horizontal="center"/>
    </xf>
    <xf numFmtId="0" fontId="4" fillId="0" borderId="31" applyAlignment="1" pivotButton="0" quotePrefix="0" xfId="0">
      <alignment horizontal="center"/>
    </xf>
    <xf numFmtId="0" fontId="0" fillId="0" borderId="28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30" pivotButton="0" quotePrefix="0" xfId="0"/>
    <xf numFmtId="0" fontId="2" fillId="0" borderId="32" applyAlignment="1" pivotButton="0" quotePrefix="0" xfId="0">
      <alignment horizontal="center"/>
    </xf>
    <xf numFmtId="0" fontId="0" fillId="26" borderId="5" applyAlignment="1" pivotButton="0" quotePrefix="0" xfId="0">
      <alignment horizontal="right"/>
    </xf>
    <xf numFmtId="0" fontId="2" fillId="58" borderId="0" pivotButton="0" quotePrefix="0" xfId="0"/>
    <xf numFmtId="0" fontId="0" fillId="59" borderId="1" pivotButton="0" quotePrefix="0" xfId="0"/>
    <xf numFmtId="9" fontId="0" fillId="59" borderId="1" pivotButton="0" quotePrefix="0" xfId="2"/>
    <xf numFmtId="0" fontId="0" fillId="59" borderId="0" pivotButton="0" quotePrefix="0" xfId="0"/>
    <xf numFmtId="9" fontId="0" fillId="59" borderId="0" pivotButton="0" quotePrefix="0" xfId="2"/>
    <xf numFmtId="0" fontId="2" fillId="59" borderId="0" pivotButton="0" quotePrefix="0" xfId="0"/>
    <xf numFmtId="0" fontId="0" fillId="0" borderId="8" pivotButton="0" quotePrefix="0" xfId="0"/>
    <xf numFmtId="0" fontId="0" fillId="0" borderId="3" pivotButton="0" quotePrefix="0" xfId="0"/>
    <xf numFmtId="0" fontId="2" fillId="0" borderId="2" pivotButton="0" quotePrefix="0" xfId="0"/>
    <xf numFmtId="0" fontId="2" fillId="7" borderId="0" pivotButton="0" quotePrefix="0" xfId="0"/>
    <xf numFmtId="9" fontId="3" fillId="56" borderId="0" pivotButton="0" quotePrefix="0" xfId="0"/>
    <xf numFmtId="0" fontId="0" fillId="56" borderId="4" pivotButton="0" quotePrefix="0" xfId="0"/>
    <xf numFmtId="10" fontId="3" fillId="56" borderId="21" pivotButton="0" quotePrefix="0" xfId="0"/>
    <xf numFmtId="10" fontId="3" fillId="56" borderId="9" pivotButton="0" quotePrefix="0" xfId="0"/>
    <xf numFmtId="0" fontId="0" fillId="56" borderId="1" pivotButton="0" quotePrefix="0" xfId="0"/>
    <xf numFmtId="10" fontId="3" fillId="56" borderId="10" pivotButton="0" quotePrefix="0" xfId="0"/>
    <xf numFmtId="0" fontId="2" fillId="56" borderId="0" pivotButton="0" quotePrefix="0" xfId="0"/>
    <xf numFmtId="10" fontId="4" fillId="56" borderId="0" pivotButton="0" quotePrefix="0" xfId="0"/>
    <xf numFmtId="10" fontId="3" fillId="56" borderId="0" pivotButton="0" quotePrefix="0" xfId="0"/>
    <xf numFmtId="10" fontId="3" fillId="56" borderId="1" pivotButton="0" quotePrefix="0" xfId="0"/>
    <xf numFmtId="0" fontId="0" fillId="56" borderId="0" pivotButton="0" quotePrefix="0" xfId="0"/>
    <xf numFmtId="0" fontId="3" fillId="0" borderId="0" applyAlignment="1" pivotButton="0" quotePrefix="0" xfId="0">
      <alignment horizontal="center"/>
    </xf>
    <xf numFmtId="0" fontId="37" fillId="0" borderId="0" pivotButton="0" quotePrefix="0" xfId="0"/>
    <xf numFmtId="0" fontId="0" fillId="0" borderId="9" pivotButton="0" quotePrefix="0" xfId="0"/>
    <xf numFmtId="0" fontId="2" fillId="60" borderId="0" pivotButton="0" quotePrefix="0" xfId="0"/>
    <xf numFmtId="0" fontId="0" fillId="58" borderId="1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61" borderId="1" pivotButton="0" quotePrefix="0" xfId="0"/>
    <xf numFmtId="0" fontId="0" fillId="61" borderId="0" pivotButton="0" quotePrefix="0" xfId="0"/>
    <xf numFmtId="0" fontId="2" fillId="61" borderId="0" pivotButton="0" quotePrefix="0" xfId="0"/>
    <xf numFmtId="0" fontId="8" fillId="58" borderId="0" pivotButton="0" quotePrefix="0" xfId="0"/>
    <xf numFmtId="0" fontId="2" fillId="58" borderId="1" pivotButton="0" quotePrefix="0" xfId="0"/>
    <xf numFmtId="9" fontId="22" fillId="0" borderId="0" applyAlignment="1" pivotButton="0" quotePrefix="0" xfId="2">
      <alignment horizontal="center"/>
    </xf>
    <xf numFmtId="0" fontId="0" fillId="56" borderId="21" pivotButton="0" quotePrefix="0" xfId="0"/>
    <xf numFmtId="4" fontId="0" fillId="16" borderId="14" pivotButton="0" quotePrefix="0" xfId="0"/>
    <xf numFmtId="0" fontId="38" fillId="48" borderId="0" pivotButton="0" quotePrefix="0" xfId="0"/>
    <xf numFmtId="9" fontId="0" fillId="58" borderId="0" pivotButton="0" quotePrefix="0" xfId="2"/>
    <xf numFmtId="9" fontId="2" fillId="0" borderId="0" pivotButton="0" quotePrefix="0" xfId="2"/>
    <xf numFmtId="0" fontId="5" fillId="58" borderId="0" pivotButton="0" quotePrefix="0" xfId="0"/>
    <xf numFmtId="9" fontId="5" fillId="58" borderId="0" pivotButton="0" quotePrefix="0" xfId="2"/>
    <xf numFmtId="0" fontId="0" fillId="0" borderId="37" pivotButton="0" quotePrefix="0" xfId="0"/>
    <xf numFmtId="0" fontId="2" fillId="61" borderId="1" pivotButton="0" quotePrefix="0" xfId="0"/>
    <xf numFmtId="0" fontId="40" fillId="61" borderId="0" pivotButton="0" quotePrefix="0" xfId="0"/>
    <xf numFmtId="0" fontId="40" fillId="58" borderId="0" pivotButton="0" quotePrefix="0" xfId="0"/>
    <xf numFmtId="0" fontId="40" fillId="58" borderId="1" pivotButton="0" quotePrefix="0" xfId="0"/>
    <xf numFmtId="0" fontId="41" fillId="58" borderId="0" pivotButton="0" quotePrefix="0" xfId="0"/>
    <xf numFmtId="0" fontId="41" fillId="61" borderId="1" pivotButton="0" quotePrefix="0" xfId="0"/>
    <xf numFmtId="0" fontId="2" fillId="61" borderId="41" pivotButton="0" quotePrefix="0" xfId="0"/>
    <xf numFmtId="0" fontId="40" fillId="61" borderId="40" pivotButton="0" quotePrefix="0" xfId="0"/>
    <xf numFmtId="0" fontId="0" fillId="61" borderId="40" pivotButton="0" quotePrefix="0" xfId="0"/>
    <xf numFmtId="0" fontId="41" fillId="58" borderId="1" pivotButton="0" quotePrefix="0" xfId="0"/>
    <xf numFmtId="0" fontId="41" fillId="60" borderId="0" pivotButton="0" quotePrefix="0" xfId="0"/>
    <xf numFmtId="0" fontId="40" fillId="61" borderId="1" pivotButton="0" quotePrefix="0" xfId="0"/>
    <xf numFmtId="0" fontId="2" fillId="25" borderId="1" applyAlignment="1" pivotButton="0" quotePrefix="0" xfId="0">
      <alignment horizontal="center"/>
    </xf>
    <xf numFmtId="0" fontId="8" fillId="25" borderId="1" applyAlignment="1" pivotButton="0" quotePrefix="0" xfId="0">
      <alignment horizontal="center"/>
    </xf>
    <xf numFmtId="0" fontId="8" fillId="62" borderId="1" applyAlignment="1" pivotButton="0" quotePrefix="0" xfId="0">
      <alignment horizontal="center"/>
    </xf>
    <xf numFmtId="0" fontId="2" fillId="62" borderId="1" applyAlignment="1" pivotButton="0" quotePrefix="0" xfId="0">
      <alignment horizontal="center"/>
    </xf>
    <xf numFmtId="0" fontId="0" fillId="0" borderId="0" pivotButton="1" quotePrefix="0" xfId="0"/>
    <xf numFmtId="0" fontId="26" fillId="0" borderId="0" applyAlignment="1" pivotButton="1" quotePrefix="0" xfId="0">
      <alignment wrapText="1"/>
    </xf>
    <xf numFmtId="0" fontId="1" fillId="0" borderId="0" pivotButton="1" quotePrefix="0" xfId="0"/>
    <xf numFmtId="0" fontId="24" fillId="0" borderId="0" applyAlignment="1" pivotButton="1" quotePrefix="0" xfId="0">
      <alignment horizontal="center" wrapText="1"/>
    </xf>
    <xf numFmtId="1" fontId="2" fillId="56" borderId="0" applyAlignment="1" pivotButton="0" quotePrefix="0" xfId="0">
      <alignment horizontal="center"/>
    </xf>
    <xf numFmtId="0" fontId="0" fillId="0" borderId="36" applyAlignment="1" pivotButton="0" quotePrefix="0" xfId="0">
      <alignment horizontal="left"/>
    </xf>
    <xf numFmtId="0" fontId="2" fillId="25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6" borderId="0" pivotButton="0" quotePrefix="0" xfId="0"/>
    <xf numFmtId="0" fontId="2" fillId="26" borderId="0" pivotButton="0" quotePrefix="0" xfId="0"/>
    <xf numFmtId="0" fontId="0" fillId="0" borderId="43" pivotButton="0" quotePrefix="0" xfId="0"/>
    <xf numFmtId="0" fontId="2" fillId="0" borderId="4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/>
    </xf>
    <xf numFmtId="0" fontId="0" fillId="13" borderId="0" applyAlignment="1" pivotButton="0" quotePrefix="0" xfId="0">
      <alignment horizontal="center" vertical="center"/>
    </xf>
    <xf numFmtId="0" fontId="2" fillId="13" borderId="0" applyAlignment="1" pivotButton="0" quotePrefix="0" xfId="0">
      <alignment horizontal="center" vertical="center"/>
    </xf>
    <xf numFmtId="1" fontId="43" fillId="25" borderId="0" applyAlignment="1" pivotButton="0" quotePrefix="0" xfId="0">
      <alignment horizontal="center"/>
    </xf>
    <xf numFmtId="1" fontId="44" fillId="25" borderId="0" applyAlignment="1" pivotButton="0" quotePrefix="0" xfId="0">
      <alignment horizontal="center"/>
    </xf>
    <xf numFmtId="1" fontId="1" fillId="25" borderId="0" applyAlignment="1" pivotButton="0" quotePrefix="0" xfId="0">
      <alignment horizontal="center"/>
    </xf>
    <xf numFmtId="1" fontId="2" fillId="63" borderId="0" applyAlignment="1" pivotButton="0" quotePrefix="0" xfId="0">
      <alignment horizontal="center"/>
    </xf>
    <xf numFmtId="1" fontId="0" fillId="25" borderId="0" applyAlignment="1" pivotButton="0" quotePrefix="0" xfId="0">
      <alignment horizontal="center"/>
    </xf>
    <xf numFmtId="0" fontId="2" fillId="64" borderId="0" applyAlignment="1" pivotButton="0" quotePrefix="0" xfId="0">
      <alignment horizontal="center" vertical="center"/>
    </xf>
    <xf numFmtId="0" fontId="2" fillId="64" borderId="0" applyAlignment="1" pivotButton="0" quotePrefix="1" xfId="0">
      <alignment horizontal="center" vertical="center"/>
    </xf>
    <xf numFmtId="1" fontId="32" fillId="65" borderId="0" applyAlignment="1" pivotButton="0" quotePrefix="0" xfId="0">
      <alignment horizontal="center"/>
    </xf>
    <xf numFmtId="0" fontId="2" fillId="25" borderId="0" applyAlignment="1" pivotButton="0" quotePrefix="0" xfId="0">
      <alignment horizontal="left" indent="1"/>
    </xf>
    <xf numFmtId="0" fontId="0" fillId="25" borderId="0" applyAlignment="1" pivotButton="0" quotePrefix="0" xfId="0">
      <alignment horizontal="left" indent="1"/>
    </xf>
    <xf numFmtId="0" fontId="2" fillId="4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  <xf numFmtId="1" fontId="32" fillId="66" borderId="0" applyAlignment="1" pivotButton="0" quotePrefix="0" xfId="0">
      <alignment horizontal="center"/>
    </xf>
    <xf numFmtId="1" fontId="2" fillId="67" borderId="0" applyAlignment="1" pivotButton="0" quotePrefix="0" xfId="0">
      <alignment horizontal="center"/>
    </xf>
    <xf numFmtId="0" fontId="45" fillId="25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left"/>
    </xf>
    <xf numFmtId="0" fontId="46" fillId="25" borderId="0" applyAlignment="1" pivotButton="0" quotePrefix="0" xfId="0">
      <alignment horizontal="center"/>
    </xf>
    <xf numFmtId="0" fontId="47" fillId="25" borderId="0" pivotButton="0" quotePrefix="0" xfId="0"/>
    <xf numFmtId="1" fontId="46" fillId="63" borderId="0" applyAlignment="1" pivotButton="0" quotePrefix="0" xfId="0">
      <alignment horizontal="center"/>
    </xf>
    <xf numFmtId="1" fontId="48" fillId="66" borderId="0" applyAlignment="1" pivotButton="0" quotePrefix="0" xfId="0">
      <alignment horizontal="center"/>
    </xf>
    <xf numFmtId="1" fontId="46" fillId="67" borderId="0" applyAlignment="1" pivotButton="0" quotePrefix="0" xfId="0">
      <alignment horizontal="center"/>
    </xf>
    <xf numFmtId="0" fontId="47" fillId="0" borderId="0" pivotButton="0" quotePrefix="0" xfId="0"/>
    <xf numFmtId="0" fontId="46" fillId="64" borderId="0" applyAlignment="1" pivotButton="0" quotePrefix="0" xfId="0">
      <alignment horizontal="center" vertical="center"/>
    </xf>
    <xf numFmtId="1" fontId="46" fillId="56" borderId="0" applyAlignment="1" pivotButton="0" quotePrefix="0" xfId="0">
      <alignment horizontal="center"/>
    </xf>
    <xf numFmtId="0" fontId="46" fillId="0" borderId="0" pivotButton="0" quotePrefix="0" xfId="0"/>
    <xf numFmtId="0" fontId="46" fillId="0" borderId="0" applyAlignment="1" pivotButton="0" quotePrefix="0" xfId="0">
      <alignment horizontal="center"/>
    </xf>
    <xf numFmtId="0" fontId="46" fillId="64" borderId="0" applyAlignment="1" pivotButton="0" quotePrefix="1" xfId="0">
      <alignment horizontal="center" vertical="center"/>
    </xf>
    <xf numFmtId="0" fontId="49" fillId="25" borderId="0" applyAlignment="1" pivotButton="0" quotePrefix="0" xfId="0">
      <alignment horizontal="left" indent="1"/>
    </xf>
    <xf numFmtId="0" fontId="46" fillId="25" borderId="0" applyAlignment="1" pivotButton="0" quotePrefix="0" xfId="0">
      <alignment horizontal="left" indent="1"/>
    </xf>
    <xf numFmtId="0" fontId="32" fillId="7" borderId="15" applyAlignment="1" pivotButton="0" quotePrefix="0" xfId="0">
      <alignment horizontal="center" vertical="center"/>
    </xf>
    <xf numFmtId="0" fontId="32" fillId="3" borderId="15" applyAlignment="1" pivotButton="0" quotePrefix="0" xfId="0">
      <alignment horizontal="center" vertical="center"/>
    </xf>
    <xf numFmtId="0" fontId="42" fillId="3" borderId="15" applyAlignment="1" pivotButton="0" quotePrefix="0" xfId="0">
      <alignment horizontal="center" vertical="center"/>
    </xf>
    <xf numFmtId="0" fontId="42" fillId="3" borderId="15" applyAlignment="1" pivotButton="0" quotePrefix="0" xfId="0">
      <alignment horizontal="center" vertical="center" wrapText="1"/>
    </xf>
    <xf numFmtId="0" fontId="42" fillId="7" borderId="15" applyAlignment="1" pivotButton="0" quotePrefix="0" xfId="0">
      <alignment horizontal="center" vertical="center"/>
    </xf>
    <xf numFmtId="0" fontId="42" fillId="6" borderId="15" applyAlignment="1" pivotButton="0" quotePrefix="0" xfId="0">
      <alignment horizontal="center" vertical="center" wrapText="1"/>
    </xf>
    <xf numFmtId="14" fontId="42" fillId="6" borderId="15" applyAlignment="1" pivotButton="0" quotePrefix="0" xfId="0">
      <alignment horizontal="center" vertical="center" wrapText="1"/>
    </xf>
    <xf numFmtId="0" fontId="32" fillId="8" borderId="15" applyAlignment="1" pivotButton="0" quotePrefix="0" xfId="0">
      <alignment horizontal="center" vertical="center"/>
    </xf>
    <xf numFmtId="1" fontId="32" fillId="8" borderId="15" applyAlignment="1" pivotButton="0" quotePrefix="0" xfId="0">
      <alignment horizontal="center" vertical="center"/>
    </xf>
    <xf numFmtId="14" fontId="32" fillId="8" borderId="15" applyAlignment="1" pivotButton="0" quotePrefix="0" xfId="0">
      <alignment horizontal="center" vertical="center"/>
    </xf>
    <xf numFmtId="0" fontId="6" fillId="5" borderId="15" applyAlignment="1" pivotButton="0" quotePrefix="0" xfId="0">
      <alignment horizontal="center" vertical="center"/>
    </xf>
    <xf numFmtId="0" fontId="6" fillId="11" borderId="15" applyAlignment="1" pivotButton="0" quotePrefix="0" xfId="0">
      <alignment horizontal="center" vertical="center"/>
    </xf>
    <xf numFmtId="0" fontId="6" fillId="26" borderId="15" applyAlignment="1" pivotButton="0" quotePrefix="0" xfId="0">
      <alignment horizontal="center" vertical="center"/>
    </xf>
    <xf numFmtId="0" fontId="6" fillId="9" borderId="15" applyAlignment="1" pivotButton="0" quotePrefix="0" xfId="0">
      <alignment horizontal="center" vertical="center"/>
    </xf>
    <xf numFmtId="0" fontId="6" fillId="10" borderId="15" applyAlignment="1" pivotButton="0" quotePrefix="0" xfId="0">
      <alignment horizontal="center" vertical="center"/>
    </xf>
    <xf numFmtId="0" fontId="0" fillId="4" borderId="15" pivotButton="0" quotePrefix="0" xfId="0"/>
    <xf numFmtId="0" fontId="0" fillId="7" borderId="4" pivotButton="0" quotePrefix="0" xfId="0"/>
    <xf numFmtId="0" fontId="0" fillId="25" borderId="4" pivotButton="0" quotePrefix="0" xfId="0"/>
    <xf numFmtId="14" fontId="0" fillId="25" borderId="4" pivotButton="0" quotePrefix="0" xfId="0"/>
    <xf numFmtId="1" fontId="0" fillId="25" borderId="4" pivotButton="0" quotePrefix="0" xfId="0"/>
    <xf numFmtId="0" fontId="0" fillId="68" borderId="4" pivotButton="0" quotePrefix="0" xfId="0"/>
    <xf numFmtId="0" fontId="0" fillId="4" borderId="4" pivotButton="0" quotePrefix="0" xfId="0"/>
    <xf numFmtId="0" fontId="0" fillId="68" borderId="4" applyAlignment="1" pivotButton="0" quotePrefix="0" xfId="0">
      <alignment horizontal="center"/>
    </xf>
    <xf numFmtId="0" fontId="9" fillId="4" borderId="15" pivotButton="0" quotePrefix="0" xfId="0"/>
    <xf numFmtId="14" fontId="0" fillId="25" borderId="15" pivotButton="0" quotePrefix="0" xfId="0"/>
    <xf numFmtId="0" fontId="0" fillId="25" borderId="15" applyAlignment="1" pivotButton="0" quotePrefix="0" xfId="0">
      <alignment horizontal="right"/>
    </xf>
    <xf numFmtId="1" fontId="0" fillId="25" borderId="15" pivotButton="0" quotePrefix="0" xfId="0"/>
    <xf numFmtId="0" fontId="0" fillId="0" borderId="15" applyAlignment="1" pivotButton="0" quotePrefix="0" xfId="0">
      <alignment horizontal="center"/>
    </xf>
    <xf numFmtId="1" fontId="0" fillId="4" borderId="15" pivotButton="0" quotePrefix="0" xfId="0"/>
    <xf numFmtId="0" fontId="0" fillId="68" borderId="15" pivotButton="0" quotePrefix="0" xfId="0"/>
    <xf numFmtId="0" fontId="9" fillId="68" borderId="15" pivotButton="0" quotePrefix="0" xfId="3"/>
    <xf numFmtId="0" fontId="0" fillId="68" borderId="15" applyAlignment="1" pivotButton="0" quotePrefix="0" xfId="0">
      <alignment horizontal="center"/>
    </xf>
    <xf numFmtId="14" fontId="0" fillId="0" borderId="15" pivotButton="0" quotePrefix="0" xfId="0"/>
    <xf numFmtId="1" fontId="0" fillId="0" borderId="15" pivotButton="0" quotePrefix="0" xfId="0"/>
    <xf numFmtId="14" fontId="0" fillId="4" borderId="15" pivotButton="0" quotePrefix="0" xfId="0"/>
    <xf numFmtId="0" fontId="0" fillId="4" borderId="15" applyAlignment="1" pivotButton="0" quotePrefix="0" xfId="0">
      <alignment horizontal="right"/>
    </xf>
    <xf numFmtId="0" fontId="0" fillId="7" borderId="16" pivotButton="0" quotePrefix="0" xfId="0"/>
    <xf numFmtId="1" fontId="0" fillId="25" borderId="16" pivotButton="0" quotePrefix="0" xfId="0"/>
    <xf numFmtId="0" fontId="0" fillId="25" borderId="16" pivotButton="0" quotePrefix="0" xfId="0"/>
    <xf numFmtId="14" fontId="0" fillId="25" borderId="16" pivotButton="0" quotePrefix="0" xfId="0"/>
    <xf numFmtId="0" fontId="0" fillId="0" borderId="16" pivotButton="0" quotePrefix="0" xfId="0"/>
    <xf numFmtId="0" fontId="0" fillId="7" borderId="0" pivotButton="0" quotePrefix="0" xfId="0"/>
    <xf numFmtId="1" fontId="0" fillId="25" borderId="0" pivotButton="0" quotePrefix="0" xfId="0"/>
    <xf numFmtId="0" fontId="0" fillId="25" borderId="0" pivotButton="0" quotePrefix="0" xfId="0"/>
    <xf numFmtId="14" fontId="0" fillId="25" borderId="0" pivotButton="0" quotePrefix="0" xfId="0"/>
    <xf numFmtId="9" fontId="0" fillId="0" borderId="18" applyAlignment="1" pivotButton="0" quotePrefix="0" xfId="2">
      <alignment horizontal="center"/>
    </xf>
    <xf numFmtId="1" fontId="0" fillId="25" borderId="15" pivotButton="0" quotePrefix="1" xfId="0"/>
    <xf numFmtId="0" fontId="0" fillId="4" borderId="16" pivotButton="0" quotePrefix="0" xfId="0"/>
    <xf numFmtId="0" fontId="0" fillId="66" borderId="0" pivotButton="0" quotePrefix="0" xfId="0"/>
    <xf numFmtId="0" fontId="0" fillId="27" borderId="0" pivotButton="0" quotePrefix="0" xfId="0"/>
    <xf numFmtId="0" fontId="2" fillId="25" borderId="0" pivotButton="0" quotePrefix="0" xfId="0"/>
    <xf numFmtId="0" fontId="9" fillId="25" borderId="15" pivotButton="0" quotePrefix="0" xfId="0"/>
    <xf numFmtId="14" fontId="0" fillId="4" borderId="4" pivotButton="0" quotePrefix="0" xfId="0"/>
    <xf numFmtId="0" fontId="0" fillId="4" borderId="4" applyAlignment="1" pivotButton="0" quotePrefix="0" xfId="0">
      <alignment horizontal="right"/>
    </xf>
    <xf numFmtId="0" fontId="0" fillId="0" borderId="15" pivotButton="0" quotePrefix="0" xfId="0"/>
    <xf numFmtId="1" fontId="0" fillId="4" borderId="4" pivotButton="0" quotePrefix="0" xfId="0"/>
    <xf numFmtId="0" fontId="12" fillId="0" borderId="15" pivotButton="0" quotePrefix="0" xfId="3"/>
    <xf numFmtId="0" fontId="0" fillId="0" borderId="0" applyAlignment="1" pivotButton="0" quotePrefix="0" xfId="0">
      <alignment horizontal="right"/>
    </xf>
    <xf numFmtId="0" fontId="0" fillId="69" borderId="15" pivotButton="0" quotePrefix="0" xfId="0"/>
    <xf numFmtId="0" fontId="32" fillId="7" borderId="15" applyAlignment="1" pivotButton="0" quotePrefix="0" xfId="0">
      <alignment horizontal="center" vertical="center" wrapText="1"/>
    </xf>
    <xf numFmtId="0" fontId="0" fillId="0" borderId="15" pivotButton="0" quotePrefix="1" xfId="0"/>
    <xf numFmtId="0" fontId="0" fillId="7" borderId="15" pivotButton="0" quotePrefix="0" xfId="0"/>
    <xf numFmtId="9" fontId="0" fillId="7" borderId="18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5" borderId="15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4" borderId="0" pivotButton="0" quotePrefix="0" xfId="0"/>
    <xf numFmtId="166" fontId="2" fillId="8" borderId="0" applyAlignment="1" pivotButton="0" quotePrefix="0" xfId="0">
      <alignment horizontal="center" vertical="center" wrapText="1"/>
    </xf>
    <xf numFmtId="166" fontId="32" fillId="4" borderId="15" applyAlignment="1" pivotButton="0" quotePrefix="0" xfId="0">
      <alignment horizontal="center" vertical="center"/>
    </xf>
    <xf numFmtId="166" fontId="32" fillId="3" borderId="15" applyAlignment="1" pivotButton="0" quotePrefix="0" xfId="0">
      <alignment horizontal="center" vertical="center"/>
    </xf>
    <xf numFmtId="164" fontId="42" fillId="3" borderId="15" applyAlignment="1" pivotButton="0" quotePrefix="0" xfId="0">
      <alignment horizontal="center" vertical="center" wrapText="1"/>
    </xf>
    <xf numFmtId="167" fontId="42" fillId="6" borderId="15" applyAlignment="1" pivotButton="0" quotePrefix="0" xfId="1">
      <alignment horizontal="center" vertical="center" wrapText="1"/>
    </xf>
    <xf numFmtId="165" fontId="42" fillId="6" borderId="15" applyAlignment="1" pivotButton="0" quotePrefix="0" xfId="0">
      <alignment horizontal="center" vertical="center" wrapText="1"/>
    </xf>
    <xf numFmtId="166" fontId="32" fillId="8" borderId="15" applyAlignment="1" pivotButton="0" quotePrefix="0" xfId="0">
      <alignment horizontal="center" vertical="center" wrapText="1"/>
    </xf>
    <xf numFmtId="165" fontId="32" fillId="8" borderId="15" applyAlignment="1" pivotButton="0" quotePrefix="0" xfId="0">
      <alignment horizontal="center" vertical="center"/>
    </xf>
    <xf numFmtId="166" fontId="0" fillId="4" borderId="15" pivotButton="0" quotePrefix="0" xfId="0"/>
    <xf numFmtId="164" fontId="0" fillId="4" borderId="15" pivotButton="0" quotePrefix="0" xfId="0"/>
    <xf numFmtId="167" fontId="0" fillId="4" borderId="4" pivotButton="0" quotePrefix="0" xfId="1"/>
    <xf numFmtId="165" fontId="0" fillId="4" borderId="4" pivotButton="0" quotePrefix="0" xfId="0"/>
    <xf numFmtId="166" fontId="0" fillId="4" borderId="4" applyAlignment="1" pivotButton="0" quotePrefix="0" xfId="0">
      <alignment horizontal="center"/>
    </xf>
    <xf numFmtId="167" fontId="0" fillId="25" borderId="4" pivotButton="0" quotePrefix="0" xfId="1"/>
    <xf numFmtId="167" fontId="0" fillId="25" borderId="15" pivotButton="0" quotePrefix="0" xfId="1"/>
    <xf numFmtId="165" fontId="0" fillId="25" borderId="15" pivotButton="0" quotePrefix="0" xfId="0"/>
    <xf numFmtId="166" fontId="0" fillId="25" borderId="15" applyAlignment="1" pivotButton="0" quotePrefix="0" xfId="0">
      <alignment horizontal="center"/>
    </xf>
    <xf numFmtId="167" fontId="0" fillId="0" borderId="15" pivotButton="0" quotePrefix="0" xfId="1"/>
    <xf numFmtId="167" fontId="0" fillId="4" borderId="15" pivotButton="0" quotePrefix="0" xfId="1"/>
    <xf numFmtId="165" fontId="0" fillId="4" borderId="15" pivotButton="0" quotePrefix="0" xfId="0"/>
    <xf numFmtId="166" fontId="0" fillId="4" borderId="15" applyAlignment="1" pivotButton="0" quotePrefix="0" xfId="0">
      <alignment horizontal="center"/>
    </xf>
    <xf numFmtId="167" fontId="0" fillId="68" borderId="15" pivotButton="0" quotePrefix="0" xfId="1"/>
    <xf numFmtId="166" fontId="0" fillId="4" borderId="4" pivotButton="0" quotePrefix="0" xfId="0"/>
    <xf numFmtId="164" fontId="0" fillId="4" borderId="4" pivotButton="0" quotePrefix="0" xfId="0"/>
    <xf numFmtId="166" fontId="0" fillId="25" borderId="15" pivotButton="0" quotePrefix="0" xfId="0"/>
    <xf numFmtId="164" fontId="0" fillId="25" borderId="15" pivotButton="0" quotePrefix="0" xfId="0"/>
    <xf numFmtId="166" fontId="0" fillId="25" borderId="16" pivotButton="0" quotePrefix="0" xfId="0"/>
    <xf numFmtId="164" fontId="0" fillId="25" borderId="16" pivotButton="0" quotePrefix="0" xfId="0"/>
    <xf numFmtId="167" fontId="0" fillId="25" borderId="16" pivotButton="0" quotePrefix="0" xfId="1"/>
    <xf numFmtId="165" fontId="0" fillId="25" borderId="16" pivotButton="0" quotePrefix="0" xfId="0"/>
    <xf numFmtId="166" fontId="0" fillId="25" borderId="16" applyAlignment="1" pivotButton="0" quotePrefix="0" xfId="0">
      <alignment horizontal="center"/>
    </xf>
    <xf numFmtId="166" fontId="0" fillId="25" borderId="0" pivotButton="0" quotePrefix="0" xfId="0"/>
    <xf numFmtId="164" fontId="0" fillId="25" borderId="0" pivotButton="0" quotePrefix="0" xfId="0"/>
    <xf numFmtId="167" fontId="0" fillId="25" borderId="0" pivotButton="0" quotePrefix="0" xfId="1"/>
    <xf numFmtId="165" fontId="0" fillId="25" borderId="0" pivotButton="0" quotePrefix="0" xfId="0"/>
    <xf numFmtId="166" fontId="0" fillId="25" borderId="0" applyAlignment="1" pivotButton="0" quotePrefix="0" xfId="0">
      <alignment horizontal="center"/>
    </xf>
    <xf numFmtId="167" fontId="3" fillId="0" borderId="0" applyAlignment="1" pivotButton="0" quotePrefix="0" xfId="1">
      <alignment horizontal="center"/>
    </xf>
    <xf numFmtId="164" fontId="7" fillId="0" borderId="0" applyAlignment="1" pivotButton="0" quotePrefix="0" xfId="2">
      <alignment horizontal="center"/>
    </xf>
    <xf numFmtId="167" fontId="0" fillId="0" borderId="1" pivotButton="0" quotePrefix="0" xfId="1"/>
    <xf numFmtId="167" fontId="0" fillId="0" borderId="4" pivotButton="0" quotePrefix="0" xfId="1"/>
    <xf numFmtId="167" fontId="0" fillId="0" borderId="0" pivotButton="0" quotePrefix="0" xfId="0"/>
    <xf numFmtId="167" fontId="2" fillId="0" borderId="0" applyAlignment="1" pivotButton="0" quotePrefix="0" xfId="1">
      <alignment horizontal="center"/>
    </xf>
    <xf numFmtId="167" fontId="0" fillId="0" borderId="44" pivotButton="0" quotePrefix="0" xfId="1"/>
    <xf numFmtId="167" fontId="0" fillId="0" borderId="38" pivotButton="0" quotePrefix="0" xfId="0"/>
    <xf numFmtId="167" fontId="0" fillId="0" borderId="37" pivotButton="0" quotePrefix="0" xfId="1"/>
    <xf numFmtId="167" fontId="0" fillId="0" borderId="39" pivotButton="0" quotePrefix="0" xfId="1"/>
    <xf numFmtId="167" fontId="0" fillId="0" borderId="42" pivotButton="0" quotePrefix="0" xfId="1"/>
    <xf numFmtId="167" fontId="0" fillId="0" borderId="45" pivotButton="0" quotePrefix="0" xfId="1"/>
    <xf numFmtId="167" fontId="0" fillId="0" borderId="2" pivotButton="0" quotePrefix="0" xfId="0"/>
    <xf numFmtId="167" fontId="8" fillId="25" borderId="0" pivotButton="0" quotePrefix="0" xfId="1"/>
    <xf numFmtId="167" fontId="8" fillId="25" borderId="1" pivotButton="0" quotePrefix="0" xfId="1"/>
    <xf numFmtId="167" fontId="0" fillId="0" borderId="1" pivotButton="0" quotePrefix="0" xfId="0"/>
    <xf numFmtId="167" fontId="2" fillId="25" borderId="2" pivotButton="0" quotePrefix="0" xfId="0"/>
    <xf numFmtId="167" fontId="2" fillId="25" borderId="3" pivotButton="0" quotePrefix="0" xfId="0"/>
    <xf numFmtId="167" fontId="0" fillId="0" borderId="5" pivotButton="0" quotePrefix="0" xfId="1"/>
    <xf numFmtId="167" fontId="2" fillId="0" borderId="0" pivotButton="0" quotePrefix="0" xfId="1"/>
    <xf numFmtId="167" fontId="1" fillId="0" borderId="1" pivotButton="0" quotePrefix="0" xfId="1"/>
    <xf numFmtId="167" fontId="1" fillId="0" borderId="1" pivotButton="0" quotePrefix="0" xfId="0"/>
    <xf numFmtId="167" fontId="2" fillId="0" borderId="0" pivotButton="0" quotePrefix="0" xfId="0"/>
    <xf numFmtId="167" fontId="9" fillId="0" borderId="0" pivotButton="0" quotePrefix="0" xfId="0"/>
    <xf numFmtId="167" fontId="0" fillId="0" borderId="38" pivotButton="0" quotePrefix="0" xfId="1"/>
    <xf numFmtId="167" fontId="7" fillId="56" borderId="0" pivotButton="0" quotePrefix="0" xfId="1"/>
    <xf numFmtId="167" fontId="0" fillId="56" borderId="0" pivotButton="0" quotePrefix="0" xfId="1"/>
    <xf numFmtId="167" fontId="7" fillId="56" borderId="8" pivotButton="0" quotePrefix="0" xfId="1"/>
    <xf numFmtId="167" fontId="7" fillId="56" borderId="4" pivotButton="0" quotePrefix="0" xfId="1"/>
    <xf numFmtId="167" fontId="7" fillId="56" borderId="21" pivotButton="0" quotePrefix="0" xfId="1"/>
    <xf numFmtId="167" fontId="3" fillId="56" borderId="4" pivotButton="0" quotePrefix="0" xfId="1"/>
    <xf numFmtId="167" fontId="3" fillId="56" borderId="21" pivotButton="0" quotePrefix="0" xfId="1"/>
    <xf numFmtId="167" fontId="7" fillId="56" borderId="2" pivotButton="0" quotePrefix="0" xfId="1"/>
    <xf numFmtId="167" fontId="7" fillId="56" borderId="9" pivotButton="0" quotePrefix="0" xfId="1"/>
    <xf numFmtId="167" fontId="3" fillId="56" borderId="0" pivotButton="0" quotePrefix="0" xfId="1"/>
    <xf numFmtId="167" fontId="3" fillId="56" borderId="9" pivotButton="0" quotePrefix="0" xfId="1"/>
    <xf numFmtId="167" fontId="2" fillId="0" borderId="0" applyAlignment="1" pivotButton="0" quotePrefix="0" xfId="0">
      <alignment horizontal="left"/>
    </xf>
    <xf numFmtId="167" fontId="3" fillId="56" borderId="9" pivotButton="0" quotePrefix="1" xfId="1"/>
    <xf numFmtId="167" fontId="2" fillId="0" borderId="20" pivotButton="0" quotePrefix="0" xfId="0"/>
    <xf numFmtId="167" fontId="7" fillId="56" borderId="3" pivotButton="0" quotePrefix="0" xfId="1"/>
    <xf numFmtId="167" fontId="7" fillId="56" borderId="1" pivotButton="0" quotePrefix="0" xfId="1"/>
    <xf numFmtId="167" fontId="7" fillId="56" borderId="10" pivotButton="0" quotePrefix="0" xfId="1"/>
    <xf numFmtId="167" fontId="3" fillId="56" borderId="1" pivotButton="0" quotePrefix="0" xfId="1"/>
    <xf numFmtId="167" fontId="3" fillId="56" borderId="10" pivotButton="0" quotePrefix="0" xfId="1"/>
    <xf numFmtId="167" fontId="2" fillId="0" borderId="22" pivotButton="0" quotePrefix="0" xfId="0"/>
    <xf numFmtId="167" fontId="4" fillId="56" borderId="2" pivotButton="0" quotePrefix="0" xfId="1"/>
    <xf numFmtId="167" fontId="4" fillId="56" borderId="0" pivotButton="0" quotePrefix="0" xfId="1"/>
    <xf numFmtId="167" fontId="4" fillId="56" borderId="9" pivotButton="0" quotePrefix="0" xfId="1"/>
    <xf numFmtId="167" fontId="0" fillId="56" borderId="2" pivotButton="0" quotePrefix="0" xfId="1"/>
    <xf numFmtId="167" fontId="0" fillId="56" borderId="3" pivotButton="0" quotePrefix="0" xfId="1"/>
    <xf numFmtId="167" fontId="0" fillId="56" borderId="1" pivotButton="0" quotePrefix="0" xfId="1"/>
    <xf numFmtId="167" fontId="0" fillId="0" borderId="3" pivotButton="0" quotePrefix="0" xfId="0"/>
    <xf numFmtId="167" fontId="0" fillId="56" borderId="0" pivotButton="0" quotePrefix="0" xfId="0"/>
    <xf numFmtId="167" fontId="0" fillId="56" borderId="9" pivotButton="0" quotePrefix="0" xfId="0"/>
    <xf numFmtId="167" fontId="0" fillId="0" borderId="23" pivotButton="0" quotePrefix="0" xfId="0"/>
    <xf numFmtId="167" fontId="0" fillId="26" borderId="24" pivotButton="0" quotePrefix="0" xfId="1"/>
    <xf numFmtId="167" fontId="0" fillId="26" borderId="5" pivotButton="0" quotePrefix="0" xfId="1"/>
    <xf numFmtId="167" fontId="0" fillId="26" borderId="23" pivotButton="0" quotePrefix="0" xfId="1"/>
    <xf numFmtId="167" fontId="0" fillId="59" borderId="2" pivotButton="0" quotePrefix="0" xfId="1"/>
    <xf numFmtId="167" fontId="0" fillId="59" borderId="4" pivotButton="0" quotePrefix="0" xfId="1"/>
    <xf numFmtId="167" fontId="0" fillId="59" borderId="9" pivotButton="0" quotePrefix="0" xfId="1"/>
    <xf numFmtId="167" fontId="0" fillId="59" borderId="0" pivotButton="0" quotePrefix="0" xfId="1"/>
    <xf numFmtId="167" fontId="0" fillId="59" borderId="20" pivotButton="0" quotePrefix="0" xfId="1"/>
    <xf numFmtId="167" fontId="9" fillId="0" borderId="2" pivotButton="0" quotePrefix="0" xfId="1"/>
    <xf numFmtId="167" fontId="0" fillId="59" borderId="3" pivotButton="0" quotePrefix="0" xfId="1"/>
    <xf numFmtId="167" fontId="0" fillId="0" borderId="21" pivotButton="0" quotePrefix="0" xfId="1"/>
    <xf numFmtId="167" fontId="13" fillId="0" borderId="2" pivotButton="0" quotePrefix="0" xfId="1"/>
    <xf numFmtId="167" fontId="13" fillId="0" borderId="1" pivotButton="0" quotePrefix="0" xfId="1"/>
    <xf numFmtId="167" fontId="13" fillId="0" borderId="10" pivotButton="0" quotePrefix="0" xfId="1"/>
    <xf numFmtId="167" fontId="0" fillId="0" borderId="9" pivotButton="0" quotePrefix="0" xfId="1"/>
    <xf numFmtId="167" fontId="36" fillId="0" borderId="0" pivotButton="0" quotePrefix="0" xfId="0"/>
    <xf numFmtId="167" fontId="2" fillId="34" borderId="0" pivotButton="0" quotePrefix="0" xfId="1"/>
    <xf numFmtId="167" fontId="13" fillId="0" borderId="0" pivotButton="0" quotePrefix="0" xfId="1"/>
    <xf numFmtId="167" fontId="2" fillId="0" borderId="9" pivotButton="0" quotePrefix="0" xfId="0"/>
    <xf numFmtId="167" fontId="2" fillId="0" borderId="35" pivotButton="0" quotePrefix="0" xfId="0"/>
    <xf numFmtId="167" fontId="0" fillId="61" borderId="0" pivotButton="0" quotePrefix="0" xfId="0"/>
    <xf numFmtId="167" fontId="0" fillId="61" borderId="9" pivotButton="0" quotePrefix="0" xfId="0"/>
    <xf numFmtId="167" fontId="2" fillId="61" borderId="0" pivotButton="0" quotePrefix="0" xfId="0"/>
    <xf numFmtId="167" fontId="41" fillId="61" borderId="1" pivotButton="0" quotePrefix="0" xfId="0"/>
    <xf numFmtId="167" fontId="0" fillId="26" borderId="0" pivotButton="0" quotePrefix="0" xfId="0"/>
    <xf numFmtId="167" fontId="40" fillId="61" borderId="1" pivotButton="0" quotePrefix="0" xfId="0"/>
    <xf numFmtId="167" fontId="40" fillId="61" borderId="10" pivotButton="0" quotePrefix="0" xfId="0"/>
    <xf numFmtId="167" fontId="2" fillId="61" borderId="9" pivotButton="0" quotePrefix="0" xfId="0"/>
    <xf numFmtId="167" fontId="41" fillId="61" borderId="40" pivotButton="0" quotePrefix="0" xfId="0"/>
    <xf numFmtId="167" fontId="0" fillId="58" borderId="0" pivotButton="0" quotePrefix="0" xfId="0"/>
    <xf numFmtId="167" fontId="0" fillId="58" borderId="9" pivotButton="0" quotePrefix="0" xfId="0"/>
    <xf numFmtId="167" fontId="40" fillId="58" borderId="0" pivotButton="0" quotePrefix="0" xfId="0"/>
    <xf numFmtId="167" fontId="40" fillId="58" borderId="9" pivotButton="0" quotePrefix="0" xfId="0"/>
    <xf numFmtId="167" fontId="40" fillId="58" borderId="1" pivotButton="0" quotePrefix="0" xfId="0"/>
    <xf numFmtId="167" fontId="2" fillId="58" borderId="0" pivotButton="0" quotePrefix="0" xfId="0"/>
    <xf numFmtId="167" fontId="41" fillId="58" borderId="1" pivotButton="0" quotePrefix="0" xfId="0"/>
    <xf numFmtId="167" fontId="2" fillId="26" borderId="0" pivotButton="0" quotePrefix="0" xfId="0"/>
    <xf numFmtId="167" fontId="2" fillId="26" borderId="9" pivotButton="0" quotePrefix="0" xfId="0"/>
    <xf numFmtId="167" fontId="2" fillId="58" borderId="9" pivotButton="0" quotePrefix="0" xfId="0"/>
    <xf numFmtId="167" fontId="1" fillId="0" borderId="0" pivotButton="0" quotePrefix="0" xfId="0"/>
    <xf numFmtId="167" fontId="5" fillId="58" borderId="0" pivotButton="0" quotePrefix="0" xfId="0"/>
    <xf numFmtId="167" fontId="5" fillId="58" borderId="9" pivotButton="0" quotePrefix="0" xfId="0"/>
    <xf numFmtId="167" fontId="41" fillId="58" borderId="0" pivotButton="0" quotePrefix="0" xfId="0"/>
    <xf numFmtId="167" fontId="0" fillId="60" borderId="0" pivotButton="0" quotePrefix="0" xfId="0"/>
    <xf numFmtId="167" fontId="0" fillId="60" borderId="9" pivotButton="0" quotePrefix="0" xfId="0"/>
    <xf numFmtId="167" fontId="2" fillId="60" borderId="0" pivotButton="0" quotePrefix="0" xfId="0"/>
    <xf numFmtId="167" fontId="2" fillId="60" borderId="9" pivotButton="0" quotePrefix="0" xfId="0"/>
    <xf numFmtId="167" fontId="41" fillId="60" borderId="0" pivotButton="0" quotePrefix="0" xfId="0"/>
    <xf numFmtId="167" fontId="41" fillId="60" borderId="9" pivotButton="0" quotePrefix="0" xfId="0"/>
    <xf numFmtId="167" fontId="0" fillId="0" borderId="8" pivotButton="0" quotePrefix="0" xfId="1"/>
    <xf numFmtId="167" fontId="0" fillId="0" borderId="3" pivotButton="0" quotePrefix="0" xfId="1"/>
    <xf numFmtId="167" fontId="0" fillId="0" borderId="10" pivotButton="0" quotePrefix="0" xfId="1"/>
    <xf numFmtId="167" fontId="0" fillId="22" borderId="0" pivotButton="0" quotePrefix="0" xfId="1"/>
    <xf numFmtId="167" fontId="0" fillId="22" borderId="2" pivotButton="0" quotePrefix="0" xfId="0"/>
    <xf numFmtId="167" fontId="0" fillId="22" borderId="3" pivotButton="0" quotePrefix="0" xfId="0"/>
    <xf numFmtId="167" fontId="2" fillId="57" borderId="1" pivotButton="0" quotePrefix="0" xfId="0"/>
    <xf numFmtId="167" fontId="0" fillId="27" borderId="0" pivotButton="0" quotePrefix="0" xfId="1"/>
    <xf numFmtId="167" fontId="0" fillId="27" borderId="8" pivotButton="0" quotePrefix="0" xfId="0"/>
    <xf numFmtId="167" fontId="0" fillId="27" borderId="1" pivotButton="0" quotePrefix="0" xfId="1"/>
    <xf numFmtId="167" fontId="0" fillId="27" borderId="3" pivotButton="0" quotePrefix="0" xfId="0"/>
    <xf numFmtId="167" fontId="2" fillId="27" borderId="1" pivotButton="0" quotePrefix="0" xfId="0"/>
    <xf numFmtId="167" fontId="2" fillId="0" borderId="2" pivotButton="0" quotePrefix="0" xfId="0"/>
    <xf numFmtId="167" fontId="0" fillId="0" borderId="2" pivotButton="0" quotePrefix="0" xfId="1"/>
    <xf numFmtId="167" fontId="2" fillId="0" borderId="3" pivotButton="0" quotePrefix="0" xfId="0"/>
    <xf numFmtId="167" fontId="18" fillId="0" borderId="0" pivotButton="0" quotePrefix="0" xfId="1"/>
    <xf numFmtId="167" fontId="18" fillId="0" borderId="1" pivotButton="0" quotePrefix="0" xfId="1"/>
    <xf numFmtId="164" fontId="16" fillId="0" borderId="1" pivotButton="0" quotePrefix="0" xfId="0"/>
    <xf numFmtId="164" fontId="0" fillId="4" borderId="0" pivotButton="0" quotePrefix="0" xfId="0"/>
    <xf numFmtId="164" fontId="0" fillId="3" borderId="1" pivotButton="0" quotePrefix="0" xfId="0"/>
    <xf numFmtId="164" fontId="0" fillId="16" borderId="4" pivotButton="0" quotePrefix="0" xfId="0"/>
    <xf numFmtId="164" fontId="0" fillId="16" borderId="0" pivotButton="0" quotePrefix="0" xfId="0"/>
    <xf numFmtId="164" fontId="0" fillId="0" borderId="1" pivotButton="0" quotePrefix="0" xfId="0"/>
    <xf numFmtId="164" fontId="2" fillId="26" borderId="0" pivotButton="0" quotePrefix="0" xfId="0"/>
    <xf numFmtId="167" fontId="0" fillId="0" borderId="1" applyAlignment="1" pivotButton="0" quotePrefix="0" xfId="0">
      <alignment vertical="top"/>
    </xf>
    <xf numFmtId="167" fontId="0" fillId="27" borderId="0" applyAlignment="1" pivotButton="0" quotePrefix="0" xfId="0">
      <alignment horizontal="center"/>
    </xf>
    <xf numFmtId="167" fontId="0" fillId="0" borderId="0" pivotButton="1" quotePrefix="0" xfId="0"/>
    <xf numFmtId="167" fontId="2" fillId="6" borderId="1" applyAlignment="1" pivotButton="0" quotePrefix="0" xfId="1">
      <alignment horizontal="center" vertical="center" wrapText="1"/>
    </xf>
    <xf numFmtId="166" fontId="2" fillId="8" borderId="1" applyAlignment="1" pivotButton="0" quotePrefix="0" xfId="0">
      <alignment horizontal="center" vertical="center" wrapText="1"/>
    </xf>
    <xf numFmtId="167" fontId="0" fillId="25" borderId="0" applyAlignment="1" pivotButton="0" quotePrefix="0" xfId="1">
      <alignment horizontal="right"/>
    </xf>
    <xf numFmtId="1" fontId="18" fillId="0" borderId="0" pivotButton="0" quotePrefix="0" xfId="0"/>
    <xf numFmtId="0" fontId="0" fillId="0" borderId="1" pivotButton="0" quotePrefix="0" xfId="0"/>
    <xf numFmtId="1" fontId="18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167" fontId="0" fillId="0" borderId="0" pivotButton="0" quotePrefix="0" xfId="1"/>
    <xf numFmtId="166" fontId="0" fillId="0" borderId="0" pivotButton="0" quotePrefix="0" xfId="0"/>
    <xf numFmtId="168" fontId="0" fillId="0" borderId="0" applyAlignment="1" pivotButton="0" quotePrefix="0" xfId="1">
      <alignment horizontal="center"/>
    </xf>
    <xf numFmtId="168" fontId="3" fillId="22" borderId="0" applyAlignment="1" pivotButton="0" quotePrefix="0" xfId="1">
      <alignment horizontal="center"/>
    </xf>
    <xf numFmtId="168" fontId="32" fillId="22" borderId="15" applyAlignment="1" pivotButton="0" quotePrefix="0" xfId="1">
      <alignment horizontal="center" vertical="center" wrapText="1"/>
    </xf>
    <xf numFmtId="168" fontId="32" fillId="22" borderId="18" applyAlignment="1" pivotButton="0" quotePrefix="0" xfId="1">
      <alignment horizontal="center" vertical="center" wrapText="1"/>
    </xf>
    <xf numFmtId="168" fontId="0" fillId="68" borderId="4" applyAlignment="1" pivotButton="0" quotePrefix="0" xfId="1">
      <alignment horizontal="center"/>
    </xf>
    <xf numFmtId="168" fontId="0" fillId="0" borderId="18" applyAlignment="1" pivotButton="0" quotePrefix="0" xfId="1">
      <alignment horizontal="center"/>
    </xf>
    <xf numFmtId="168" fontId="0" fillId="0" borderId="15" applyAlignment="1" pivotButton="0" quotePrefix="0" xfId="1">
      <alignment horizontal="center"/>
    </xf>
    <xf numFmtId="168" fontId="0" fillId="68" borderId="15" applyAlignment="1" pivotButton="0" quotePrefix="0" xfId="1">
      <alignment horizontal="center"/>
    </xf>
    <xf numFmtId="168" fontId="0" fillId="0" borderId="15" applyAlignment="1" pivotButton="0" quotePrefix="0" xfId="0">
      <alignment horizontal="center"/>
    </xf>
    <xf numFmtId="168" fontId="0" fillId="0" borderId="18" applyAlignment="1" pivotButton="0" quotePrefix="0" xfId="0">
      <alignment horizontal="center"/>
    </xf>
    <xf numFmtId="168" fontId="0" fillId="0" borderId="0" pivotButton="0" quotePrefix="0" xfId="1"/>
    <xf numFmtId="169" fontId="0" fillId="0" borderId="0" pivotButton="0" quotePrefix="0" xfId="0"/>
    <xf numFmtId="169" fontId="0" fillId="0" borderId="0" applyAlignment="1" pivotButton="0" quotePrefix="0" xfId="0">
      <alignment horizontal="right"/>
    </xf>
    <xf numFmtId="169" fontId="0" fillId="0" borderId="1" pivotButton="0" quotePrefix="0" xfId="0"/>
    <xf numFmtId="169" fontId="0" fillId="0" borderId="1" applyAlignment="1" pivotButton="0" quotePrefix="0" xfId="0">
      <alignment horizontal="right"/>
    </xf>
    <xf numFmtId="169" fontId="3" fillId="0" borderId="0" pivotButton="0" quotePrefix="0" xfId="0"/>
    <xf numFmtId="169" fontId="3" fillId="24" borderId="0" pivotButton="0" quotePrefix="0" xfId="0"/>
    <xf numFmtId="169" fontId="3" fillId="24" borderId="0" applyAlignment="1" pivotButton="0" quotePrefix="0" xfId="0">
      <alignment horizontal="right"/>
    </xf>
    <xf numFmtId="169" fontId="3" fillId="24" borderId="1" applyAlignment="1" pivotButton="0" quotePrefix="0" xfId="0">
      <alignment horizontal="right"/>
    </xf>
    <xf numFmtId="169" fontId="3" fillId="0" borderId="1" pivotButton="0" quotePrefix="0" xfId="0"/>
    <xf numFmtId="169" fontId="9" fillId="0" borderId="0" pivotButton="0" quotePrefix="0" xfId="0"/>
    <xf numFmtId="169" fontId="0" fillId="0" borderId="0" applyAlignment="1" pivotButton="0" quotePrefix="0" xfId="0">
      <alignment horizontal="center"/>
    </xf>
    <xf numFmtId="170" fontId="2" fillId="5" borderId="0" applyAlignment="1" pivotButton="0" quotePrefix="0" xfId="0">
      <alignment horizontal="center"/>
    </xf>
    <xf numFmtId="170" fontId="2" fillId="25" borderId="0" applyAlignment="1" pivotButton="0" quotePrefix="0" xfId="0">
      <alignment horizontal="center"/>
    </xf>
    <xf numFmtId="171" fontId="0" fillId="25" borderId="0" applyAlignment="1" pivotButton="0" quotePrefix="0" xfId="0">
      <alignment horizontal="center"/>
    </xf>
    <xf numFmtId="171" fontId="43" fillId="25" borderId="0" applyAlignment="1" pivotButton="0" quotePrefix="0" xfId="0">
      <alignment horizontal="center"/>
    </xf>
    <xf numFmtId="171" fontId="1" fillId="25" borderId="0" applyAlignment="1" pivotButton="0" quotePrefix="0" xfId="0">
      <alignment horizontal="center"/>
    </xf>
    <xf numFmtId="170" fontId="0" fillId="25" borderId="0" applyAlignment="1" pivotButton="0" quotePrefix="0" xfId="0">
      <alignment horizontal="center"/>
    </xf>
    <xf numFmtId="172" fontId="0" fillId="25" borderId="0" applyAlignment="1" pivotButton="0" quotePrefix="0" xfId="0">
      <alignment horizontal="center"/>
    </xf>
    <xf numFmtId="172" fontId="0" fillId="25" borderId="0" pivotButton="0" quotePrefix="0" xfId="1"/>
    <xf numFmtId="172" fontId="2" fillId="25" borderId="0" applyAlignment="1" pivotButton="0" quotePrefix="0" xfId="0">
      <alignment horizontal="center"/>
    </xf>
    <xf numFmtId="172" fontId="0" fillId="25" borderId="0" applyAlignment="1" pivotButton="0" quotePrefix="0" xfId="1">
      <alignment horizontal="center"/>
    </xf>
    <xf numFmtId="172" fontId="2" fillId="25" borderId="0" applyAlignment="1" pivotButton="0" quotePrefix="0" xfId="1">
      <alignment horizontal="center"/>
    </xf>
    <xf numFmtId="172" fontId="0" fillId="4" borderId="0" applyAlignment="1" pivotButton="0" quotePrefix="0" xfId="0">
      <alignment horizontal="center"/>
    </xf>
    <xf numFmtId="172" fontId="0" fillId="4" borderId="0" applyAlignment="1" pivotButton="0" quotePrefix="0" xfId="1">
      <alignment horizontal="center"/>
    </xf>
    <xf numFmtId="172" fontId="0" fillId="4" borderId="0" pivotButton="0" quotePrefix="0" xfId="1"/>
    <xf numFmtId="172" fontId="2" fillId="4" borderId="0" applyAlignment="1" pivotButton="0" quotePrefix="0" xfId="0">
      <alignment horizontal="center"/>
    </xf>
    <xf numFmtId="172" fontId="2" fillId="25" borderId="0" pivotButton="0" quotePrefix="0" xfId="0"/>
    <xf numFmtId="171" fontId="2" fillId="0" borderId="0" applyAlignment="1" pivotButton="0" quotePrefix="0" xfId="0">
      <alignment horizontal="center"/>
    </xf>
    <xf numFmtId="171" fontId="0" fillId="0" borderId="0" applyAlignment="1" pivotButton="0" quotePrefix="0" xfId="0">
      <alignment horizontal="center"/>
    </xf>
    <xf numFmtId="172" fontId="0" fillId="0" borderId="0" applyAlignment="1" pivotButton="0" quotePrefix="0" xfId="0">
      <alignment horizontal="center"/>
    </xf>
    <xf numFmtId="172" fontId="0" fillId="0" borderId="0" pivotButton="0" quotePrefix="0" xfId="0"/>
    <xf numFmtId="171" fontId="2" fillId="63" borderId="0" applyAlignment="1" pivotButton="0" quotePrefix="0" xfId="0">
      <alignment horizontal="center"/>
    </xf>
    <xf numFmtId="171" fontId="2" fillId="7" borderId="0" applyAlignment="1" pivotButton="0" quotePrefix="0" xfId="0">
      <alignment horizontal="center"/>
    </xf>
    <xf numFmtId="171" fontId="2" fillId="5" borderId="0" applyAlignment="1" pivotButton="0" quotePrefix="0" xfId="0">
      <alignment horizontal="center"/>
    </xf>
    <xf numFmtId="172" fontId="2" fillId="5" borderId="0" applyAlignment="1" pivotButton="0" quotePrefix="0" xfId="0">
      <alignment horizontal="center"/>
    </xf>
    <xf numFmtId="171" fontId="2" fillId="25" borderId="0" applyAlignment="1" pivotButton="0" quotePrefix="0" xfId="0">
      <alignment horizontal="center"/>
    </xf>
    <xf numFmtId="171" fontId="0" fillId="4" borderId="0" applyAlignment="1" pivotButton="0" quotePrefix="0" xfId="1">
      <alignment horizontal="center"/>
    </xf>
    <xf numFmtId="171" fontId="0" fillId="4" borderId="0" applyAlignment="1" pivotButton="0" quotePrefix="0" xfId="0">
      <alignment horizontal="center"/>
    </xf>
    <xf numFmtId="172" fontId="0" fillId="4" borderId="0" pivotButton="0" quotePrefix="0" xfId="0"/>
    <xf numFmtId="171" fontId="2" fillId="25" borderId="0" applyAlignment="1" pivotButton="0" quotePrefix="0" xfId="1">
      <alignment horizontal="center"/>
    </xf>
    <xf numFmtId="173" fontId="0" fillId="0" borderId="0" applyAlignment="1" pivotButton="0" quotePrefix="0" xfId="0">
      <alignment horizontal="center"/>
    </xf>
    <xf numFmtId="170" fontId="46" fillId="5" borderId="0" applyAlignment="1" pivotButton="0" quotePrefix="0" xfId="0">
      <alignment horizontal="center"/>
    </xf>
    <xf numFmtId="172" fontId="47" fillId="25" borderId="0" applyAlignment="1" pivotButton="0" quotePrefix="0" xfId="0">
      <alignment horizontal="center"/>
    </xf>
    <xf numFmtId="172" fontId="47" fillId="25" borderId="0" pivotButton="0" quotePrefix="0" xfId="0"/>
    <xf numFmtId="172" fontId="2" fillId="0" borderId="0" applyAlignment="1" pivotButton="0" quotePrefix="0" xfId="0">
      <alignment horizontal="center"/>
    </xf>
    <xf numFmtId="172" fontId="0" fillId="25" borderId="0" pivotButton="0" quotePrefix="0" xfId="0"/>
    <xf numFmtId="169" fontId="0" fillId="25" borderId="0" pivotButton="0" quotePrefix="0" xfId="0"/>
    <xf numFmtId="169" fontId="0" fillId="25" borderId="1" pivotButton="0" quotePrefix="0" xfId="0"/>
    <xf numFmtId="169" fontId="0" fillId="0" borderId="5" pivotButton="0" quotePrefix="0" xfId="0"/>
    <xf numFmtId="174" fontId="0" fillId="0" borderId="5" pivotButton="0" quotePrefix="0" xfId="0"/>
    <xf numFmtId="169" fontId="2" fillId="23" borderId="0" applyAlignment="1" pivotButton="0" quotePrefix="0" xfId="0">
      <alignment horizontal="center"/>
    </xf>
    <xf numFmtId="174" fontId="2" fillId="0" borderId="0" pivotButton="0" quotePrefix="0" xfId="0"/>
    <xf numFmtId="169" fontId="0" fillId="23" borderId="0" applyAlignment="1" pivotButton="0" quotePrefix="0" xfId="0">
      <alignment horizontal="center"/>
    </xf>
    <xf numFmtId="174" fontId="0" fillId="0" borderId="0" pivotButton="0" quotePrefix="0" xfId="0"/>
    <xf numFmtId="174" fontId="1" fillId="0" borderId="1" pivotButton="0" quotePrefix="0" xfId="0"/>
    <xf numFmtId="169" fontId="1" fillId="0" borderId="1" pivotButton="0" quotePrefix="0" xfId="0"/>
    <xf numFmtId="169" fontId="2" fillId="0" borderId="0" pivotButton="0" quotePrefix="0" xfId="0"/>
    <xf numFmtId="175" fontId="8" fillId="0" borderId="0" pivotButton="0" quotePrefix="0" xfId="0"/>
    <xf numFmtId="169" fontId="2" fillId="0" borderId="0" applyAlignment="1" pivotButton="0" quotePrefix="0" xfId="0">
      <alignment horizontal="right"/>
    </xf>
    <xf numFmtId="176" fontId="2" fillId="25" borderId="3" applyAlignment="1" pivotButton="0" quotePrefix="0" xfId="0">
      <alignment horizontal="center"/>
    </xf>
    <xf numFmtId="176" fontId="2" fillId="25" borderId="1" applyAlignment="1" pivotButton="0" quotePrefix="0" xfId="0">
      <alignment horizontal="center"/>
    </xf>
    <xf numFmtId="176" fontId="2" fillId="25" borderId="9" applyAlignment="1" pivotButton="0" quotePrefix="0" xfId="0">
      <alignment horizontal="center"/>
    </xf>
    <xf numFmtId="176" fontId="2" fillId="25" borderId="10" applyAlignment="1" pivotButton="0" quotePrefix="0" xfId="0">
      <alignment horizontal="center"/>
    </xf>
    <xf numFmtId="176" fontId="2" fillId="25" borderId="2" applyAlignment="1" pivotButton="0" quotePrefix="0" xfId="0">
      <alignment horizontal="center"/>
    </xf>
    <xf numFmtId="176" fontId="2" fillId="25" borderId="0" applyAlignment="1" pivotButton="0" quotePrefix="0" xfId="0">
      <alignment horizontal="center"/>
    </xf>
    <xf numFmtId="176" fontId="2" fillId="25" borderId="4" applyAlignment="1" pivotButton="0" quotePrefix="0" xfId="0">
      <alignment horizontal="center"/>
    </xf>
    <xf numFmtId="176" fontId="2" fillId="25" borderId="8" applyAlignment="1" pivotButton="0" quotePrefix="0" xfId="0">
      <alignment horizontal="center"/>
    </xf>
    <xf numFmtId="169" fontId="2" fillId="0" borderId="20" pivotButton="0" quotePrefix="0" xfId="0"/>
    <xf numFmtId="169" fontId="2" fillId="0" borderId="19" pivotButton="0" quotePrefix="0" xfId="0"/>
    <xf numFmtId="177" fontId="0" fillId="34" borderId="0" applyAlignment="1" pivotButton="0" quotePrefix="0" xfId="1">
      <alignment horizontal="right"/>
    </xf>
    <xf numFmtId="178" fontId="0" fillId="19" borderId="0" pivotButton="0" quotePrefix="0" xfId="0"/>
    <xf numFmtId="178" fontId="0" fillId="19" borderId="9" pivotButton="0" quotePrefix="0" xfId="0"/>
    <xf numFmtId="179" fontId="0" fillId="25" borderId="3" applyAlignment="1" pivotButton="0" quotePrefix="0" xfId="0">
      <alignment horizontal="center"/>
    </xf>
    <xf numFmtId="179" fontId="0" fillId="25" borderId="1" applyAlignment="1" pivotButton="0" quotePrefix="0" xfId="0">
      <alignment horizontal="center"/>
    </xf>
    <xf numFmtId="169" fontId="0" fillId="22" borderId="1" pivotButton="0" quotePrefix="0" xfId="1"/>
    <xf numFmtId="173" fontId="0" fillId="27" borderId="1" pivotButton="0" quotePrefix="0" xfId="1"/>
    <xf numFmtId="176" fontId="0" fillId="25" borderId="3" applyAlignment="1" pivotButton="0" quotePrefix="0" xfId="0">
      <alignment horizontal="center"/>
    </xf>
    <xf numFmtId="176" fontId="0" fillId="25" borderId="1" applyAlignment="1" pivotButton="0" quotePrefix="0" xfId="0">
      <alignment horizontal="center"/>
    </xf>
    <xf numFmtId="169" fontId="0" fillId="0" borderId="29" pivotButton="0" quotePrefix="0" xfId="0"/>
    <xf numFmtId="169" fontId="0" fillId="0" borderId="11" pivotButton="0" quotePrefix="0" xfId="0"/>
    <xf numFmtId="169" fontId="0" fillId="0" borderId="26" pivotButton="0" quotePrefix="0" xfId="0"/>
    <xf numFmtId="169" fontId="0" fillId="0" borderId="12" pivotButton="0" quotePrefix="0" xfId="0"/>
    <xf numFmtId="169" fontId="0" fillId="0" borderId="19" pivotButton="0" quotePrefix="0" xfId="0"/>
    <xf numFmtId="169" fontId="0" fillId="0" borderId="7" pivotButton="0" quotePrefix="0" xfId="0"/>
    <xf numFmtId="169" fontId="0" fillId="0" borderId="31" pivotButton="0" quotePrefix="0" xfId="0"/>
    <xf numFmtId="169" fontId="0" fillId="0" borderId="34" pivotButton="0" quotePrefix="0" xfId="0"/>
    <xf numFmtId="169" fontId="0" fillId="0" borderId="33" pivotButton="0" quotePrefix="0" xfId="0"/>
    <xf numFmtId="169" fontId="18" fillId="0" borderId="0" pivotButton="0" quotePrefix="0" xfId="0"/>
    <xf numFmtId="169" fontId="16" fillId="0" borderId="0" applyAlignment="1" pivotButton="0" quotePrefix="0" xfId="0">
      <alignment horizontal="center"/>
    </xf>
    <xf numFmtId="168" fontId="18" fillId="0" borderId="0" pivotButton="0" quotePrefix="0" xfId="1"/>
    <xf numFmtId="180" fontId="18" fillId="0" borderId="8" pivotButton="0" quotePrefix="0" xfId="0"/>
    <xf numFmtId="180" fontId="18" fillId="0" borderId="0" pivotButton="0" quotePrefix="0" xfId="0"/>
    <xf numFmtId="180" fontId="18" fillId="34" borderId="0" pivotButton="0" quotePrefix="0" xfId="0"/>
    <xf numFmtId="180" fontId="18" fillId="0" borderId="0" applyAlignment="1" pivotButton="0" quotePrefix="0" xfId="0">
      <alignment horizontal="center"/>
    </xf>
    <xf numFmtId="169" fontId="19" fillId="0" borderId="0" pivotButton="0" quotePrefix="0" xfId="0"/>
    <xf numFmtId="169" fontId="18" fillId="0" borderId="0" pivotButton="0" quotePrefix="0" xfId="1"/>
    <xf numFmtId="180" fontId="18" fillId="0" borderId="2" pivotButton="0" quotePrefix="0" xfId="0"/>
    <xf numFmtId="169" fontId="18" fillId="0" borderId="1" pivotButton="0" quotePrefix="0" xfId="0"/>
    <xf numFmtId="169" fontId="16" fillId="0" borderId="1" applyAlignment="1" pivotButton="0" quotePrefix="0" xfId="0">
      <alignment horizontal="center"/>
    </xf>
    <xf numFmtId="169" fontId="19" fillId="0" borderId="1" pivotButton="0" quotePrefix="0" xfId="0"/>
    <xf numFmtId="169" fontId="18" fillId="0" borderId="1" pivotButton="0" quotePrefix="0" xfId="1"/>
    <xf numFmtId="169" fontId="19" fillId="0" borderId="1" pivotButton="0" quotePrefix="0" xfId="1"/>
    <xf numFmtId="180" fontId="18" fillId="0" borderId="3" pivotButton="0" quotePrefix="0" xfId="0"/>
    <xf numFmtId="180" fontId="18" fillId="0" borderId="1" pivotButton="0" quotePrefix="0" xfId="0"/>
    <xf numFmtId="180" fontId="18" fillId="34" borderId="1" pivotButton="0" quotePrefix="0" xfId="0"/>
    <xf numFmtId="180" fontId="18" fillId="0" borderId="1" applyAlignment="1" pivotButton="0" quotePrefix="0" xfId="0">
      <alignment horizontal="center"/>
    </xf>
    <xf numFmtId="169" fontId="20" fillId="0" borderId="0" pivotButton="0" quotePrefix="0" xfId="0"/>
    <xf numFmtId="169" fontId="20" fillId="0" borderId="0" applyAlignment="1" pivotButton="0" quotePrefix="0" xfId="0">
      <alignment horizontal="center"/>
    </xf>
    <xf numFmtId="169" fontId="18" fillId="26" borderId="9" pivotButton="0" quotePrefix="0" xfId="0"/>
    <xf numFmtId="169" fontId="18" fillId="0" borderId="0" applyAlignment="1" pivotButton="0" quotePrefix="0" xfId="0">
      <alignment horizontal="center"/>
    </xf>
    <xf numFmtId="169" fontId="18" fillId="0" borderId="10" pivotButton="0" quotePrefix="0" xfId="0"/>
    <xf numFmtId="169" fontId="18" fillId="0" borderId="1" applyAlignment="1" pivotButton="0" quotePrefix="0" xfId="0">
      <alignment horizontal="center"/>
    </xf>
    <xf numFmtId="181" fontId="18" fillId="0" borderId="9" applyAlignment="1" pivotButton="0" quotePrefix="0" xfId="0">
      <alignment horizontal="center"/>
    </xf>
    <xf numFmtId="181" fontId="21" fillId="0" borderId="0" applyAlignment="1" pivotButton="0" quotePrefix="0" xfId="0">
      <alignment horizontal="center"/>
    </xf>
    <xf numFmtId="181" fontId="18" fillId="0" borderId="0" applyAlignment="1" pivotButton="0" quotePrefix="0" xfId="0">
      <alignment horizontal="center"/>
    </xf>
    <xf numFmtId="181" fontId="18" fillId="0" borderId="10" applyAlignment="1" pivotButton="0" quotePrefix="0" xfId="0">
      <alignment horizontal="center"/>
    </xf>
    <xf numFmtId="181" fontId="23" fillId="0" borderId="1" applyAlignment="1" pivotButton="0" quotePrefix="0" xfId="0">
      <alignment horizontal="center"/>
    </xf>
    <xf numFmtId="181" fontId="21" fillId="0" borderId="1" applyAlignment="1" pivotButton="0" quotePrefix="0" xfId="0">
      <alignment horizontal="center"/>
    </xf>
    <xf numFmtId="181" fontId="18" fillId="0" borderId="1" applyAlignment="1" pivotButton="0" quotePrefix="0" xfId="0">
      <alignment horizontal="center"/>
    </xf>
    <xf numFmtId="169" fontId="5" fillId="32" borderId="0" applyAlignment="1" pivotButton="0" quotePrefix="0" xfId="0">
      <alignment horizontal="center"/>
    </xf>
    <xf numFmtId="169" fontId="2" fillId="0" borderId="0" applyAlignment="1" pivotButton="0" quotePrefix="0" xfId="0">
      <alignment horizontal="center"/>
    </xf>
    <xf numFmtId="182" fontId="0" fillId="0" borderId="0" pivotButton="0" quotePrefix="0" xfId="0"/>
    <xf numFmtId="182" fontId="0" fillId="0" borderId="2" pivotButton="0" quotePrefix="0" xfId="0"/>
    <xf numFmtId="182" fontId="0" fillId="0" borderId="0" pivotButton="0" quotePrefix="0" xfId="1"/>
    <xf numFmtId="182" fontId="0" fillId="0" borderId="0" pivotButton="0" quotePrefix="1" xfId="0"/>
    <xf numFmtId="182" fontId="0" fillId="0" borderId="2" pivotButton="0" quotePrefix="0" xfId="1"/>
    <xf numFmtId="182" fontId="0" fillId="0" borderId="1" pivotButton="0" quotePrefix="0" xfId="0"/>
    <xf numFmtId="182" fontId="0" fillId="0" borderId="3" pivotButton="0" quotePrefix="0" xfId="0"/>
    <xf numFmtId="182" fontId="0" fillId="0" borderId="1" pivotButton="0" quotePrefix="0" xfId="1"/>
    <xf numFmtId="182" fontId="0" fillId="0" borderId="3" pivotButton="0" quotePrefix="0" xfId="1"/>
    <xf numFmtId="169" fontId="22" fillId="0" borderId="0" applyAlignment="1" pivotButton="0" quotePrefix="0" xfId="0">
      <alignment horizontal="center"/>
    </xf>
    <xf numFmtId="183" fontId="26" fillId="0" borderId="0" applyAlignment="1" pivotButton="0" quotePrefix="0" xfId="0">
      <alignment wrapText="1"/>
    </xf>
    <xf numFmtId="183" fontId="25" fillId="0" borderId="0" applyAlignment="1" pivotButton="0" quotePrefix="0" xfId="0">
      <alignment wrapText="1"/>
    </xf>
    <xf numFmtId="169" fontId="5" fillId="27" borderId="0" applyAlignment="1" pivotButton="0" quotePrefix="0" xfId="0">
      <alignment horizontal="center" vertical="top"/>
    </xf>
    <xf numFmtId="177" fontId="0" fillId="0" borderId="0" applyAlignment="1" pivotButton="0" quotePrefix="0" xfId="1">
      <alignment horizontal="left"/>
    </xf>
    <xf numFmtId="177" fontId="0" fillId="0" borderId="0" pivotButton="0" quotePrefix="0" xfId="0"/>
    <xf numFmtId="177" fontId="0" fillId="13" borderId="0" applyAlignment="1" pivotButton="0" quotePrefix="0" xfId="1">
      <alignment horizontal="left"/>
    </xf>
    <xf numFmtId="177" fontId="2" fillId="0" borderId="0" applyAlignment="1" pivotButton="0" quotePrefix="0" xfId="1">
      <alignment horizontal="left"/>
    </xf>
    <xf numFmtId="177" fontId="2" fillId="0" borderId="1" applyAlignment="1" pivotButton="0" quotePrefix="0" xfId="1">
      <alignment horizontal="left"/>
    </xf>
    <xf numFmtId="180" fontId="0" fillId="0" borderId="0" applyAlignment="1" pivotButton="0" quotePrefix="0" xfId="0">
      <alignment horizontal="center"/>
    </xf>
    <xf numFmtId="180" fontId="0" fillId="0" borderId="0" pivotButton="0" quotePrefix="0" xfId="0"/>
    <xf numFmtId="180" fontId="2" fillId="3" borderId="0" applyAlignment="1" pivotButton="0" quotePrefix="0" xfId="0">
      <alignment horizontal="center"/>
    </xf>
    <xf numFmtId="180" fontId="0" fillId="3" borderId="0" applyAlignment="1" pivotButton="0" quotePrefix="0" xfId="0">
      <alignment horizontal="center"/>
    </xf>
    <xf numFmtId="180" fontId="2" fillId="6" borderId="1" applyAlignment="1" pivotButton="0" quotePrefix="0" xfId="0">
      <alignment horizontal="center" vertical="center" wrapText="1"/>
    </xf>
    <xf numFmtId="180" fontId="2" fillId="3" borderId="1" applyAlignment="1" pivotButton="0" quotePrefix="0" xfId="0">
      <alignment horizontal="center" vertical="center"/>
    </xf>
    <xf numFmtId="180" fontId="0" fillId="25" borderId="0" applyAlignment="1" pivotButton="0" quotePrefix="0" xfId="0">
      <alignment horizontal="center"/>
    </xf>
    <xf numFmtId="180" fontId="0" fillId="4" borderId="0" pivotButton="0" quotePrefix="0" xfId="0"/>
    <xf numFmtId="179" fontId="0" fillId="0" borderId="0" applyAlignment="1" pivotButton="0" quotePrefix="0" xfId="0">
      <alignment horizontal="right"/>
    </xf>
    <xf numFmtId="0" fontId="2" fillId="6" borderId="14" applyAlignment="1" pivotButton="0" quotePrefix="0" xfId="0">
      <alignment horizontal="center"/>
    </xf>
    <xf numFmtId="0" fontId="0" fillId="0" borderId="14" pivotButton="0" quotePrefix="0" xfId="0"/>
    <xf numFmtId="0" fontId="2" fillId="8" borderId="14" applyAlignment="1" pivotButton="0" quotePrefix="0" xfId="0">
      <alignment horizontal="center"/>
    </xf>
    <xf numFmtId="0" fontId="2" fillId="3" borderId="14" applyAlignment="1" pivotButton="0" quotePrefix="0" xfId="0">
      <alignment horizontal="center"/>
    </xf>
    <xf numFmtId="1" fontId="16" fillId="0" borderId="5" applyAlignment="1" pivotButton="0" quotePrefix="0" xfId="0">
      <alignment horizontal="center" wrapText="1"/>
    </xf>
    <xf numFmtId="1" fontId="18" fillId="0" borderId="0" pivotButton="0" quotePrefix="0" xfId="0"/>
    <xf numFmtId="0" fontId="0" fillId="0" borderId="1" pivotButton="0" quotePrefix="0" xfId="0"/>
    <xf numFmtId="2" fontId="16" fillId="0" borderId="5" applyAlignment="1" pivotButton="0" quotePrefix="0" xfId="0">
      <alignment horizontal="center" wrapText="1"/>
    </xf>
    <xf numFmtId="1" fontId="1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6" borderId="0" applyAlignment="1" pivotButton="0" quotePrefix="0" xfId="0">
      <alignment horizontal="center"/>
    </xf>
    <xf numFmtId="167" fontId="0" fillId="0" borderId="0" pivotButton="0" quotePrefix="0" xfId="1"/>
    <xf numFmtId="180" fontId="0" fillId="0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166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  <xf numFmtId="167" fontId="0" fillId="0" borderId="0" pivotButton="0" quotePrefix="0" xfId="1"/>
    <xf numFmtId="165" fontId="0" fillId="0" borderId="0" pivotButton="0" quotePrefix="0" xfId="0"/>
    <xf numFmtId="168" fontId="0" fillId="0" borderId="0" applyAlignment="1" pivotButton="0" quotePrefix="0" xfId="1">
      <alignment horizontal="center"/>
    </xf>
    <xf numFmtId="166" fontId="0" fillId="4" borderId="0" pivotButton="0" quotePrefix="0" xfId="0"/>
    <xf numFmtId="166" fontId="2" fillId="8" borderId="0" applyAlignment="1" pivotButton="0" quotePrefix="0" xfId="0">
      <alignment horizontal="center" vertical="center" wrapText="1"/>
    </xf>
    <xf numFmtId="168" fontId="3" fillId="22" borderId="0" applyAlignment="1" pivotButton="0" quotePrefix="0" xfId="1">
      <alignment horizontal="center"/>
    </xf>
    <xf numFmtId="166" fontId="32" fillId="4" borderId="15" applyAlignment="1" pivotButton="0" quotePrefix="0" xfId="0">
      <alignment horizontal="center" vertical="center"/>
    </xf>
    <xf numFmtId="166" fontId="32" fillId="3" borderId="15" applyAlignment="1" pivotButton="0" quotePrefix="0" xfId="0">
      <alignment horizontal="center" vertical="center"/>
    </xf>
    <xf numFmtId="164" fontId="42" fillId="3" borderId="15" applyAlignment="1" pivotButton="0" quotePrefix="0" xfId="0">
      <alignment horizontal="center" vertical="center" wrapText="1"/>
    </xf>
    <xf numFmtId="167" fontId="42" fillId="6" borderId="15" applyAlignment="1" pivotButton="0" quotePrefix="0" xfId="1">
      <alignment horizontal="center" vertical="center" wrapText="1"/>
    </xf>
    <xf numFmtId="165" fontId="42" fillId="6" borderId="15" applyAlignment="1" pivotButton="0" quotePrefix="0" xfId="0">
      <alignment horizontal="center" vertical="center" wrapText="1"/>
    </xf>
    <xf numFmtId="166" fontId="32" fillId="8" borderId="15" applyAlignment="1" pivotButton="0" quotePrefix="0" xfId="0">
      <alignment horizontal="center" vertical="center" wrapText="1"/>
    </xf>
    <xf numFmtId="165" fontId="32" fillId="8" borderId="15" applyAlignment="1" pivotButton="0" quotePrefix="0" xfId="0">
      <alignment horizontal="center" vertical="center"/>
    </xf>
    <xf numFmtId="168" fontId="32" fillId="22" borderId="15" applyAlignment="1" pivotButton="0" quotePrefix="0" xfId="1">
      <alignment horizontal="center" vertical="center" wrapText="1"/>
    </xf>
    <xf numFmtId="168" fontId="32" fillId="22" borderId="18" applyAlignment="1" pivotButton="0" quotePrefix="0" xfId="1">
      <alignment horizontal="center" vertical="center" wrapText="1"/>
    </xf>
    <xf numFmtId="166" fontId="0" fillId="4" borderId="15" pivotButton="0" quotePrefix="0" xfId="0"/>
    <xf numFmtId="164" fontId="0" fillId="4" borderId="15" pivotButton="0" quotePrefix="0" xfId="0"/>
    <xf numFmtId="167" fontId="0" fillId="4" borderId="4" pivotButton="0" quotePrefix="0" xfId="1"/>
    <xf numFmtId="165" fontId="0" fillId="4" borderId="4" pivotButton="0" quotePrefix="0" xfId="0"/>
    <xf numFmtId="166" fontId="0" fillId="4" borderId="4" applyAlignment="1" pivotButton="0" quotePrefix="0" xfId="0">
      <alignment horizontal="center"/>
    </xf>
    <xf numFmtId="167" fontId="0" fillId="25" borderId="4" pivotButton="0" quotePrefix="0" xfId="1"/>
    <xf numFmtId="168" fontId="0" fillId="68" borderId="4" applyAlignment="1" pivotButton="0" quotePrefix="0" xfId="1">
      <alignment horizontal="center"/>
    </xf>
    <xf numFmtId="168" fontId="0" fillId="0" borderId="18" applyAlignment="1" pivotButton="0" quotePrefix="0" xfId="1">
      <alignment horizontal="center"/>
    </xf>
    <xf numFmtId="167" fontId="0" fillId="25" borderId="15" pivotButton="0" quotePrefix="0" xfId="1"/>
    <xf numFmtId="165" fontId="0" fillId="25" borderId="15" pivotButton="0" quotePrefix="0" xfId="0"/>
    <xf numFmtId="166" fontId="0" fillId="25" borderId="15" applyAlignment="1" pivotButton="0" quotePrefix="0" xfId="0">
      <alignment horizontal="center"/>
    </xf>
    <xf numFmtId="167" fontId="0" fillId="0" borderId="15" pivotButton="0" quotePrefix="0" xfId="1"/>
    <xf numFmtId="168" fontId="0" fillId="0" borderId="15" applyAlignment="1" pivotButton="0" quotePrefix="0" xfId="1">
      <alignment horizontal="center"/>
    </xf>
    <xf numFmtId="167" fontId="0" fillId="4" borderId="15" pivotButton="0" quotePrefix="0" xfId="1"/>
    <xf numFmtId="165" fontId="0" fillId="4" borderId="15" pivotButton="0" quotePrefix="0" xfId="0"/>
    <xf numFmtId="166" fontId="0" fillId="4" borderId="15" applyAlignment="1" pivotButton="0" quotePrefix="0" xfId="0">
      <alignment horizontal="center"/>
    </xf>
    <xf numFmtId="168" fontId="0" fillId="68" borderId="15" applyAlignment="1" pivotButton="0" quotePrefix="0" xfId="1">
      <alignment horizontal="center"/>
    </xf>
    <xf numFmtId="167" fontId="0" fillId="68" borderId="15" pivotButton="0" quotePrefix="0" xfId="1"/>
    <xf numFmtId="166" fontId="0" fillId="4" borderId="4" pivotButton="0" quotePrefix="0" xfId="0"/>
    <xf numFmtId="164" fontId="0" fillId="4" borderId="4" pivotButton="0" quotePrefix="0" xfId="0"/>
    <xf numFmtId="166" fontId="0" fillId="25" borderId="15" pivotButton="0" quotePrefix="0" xfId="0"/>
    <xf numFmtId="164" fontId="0" fillId="25" borderId="15" pivotButton="0" quotePrefix="0" xfId="0"/>
    <xf numFmtId="166" fontId="0" fillId="25" borderId="16" pivotButton="0" quotePrefix="0" xfId="0"/>
    <xf numFmtId="164" fontId="0" fillId="25" borderId="16" pivotButton="0" quotePrefix="0" xfId="0"/>
    <xf numFmtId="167" fontId="0" fillId="25" borderId="16" pivotButton="0" quotePrefix="0" xfId="1"/>
    <xf numFmtId="165" fontId="0" fillId="25" borderId="16" pivotButton="0" quotePrefix="0" xfId="0"/>
    <xf numFmtId="166" fontId="0" fillId="25" borderId="16" applyAlignment="1" pivotButton="0" quotePrefix="0" xfId="0">
      <alignment horizontal="center"/>
    </xf>
    <xf numFmtId="166" fontId="0" fillId="25" borderId="0" pivotButton="0" quotePrefix="0" xfId="0"/>
    <xf numFmtId="164" fontId="0" fillId="25" borderId="0" pivotButton="0" quotePrefix="0" xfId="0"/>
    <xf numFmtId="167" fontId="0" fillId="25" borderId="0" pivotButton="0" quotePrefix="0" xfId="1"/>
    <xf numFmtId="165" fontId="0" fillId="25" borderId="0" pivotButton="0" quotePrefix="0" xfId="0"/>
    <xf numFmtId="166" fontId="0" fillId="25" borderId="0" applyAlignment="1" pivotButton="0" quotePrefix="0" xfId="0">
      <alignment horizontal="center"/>
    </xf>
    <xf numFmtId="168" fontId="0" fillId="0" borderId="15" applyAlignment="1" pivotButton="0" quotePrefix="0" xfId="0">
      <alignment horizontal="center"/>
    </xf>
    <xf numFmtId="168" fontId="0" fillId="0" borderId="18" applyAlignment="1" pivotButton="0" quotePrefix="0" xfId="0">
      <alignment horizontal="center"/>
    </xf>
    <xf numFmtId="168" fontId="0" fillId="0" borderId="0" pivotButton="0" quotePrefix="0" xfId="1"/>
    <xf numFmtId="169" fontId="0" fillId="0" borderId="0" pivotButton="0" quotePrefix="0" xfId="0"/>
    <xf numFmtId="169" fontId="0" fillId="0" borderId="0" applyAlignment="1" pivotButton="0" quotePrefix="0" xfId="0">
      <alignment horizontal="right"/>
    </xf>
    <xf numFmtId="169" fontId="0" fillId="0" borderId="1" pivotButton="0" quotePrefix="0" xfId="0"/>
    <xf numFmtId="169" fontId="0" fillId="0" borderId="1" applyAlignment="1" pivotButton="0" quotePrefix="0" xfId="0">
      <alignment horizontal="right"/>
    </xf>
    <xf numFmtId="169" fontId="3" fillId="0" borderId="0" pivotButton="0" quotePrefix="0" xfId="0"/>
    <xf numFmtId="169" fontId="3" fillId="24" borderId="0" pivotButton="0" quotePrefix="0" xfId="0"/>
    <xf numFmtId="169" fontId="3" fillId="24" borderId="0" applyAlignment="1" pivotButton="0" quotePrefix="0" xfId="0">
      <alignment horizontal="right"/>
    </xf>
    <xf numFmtId="169" fontId="3" fillId="24" borderId="1" applyAlignment="1" pivotButton="0" quotePrefix="0" xfId="0">
      <alignment horizontal="right"/>
    </xf>
    <xf numFmtId="169" fontId="3" fillId="0" borderId="1" pivotButton="0" quotePrefix="0" xfId="0"/>
    <xf numFmtId="169" fontId="9" fillId="0" borderId="0" pivotButton="0" quotePrefix="0" xfId="0"/>
    <xf numFmtId="169" fontId="0" fillId="0" borderId="0" applyAlignment="1" pivotButton="0" quotePrefix="0" xfId="0">
      <alignment horizontal="center"/>
    </xf>
    <xf numFmtId="167" fontId="3" fillId="0" borderId="0" applyAlignment="1" pivotButton="0" quotePrefix="0" xfId="1">
      <alignment horizontal="center"/>
    </xf>
    <xf numFmtId="164" fontId="7" fillId="0" borderId="0" applyAlignment="1" pivotButton="0" quotePrefix="0" xfId="2">
      <alignment horizontal="center"/>
    </xf>
    <xf numFmtId="167" fontId="0" fillId="0" borderId="1" pivotButton="0" quotePrefix="0" xfId="1"/>
    <xf numFmtId="167" fontId="0" fillId="0" borderId="4" pivotButton="0" quotePrefix="0" xfId="1"/>
    <xf numFmtId="167" fontId="0" fillId="0" borderId="0" pivotButton="0" quotePrefix="0" xfId="0"/>
    <xf numFmtId="167" fontId="2" fillId="0" borderId="0" applyAlignment="1" pivotButton="0" quotePrefix="0" xfId="1">
      <alignment horizontal="center"/>
    </xf>
    <xf numFmtId="167" fontId="0" fillId="0" borderId="44" pivotButton="0" quotePrefix="0" xfId="1"/>
    <xf numFmtId="167" fontId="0" fillId="0" borderId="38" pivotButton="0" quotePrefix="0" xfId="0"/>
    <xf numFmtId="167" fontId="0" fillId="0" borderId="37" pivotButton="0" quotePrefix="0" xfId="1"/>
    <xf numFmtId="167" fontId="0" fillId="0" borderId="39" pivotButton="0" quotePrefix="0" xfId="1"/>
    <xf numFmtId="167" fontId="0" fillId="0" borderId="42" pivotButton="0" quotePrefix="0" xfId="1"/>
    <xf numFmtId="167" fontId="0" fillId="0" borderId="45" pivotButton="0" quotePrefix="0" xfId="1"/>
    <xf numFmtId="170" fontId="2" fillId="5" borderId="0" applyAlignment="1" pivotButton="0" quotePrefix="0" xfId="0">
      <alignment horizontal="center"/>
    </xf>
    <xf numFmtId="170" fontId="2" fillId="25" borderId="0" applyAlignment="1" pivotButton="0" quotePrefix="0" xfId="0">
      <alignment horizontal="center"/>
    </xf>
    <xf numFmtId="171" fontId="0" fillId="25" borderId="0" applyAlignment="1" pivotButton="0" quotePrefix="0" xfId="0">
      <alignment horizontal="center"/>
    </xf>
    <xf numFmtId="171" fontId="43" fillId="25" borderId="0" applyAlignment="1" pivotButton="0" quotePrefix="0" xfId="0">
      <alignment horizontal="center"/>
    </xf>
    <xf numFmtId="171" fontId="1" fillId="25" borderId="0" applyAlignment="1" pivotButton="0" quotePrefix="0" xfId="0">
      <alignment horizontal="center"/>
    </xf>
    <xf numFmtId="170" fontId="0" fillId="25" borderId="0" applyAlignment="1" pivotButton="0" quotePrefix="0" xfId="0">
      <alignment horizontal="center"/>
    </xf>
    <xf numFmtId="172" fontId="0" fillId="25" borderId="0" applyAlignment="1" pivotButton="0" quotePrefix="0" xfId="0">
      <alignment horizontal="center"/>
    </xf>
    <xf numFmtId="172" fontId="0" fillId="25" borderId="0" pivotButton="0" quotePrefix="0" xfId="1"/>
    <xf numFmtId="172" fontId="2" fillId="25" borderId="0" applyAlignment="1" pivotButton="0" quotePrefix="0" xfId="0">
      <alignment horizontal="center"/>
    </xf>
    <xf numFmtId="172" fontId="0" fillId="25" borderId="0" applyAlignment="1" pivotButton="0" quotePrefix="0" xfId="1">
      <alignment horizontal="center"/>
    </xf>
    <xf numFmtId="172" fontId="2" fillId="25" borderId="0" applyAlignment="1" pivotButton="0" quotePrefix="0" xfId="1">
      <alignment horizontal="center"/>
    </xf>
    <xf numFmtId="172" fontId="0" fillId="4" borderId="0" applyAlignment="1" pivotButton="0" quotePrefix="0" xfId="0">
      <alignment horizontal="center"/>
    </xf>
    <xf numFmtId="172" fontId="0" fillId="4" borderId="0" applyAlignment="1" pivotButton="0" quotePrefix="0" xfId="1">
      <alignment horizontal="center"/>
    </xf>
    <xf numFmtId="172" fontId="0" fillId="4" borderId="0" pivotButton="0" quotePrefix="0" xfId="1"/>
    <xf numFmtId="172" fontId="2" fillId="4" borderId="0" applyAlignment="1" pivotButton="0" quotePrefix="0" xfId="0">
      <alignment horizontal="center"/>
    </xf>
    <xf numFmtId="172" fontId="2" fillId="25" borderId="0" pivotButton="0" quotePrefix="0" xfId="0"/>
    <xf numFmtId="171" fontId="2" fillId="0" borderId="0" applyAlignment="1" pivotButton="0" quotePrefix="0" xfId="0">
      <alignment horizontal="center"/>
    </xf>
    <xf numFmtId="171" fontId="0" fillId="0" borderId="0" applyAlignment="1" pivotButton="0" quotePrefix="0" xfId="0">
      <alignment horizontal="center"/>
    </xf>
    <xf numFmtId="172" fontId="0" fillId="0" borderId="0" applyAlignment="1" pivotButton="0" quotePrefix="0" xfId="0">
      <alignment horizontal="center"/>
    </xf>
    <xf numFmtId="172" fontId="0" fillId="0" borderId="0" pivotButton="0" quotePrefix="0" xfId="0"/>
    <xf numFmtId="171" fontId="2" fillId="63" borderId="0" applyAlignment="1" pivotButton="0" quotePrefix="0" xfId="0">
      <alignment horizontal="center"/>
    </xf>
    <xf numFmtId="171" fontId="2" fillId="7" borderId="0" applyAlignment="1" pivotButton="0" quotePrefix="0" xfId="0">
      <alignment horizontal="center"/>
    </xf>
    <xf numFmtId="171" fontId="2" fillId="5" borderId="0" applyAlignment="1" pivotButton="0" quotePrefix="0" xfId="0">
      <alignment horizontal="center"/>
    </xf>
    <xf numFmtId="172" fontId="2" fillId="5" borderId="0" applyAlignment="1" pivotButton="0" quotePrefix="0" xfId="0">
      <alignment horizontal="center"/>
    </xf>
    <xf numFmtId="171" fontId="2" fillId="25" borderId="0" applyAlignment="1" pivotButton="0" quotePrefix="0" xfId="0">
      <alignment horizontal="center"/>
    </xf>
    <xf numFmtId="171" fontId="0" fillId="4" borderId="0" applyAlignment="1" pivotButton="0" quotePrefix="0" xfId="1">
      <alignment horizontal="center"/>
    </xf>
    <xf numFmtId="171" fontId="0" fillId="4" borderId="0" applyAlignment="1" pivotButton="0" quotePrefix="0" xfId="0">
      <alignment horizontal="center"/>
    </xf>
    <xf numFmtId="172" fontId="0" fillId="4" borderId="0" pivotButton="0" quotePrefix="0" xfId="0"/>
    <xf numFmtId="171" fontId="2" fillId="25" borderId="0" applyAlignment="1" pivotButton="0" quotePrefix="0" xfId="1">
      <alignment horizontal="center"/>
    </xf>
    <xf numFmtId="173" fontId="0" fillId="0" borderId="0" applyAlignment="1" pivotButton="0" quotePrefix="0" xfId="0">
      <alignment horizontal="center"/>
    </xf>
    <xf numFmtId="170" fontId="46" fillId="5" borderId="0" applyAlignment="1" pivotButton="0" quotePrefix="0" xfId="0">
      <alignment horizontal="center"/>
    </xf>
    <xf numFmtId="172" fontId="47" fillId="25" borderId="0" applyAlignment="1" pivotButton="0" quotePrefix="0" xfId="0">
      <alignment horizontal="center"/>
    </xf>
    <xf numFmtId="172" fontId="47" fillId="25" borderId="0" pivotButton="0" quotePrefix="0" xfId="0"/>
    <xf numFmtId="172" fontId="2" fillId="0" borderId="0" applyAlignment="1" pivotButton="0" quotePrefix="0" xfId="0">
      <alignment horizontal="center"/>
    </xf>
    <xf numFmtId="172" fontId="0" fillId="25" borderId="0" pivotButton="0" quotePrefix="0" xfId="0"/>
    <xf numFmtId="167" fontId="0" fillId="0" borderId="2" pivotButton="0" quotePrefix="0" xfId="0"/>
    <xf numFmtId="169" fontId="0" fillId="25" borderId="0" pivotButton="0" quotePrefix="0" xfId="0"/>
    <xf numFmtId="167" fontId="8" fillId="25" borderId="0" pivotButton="0" quotePrefix="0" xfId="1"/>
    <xf numFmtId="169" fontId="0" fillId="25" borderId="1" pivotButton="0" quotePrefix="0" xfId="0"/>
    <xf numFmtId="167" fontId="8" fillId="25" borderId="1" pivotButton="0" quotePrefix="0" xfId="1"/>
    <xf numFmtId="167" fontId="0" fillId="0" borderId="1" pivotButton="0" quotePrefix="0" xfId="0"/>
    <xf numFmtId="167" fontId="2" fillId="25" borderId="2" pivotButton="0" quotePrefix="0" xfId="0"/>
    <xf numFmtId="167" fontId="2" fillId="25" borderId="3" pivotButton="0" quotePrefix="0" xfId="0"/>
    <xf numFmtId="169" fontId="0" fillId="0" borderId="5" pivotButton="0" quotePrefix="0" xfId="0"/>
    <xf numFmtId="167" fontId="0" fillId="0" borderId="5" pivotButton="0" quotePrefix="0" xfId="1"/>
    <xf numFmtId="174" fontId="0" fillId="0" borderId="5" pivotButton="0" quotePrefix="0" xfId="0"/>
    <xf numFmtId="169" fontId="2" fillId="23" borderId="0" applyAlignment="1" pivotButton="0" quotePrefix="0" xfId="0">
      <alignment horizontal="center"/>
    </xf>
    <xf numFmtId="167" fontId="2" fillId="0" borderId="0" pivotButton="0" quotePrefix="0" xfId="1"/>
    <xf numFmtId="174" fontId="2" fillId="0" borderId="0" pivotButton="0" quotePrefix="0" xfId="0"/>
    <xf numFmtId="169" fontId="0" fillId="23" borderId="0" applyAlignment="1" pivotButton="0" quotePrefix="0" xfId="0">
      <alignment horizontal="center"/>
    </xf>
    <xf numFmtId="174" fontId="0" fillId="0" borderId="0" pivotButton="0" quotePrefix="0" xfId="0"/>
    <xf numFmtId="167" fontId="1" fillId="0" borderId="1" pivotButton="0" quotePrefix="0" xfId="1"/>
    <xf numFmtId="174" fontId="1" fillId="0" borderId="1" pivotButton="0" quotePrefix="0" xfId="0"/>
    <xf numFmtId="169" fontId="1" fillId="0" borderId="1" pivotButton="0" quotePrefix="0" xfId="0"/>
    <xf numFmtId="167" fontId="1" fillId="0" borderId="1" pivotButton="0" quotePrefix="0" xfId="0"/>
    <xf numFmtId="169" fontId="2" fillId="0" borderId="0" pivotButton="0" quotePrefix="0" xfId="0"/>
    <xf numFmtId="175" fontId="8" fillId="0" borderId="0" pivotButton="0" quotePrefix="0" xfId="0"/>
    <xf numFmtId="167" fontId="2" fillId="0" borderId="0" pivotButton="0" quotePrefix="0" xfId="0"/>
    <xf numFmtId="167" fontId="9" fillId="0" borderId="0" pivotButton="0" quotePrefix="0" xfId="0"/>
    <xf numFmtId="169" fontId="2" fillId="0" borderId="0" applyAlignment="1" pivotButton="0" quotePrefix="0" xfId="0">
      <alignment horizontal="right"/>
    </xf>
    <xf numFmtId="167" fontId="0" fillId="0" borderId="38" pivotButton="0" quotePrefix="0" xfId="1"/>
    <xf numFmtId="176" fontId="2" fillId="25" borderId="3" applyAlignment="1" pivotButton="0" quotePrefix="0" xfId="0">
      <alignment horizontal="center"/>
    </xf>
    <xf numFmtId="176" fontId="2" fillId="25" borderId="1" applyAlignment="1" pivotButton="0" quotePrefix="0" xfId="0">
      <alignment horizontal="center"/>
    </xf>
    <xf numFmtId="176" fontId="2" fillId="25" borderId="9" applyAlignment="1" pivotButton="0" quotePrefix="0" xfId="0">
      <alignment horizontal="center"/>
    </xf>
    <xf numFmtId="176" fontId="2" fillId="25" borderId="10" applyAlignment="1" pivotButton="0" quotePrefix="0" xfId="0">
      <alignment horizontal="center"/>
    </xf>
    <xf numFmtId="176" fontId="2" fillId="25" borderId="2" applyAlignment="1" pivotButton="0" quotePrefix="0" xfId="0">
      <alignment horizontal="center"/>
    </xf>
    <xf numFmtId="176" fontId="2" fillId="25" borderId="0" applyAlignment="1" pivotButton="0" quotePrefix="0" xfId="0">
      <alignment horizontal="center"/>
    </xf>
    <xf numFmtId="176" fontId="2" fillId="25" borderId="4" applyAlignment="1" pivotButton="0" quotePrefix="0" xfId="0">
      <alignment horizontal="center"/>
    </xf>
    <xf numFmtId="176" fontId="2" fillId="25" borderId="8" applyAlignment="1" pivotButton="0" quotePrefix="0" xfId="0">
      <alignment horizontal="center"/>
    </xf>
    <xf numFmtId="167" fontId="7" fillId="56" borderId="0" pivotButton="0" quotePrefix="0" xfId="1"/>
    <xf numFmtId="167" fontId="0" fillId="56" borderId="0" pivotButton="0" quotePrefix="0" xfId="1"/>
    <xf numFmtId="167" fontId="7" fillId="56" borderId="8" pivotButton="0" quotePrefix="0" xfId="1"/>
    <xf numFmtId="167" fontId="7" fillId="56" borderId="4" pivotButton="0" quotePrefix="0" xfId="1"/>
    <xf numFmtId="167" fontId="7" fillId="56" borderId="21" pivotButton="0" quotePrefix="0" xfId="1"/>
    <xf numFmtId="167" fontId="3" fillId="56" borderId="4" pivotButton="0" quotePrefix="0" xfId="1"/>
    <xf numFmtId="167" fontId="3" fillId="56" borderId="21" pivotButton="0" quotePrefix="0" xfId="1"/>
    <xf numFmtId="169" fontId="2" fillId="0" borderId="20" pivotButton="0" quotePrefix="0" xfId="0"/>
    <xf numFmtId="167" fontId="7" fillId="56" borderId="2" pivotButton="0" quotePrefix="0" xfId="1"/>
    <xf numFmtId="167" fontId="7" fillId="56" borderId="9" pivotButton="0" quotePrefix="0" xfId="1"/>
    <xf numFmtId="167" fontId="3" fillId="56" borderId="0" pivotButton="0" quotePrefix="0" xfId="1"/>
    <xf numFmtId="167" fontId="3" fillId="56" borderId="9" pivotButton="0" quotePrefix="0" xfId="1"/>
    <xf numFmtId="169" fontId="2" fillId="0" borderId="19" pivotButton="0" quotePrefix="0" xfId="0"/>
    <xf numFmtId="167" fontId="2" fillId="0" borderId="0" applyAlignment="1" pivotButton="0" quotePrefix="0" xfId="0">
      <alignment horizontal="left"/>
    </xf>
    <xf numFmtId="167" fontId="3" fillId="56" borderId="9" pivotButton="0" quotePrefix="1" xfId="1"/>
    <xf numFmtId="167" fontId="2" fillId="0" borderId="20" pivotButton="0" quotePrefix="0" xfId="0"/>
    <xf numFmtId="167" fontId="7" fillId="56" borderId="3" pivotButton="0" quotePrefix="0" xfId="1"/>
    <xf numFmtId="167" fontId="7" fillId="56" borderId="1" pivotButton="0" quotePrefix="0" xfId="1"/>
    <xf numFmtId="167" fontId="7" fillId="56" borderId="10" pivotButton="0" quotePrefix="0" xfId="1"/>
    <xf numFmtId="167" fontId="3" fillId="56" borderId="1" pivotButton="0" quotePrefix="0" xfId="1"/>
    <xf numFmtId="167" fontId="3" fillId="56" borderId="10" pivotButton="0" quotePrefix="0" xfId="1"/>
    <xf numFmtId="167" fontId="2" fillId="0" borderId="22" pivotButton="0" quotePrefix="0" xfId="0"/>
    <xf numFmtId="167" fontId="4" fillId="56" borderId="2" pivotButton="0" quotePrefix="0" xfId="1"/>
    <xf numFmtId="167" fontId="4" fillId="56" borderId="0" pivotButton="0" quotePrefix="0" xfId="1"/>
    <xf numFmtId="167" fontId="4" fillId="56" borderId="9" pivotButton="0" quotePrefix="0" xfId="1"/>
    <xf numFmtId="167" fontId="0" fillId="56" borderId="2" pivotButton="0" quotePrefix="0" xfId="1"/>
    <xf numFmtId="167" fontId="0" fillId="56" borderId="3" pivotButton="0" quotePrefix="0" xfId="1"/>
    <xf numFmtId="167" fontId="0" fillId="56" borderId="1" pivotButton="0" quotePrefix="0" xfId="1"/>
    <xf numFmtId="167" fontId="0" fillId="0" borderId="3" pivotButton="0" quotePrefix="0" xfId="0"/>
    <xf numFmtId="167" fontId="0" fillId="56" borderId="0" pivotButton="0" quotePrefix="0" xfId="0"/>
    <xf numFmtId="167" fontId="0" fillId="56" borderId="9" pivotButton="0" quotePrefix="0" xfId="0"/>
    <xf numFmtId="167" fontId="0" fillId="0" borderId="23" pivotButton="0" quotePrefix="0" xfId="0"/>
    <xf numFmtId="167" fontId="0" fillId="26" borderId="24" pivotButton="0" quotePrefix="0" xfId="1"/>
    <xf numFmtId="167" fontId="0" fillId="26" borderId="5" pivotButton="0" quotePrefix="0" xfId="1"/>
    <xf numFmtId="167" fontId="0" fillId="26" borderId="23" pivotButton="0" quotePrefix="0" xfId="1"/>
    <xf numFmtId="167" fontId="0" fillId="59" borderId="2" pivotButton="0" quotePrefix="0" xfId="1"/>
    <xf numFmtId="167" fontId="0" fillId="59" borderId="4" pivotButton="0" quotePrefix="0" xfId="1"/>
    <xf numFmtId="167" fontId="0" fillId="59" borderId="9" pivotButton="0" quotePrefix="0" xfId="1"/>
    <xf numFmtId="167" fontId="0" fillId="59" borderId="0" pivotButton="0" quotePrefix="0" xfId="1"/>
    <xf numFmtId="167" fontId="0" fillId="59" borderId="20" pivotButton="0" quotePrefix="0" xfId="1"/>
    <xf numFmtId="167" fontId="9" fillId="0" borderId="2" pivotButton="0" quotePrefix="0" xfId="1"/>
    <xf numFmtId="167" fontId="0" fillId="59" borderId="3" pivotButton="0" quotePrefix="0" xfId="1"/>
    <xf numFmtId="167" fontId="0" fillId="0" borderId="21" pivotButton="0" quotePrefix="0" xfId="1"/>
    <xf numFmtId="167" fontId="13" fillId="0" borderId="2" pivotButton="0" quotePrefix="0" xfId="1"/>
    <xf numFmtId="167" fontId="13" fillId="0" borderId="1" pivotButton="0" quotePrefix="0" xfId="1"/>
    <xf numFmtId="167" fontId="13" fillId="0" borderId="10" pivotButton="0" quotePrefix="0" xfId="1"/>
    <xf numFmtId="167" fontId="0" fillId="0" borderId="9" pivotButton="0" quotePrefix="0" xfId="1"/>
    <xf numFmtId="167" fontId="36" fillId="0" borderId="0" pivotButton="0" quotePrefix="0" xfId="0"/>
    <xf numFmtId="177" fontId="0" fillId="34" borderId="0" applyAlignment="1" pivotButton="0" quotePrefix="0" xfId="1">
      <alignment horizontal="right"/>
    </xf>
    <xf numFmtId="167" fontId="2" fillId="34" borderId="0" pivotButton="0" quotePrefix="0" xfId="1"/>
    <xf numFmtId="167" fontId="13" fillId="0" borderId="0" pivotButton="0" quotePrefix="0" xfId="1"/>
    <xf numFmtId="178" fontId="0" fillId="19" borderId="0" pivotButton="0" quotePrefix="0" xfId="0"/>
    <xf numFmtId="178" fontId="0" fillId="19" borderId="9" pivotButton="0" quotePrefix="0" xfId="0"/>
    <xf numFmtId="167" fontId="2" fillId="0" borderId="9" pivotButton="0" quotePrefix="0" xfId="0"/>
    <xf numFmtId="167" fontId="2" fillId="0" borderId="35" pivotButton="0" quotePrefix="0" xfId="0"/>
    <xf numFmtId="167" fontId="0" fillId="61" borderId="0" pivotButton="0" quotePrefix="0" xfId="0"/>
    <xf numFmtId="167" fontId="0" fillId="61" borderId="9" pivotButton="0" quotePrefix="0" xfId="0"/>
    <xf numFmtId="167" fontId="2" fillId="61" borderId="0" pivotButton="0" quotePrefix="0" xfId="0"/>
    <xf numFmtId="167" fontId="41" fillId="61" borderId="1" pivotButton="0" quotePrefix="0" xfId="0"/>
    <xf numFmtId="167" fontId="0" fillId="26" borderId="0" pivotButton="0" quotePrefix="0" xfId="0"/>
    <xf numFmtId="167" fontId="40" fillId="61" borderId="1" pivotButton="0" quotePrefix="0" xfId="0"/>
    <xf numFmtId="167" fontId="40" fillId="61" borderId="10" pivotButton="0" quotePrefix="0" xfId="0"/>
    <xf numFmtId="167" fontId="2" fillId="61" borderId="9" pivotButton="0" quotePrefix="0" xfId="0"/>
    <xf numFmtId="167" fontId="41" fillId="61" borderId="40" pivotButton="0" quotePrefix="0" xfId="0"/>
    <xf numFmtId="167" fontId="0" fillId="58" borderId="0" pivotButton="0" quotePrefix="0" xfId="0"/>
    <xf numFmtId="167" fontId="0" fillId="58" borderId="9" pivotButton="0" quotePrefix="0" xfId="0"/>
    <xf numFmtId="167" fontId="40" fillId="58" borderId="0" pivotButton="0" quotePrefix="0" xfId="0"/>
    <xf numFmtId="167" fontId="40" fillId="58" borderId="9" pivotButton="0" quotePrefix="0" xfId="0"/>
    <xf numFmtId="167" fontId="40" fillId="58" borderId="1" pivotButton="0" quotePrefix="0" xfId="0"/>
    <xf numFmtId="167" fontId="2" fillId="58" borderId="0" pivotButton="0" quotePrefix="0" xfId="0"/>
    <xf numFmtId="167" fontId="41" fillId="58" borderId="1" pivotButton="0" quotePrefix="0" xfId="0"/>
    <xf numFmtId="167" fontId="2" fillId="26" borderId="0" pivotButton="0" quotePrefix="0" xfId="0"/>
    <xf numFmtId="167" fontId="2" fillId="26" borderId="9" pivotButton="0" quotePrefix="0" xfId="0"/>
    <xf numFmtId="167" fontId="2" fillId="58" borderId="9" pivotButton="0" quotePrefix="0" xfId="0"/>
    <xf numFmtId="167" fontId="1" fillId="0" borderId="0" pivotButton="0" quotePrefix="0" xfId="0"/>
    <xf numFmtId="167" fontId="5" fillId="58" borderId="0" pivotButton="0" quotePrefix="0" xfId="0"/>
    <xf numFmtId="167" fontId="5" fillId="58" borderId="9" pivotButton="0" quotePrefix="0" xfId="0"/>
    <xf numFmtId="167" fontId="41" fillId="58" borderId="0" pivotButton="0" quotePrefix="0" xfId="0"/>
    <xf numFmtId="167" fontId="0" fillId="60" borderId="0" pivotButton="0" quotePrefix="0" xfId="0"/>
    <xf numFmtId="167" fontId="0" fillId="60" borderId="9" pivotButton="0" quotePrefix="0" xfId="0"/>
    <xf numFmtId="167" fontId="2" fillId="60" borderId="0" pivotButton="0" quotePrefix="0" xfId="0"/>
    <xf numFmtId="167" fontId="2" fillId="60" borderId="9" pivotButton="0" quotePrefix="0" xfId="0"/>
    <xf numFmtId="167" fontId="41" fillId="60" borderId="0" pivotButton="0" quotePrefix="0" xfId="0"/>
    <xf numFmtId="167" fontId="41" fillId="60" borderId="9" pivotButton="0" quotePrefix="0" xfId="0"/>
    <xf numFmtId="179" fontId="0" fillId="25" borderId="3" applyAlignment="1" pivotButton="0" quotePrefix="0" xfId="0">
      <alignment horizontal="center"/>
    </xf>
    <xf numFmtId="179" fontId="0" fillId="25" borderId="1" applyAlignment="1" pivotButton="0" quotePrefix="0" xfId="0">
      <alignment horizontal="center"/>
    </xf>
    <xf numFmtId="167" fontId="0" fillId="0" borderId="8" pivotButton="0" quotePrefix="0" xfId="1"/>
    <xf numFmtId="167" fontId="0" fillId="0" borderId="3" pivotButton="0" quotePrefix="0" xfId="1"/>
    <xf numFmtId="167" fontId="0" fillId="0" borderId="10" pivotButton="0" quotePrefix="0" xfId="1"/>
    <xf numFmtId="167" fontId="0" fillId="22" borderId="0" pivotButton="0" quotePrefix="0" xfId="1"/>
    <xf numFmtId="167" fontId="0" fillId="22" borderId="2" pivotButton="0" quotePrefix="0" xfId="0"/>
    <xf numFmtId="169" fontId="0" fillId="22" borderId="1" pivotButton="0" quotePrefix="0" xfId="1"/>
    <xf numFmtId="167" fontId="0" fillId="22" borderId="3" pivotButton="0" quotePrefix="0" xfId="0"/>
    <xf numFmtId="167" fontId="2" fillId="57" borderId="1" pivotButton="0" quotePrefix="0" xfId="0"/>
    <xf numFmtId="167" fontId="0" fillId="27" borderId="0" pivotButton="0" quotePrefix="0" xfId="1"/>
    <xf numFmtId="167" fontId="0" fillId="27" borderId="8" pivotButton="0" quotePrefix="0" xfId="0"/>
    <xf numFmtId="167" fontId="0" fillId="27" borderId="1" pivotButton="0" quotePrefix="0" xfId="1"/>
    <xf numFmtId="173" fontId="0" fillId="27" borderId="1" pivotButton="0" quotePrefix="0" xfId="1"/>
    <xf numFmtId="167" fontId="0" fillId="27" borderId="3" pivotButton="0" quotePrefix="0" xfId="0"/>
    <xf numFmtId="167" fontId="2" fillId="27" borderId="1" pivotButton="0" quotePrefix="0" xfId="0"/>
    <xf numFmtId="167" fontId="2" fillId="0" borderId="2" pivotButton="0" quotePrefix="0" xfId="0"/>
    <xf numFmtId="176" fontId="0" fillId="25" borderId="3" applyAlignment="1" pivotButton="0" quotePrefix="0" xfId="0">
      <alignment horizontal="center"/>
    </xf>
    <xf numFmtId="176" fontId="0" fillId="25" borderId="1" applyAlignment="1" pivotButton="0" quotePrefix="0" xfId="0">
      <alignment horizontal="center"/>
    </xf>
    <xf numFmtId="167" fontId="0" fillId="0" borderId="2" pivotButton="0" quotePrefix="0" xfId="1"/>
    <xf numFmtId="167" fontId="2" fillId="0" borderId="3" pivotButton="0" quotePrefix="0" xfId="0"/>
    <xf numFmtId="169" fontId="0" fillId="0" borderId="29" pivotButton="0" quotePrefix="0" xfId="0"/>
    <xf numFmtId="169" fontId="0" fillId="0" borderId="11" pivotButton="0" quotePrefix="0" xfId="0"/>
    <xf numFmtId="169" fontId="0" fillId="0" borderId="26" pivotButton="0" quotePrefix="0" xfId="0"/>
    <xf numFmtId="169" fontId="0" fillId="0" borderId="12" pivotButton="0" quotePrefix="0" xfId="0"/>
    <xf numFmtId="169" fontId="0" fillId="0" borderId="19" pivotButton="0" quotePrefix="0" xfId="0"/>
    <xf numFmtId="169" fontId="0" fillId="0" borderId="7" pivotButton="0" quotePrefix="0" xfId="0"/>
    <xf numFmtId="169" fontId="0" fillId="0" borderId="31" pivotButton="0" quotePrefix="0" xfId="0"/>
    <xf numFmtId="169" fontId="0" fillId="0" borderId="34" pivotButton="0" quotePrefix="0" xfId="0"/>
    <xf numFmtId="169" fontId="0" fillId="0" borderId="33" pivotButton="0" quotePrefix="0" xfId="0"/>
    <xf numFmtId="169" fontId="18" fillId="0" borderId="0" pivotButton="0" quotePrefix="0" xfId="0"/>
    <xf numFmtId="169" fontId="16" fillId="0" borderId="0" applyAlignment="1" pivotButton="0" quotePrefix="0" xfId="0">
      <alignment horizontal="center"/>
    </xf>
    <xf numFmtId="168" fontId="18" fillId="0" borderId="0" pivotButton="0" quotePrefix="0" xfId="1"/>
    <xf numFmtId="167" fontId="18" fillId="0" borderId="0" pivotButton="0" quotePrefix="0" xfId="1"/>
    <xf numFmtId="180" fontId="18" fillId="0" borderId="8" pivotButton="0" quotePrefix="0" xfId="0"/>
    <xf numFmtId="180" fontId="18" fillId="0" borderId="0" pivotButton="0" quotePrefix="0" xfId="0"/>
    <xf numFmtId="180" fontId="18" fillId="34" borderId="0" pivotButton="0" quotePrefix="0" xfId="0"/>
    <xf numFmtId="180" fontId="18" fillId="0" borderId="0" applyAlignment="1" pivotButton="0" quotePrefix="0" xfId="0">
      <alignment horizontal="center"/>
    </xf>
    <xf numFmtId="169" fontId="19" fillId="0" borderId="0" pivotButton="0" quotePrefix="0" xfId="0"/>
    <xf numFmtId="169" fontId="18" fillId="0" borderId="0" pivotButton="0" quotePrefix="0" xfId="1"/>
    <xf numFmtId="180" fontId="18" fillId="0" borderId="2" pivotButton="0" quotePrefix="0" xfId="0"/>
    <xf numFmtId="169" fontId="18" fillId="0" borderId="1" pivotButton="0" quotePrefix="0" xfId="0"/>
    <xf numFmtId="169" fontId="16" fillId="0" borderId="1" applyAlignment="1" pivotButton="0" quotePrefix="0" xfId="0">
      <alignment horizontal="center"/>
    </xf>
    <xf numFmtId="169" fontId="19" fillId="0" borderId="1" pivotButton="0" quotePrefix="0" xfId="0"/>
    <xf numFmtId="169" fontId="18" fillId="0" borderId="1" pivotButton="0" quotePrefix="0" xfId="1"/>
    <xf numFmtId="169" fontId="19" fillId="0" borderId="1" pivotButton="0" quotePrefix="0" xfId="1"/>
    <xf numFmtId="167" fontId="18" fillId="0" borderId="1" pivotButton="0" quotePrefix="0" xfId="1"/>
    <xf numFmtId="180" fontId="18" fillId="0" borderId="3" pivotButton="0" quotePrefix="0" xfId="0"/>
    <xf numFmtId="180" fontId="18" fillId="0" borderId="1" pivotButton="0" quotePrefix="0" xfId="0"/>
    <xf numFmtId="180" fontId="18" fillId="34" borderId="1" pivotButton="0" quotePrefix="0" xfId="0"/>
    <xf numFmtId="180" fontId="18" fillId="0" borderId="1" applyAlignment="1" pivotButton="0" quotePrefix="0" xfId="0">
      <alignment horizontal="center"/>
    </xf>
    <xf numFmtId="169" fontId="20" fillId="0" borderId="0" pivotButton="0" quotePrefix="0" xfId="0"/>
    <xf numFmtId="169" fontId="20" fillId="0" borderId="0" applyAlignment="1" pivotButton="0" quotePrefix="0" xfId="0">
      <alignment horizontal="center"/>
    </xf>
    <xf numFmtId="169" fontId="18" fillId="26" borderId="9" pivotButton="0" quotePrefix="0" xfId="0"/>
    <xf numFmtId="169" fontId="18" fillId="0" borderId="0" applyAlignment="1" pivotButton="0" quotePrefix="0" xfId="0">
      <alignment horizontal="center"/>
    </xf>
    <xf numFmtId="169" fontId="18" fillId="0" borderId="10" pivotButton="0" quotePrefix="0" xfId="0"/>
    <xf numFmtId="169" fontId="18" fillId="0" borderId="1" applyAlignment="1" pivotButton="0" quotePrefix="0" xfId="0">
      <alignment horizontal="center"/>
    </xf>
    <xf numFmtId="181" fontId="18" fillId="0" borderId="9" applyAlignment="1" pivotButton="0" quotePrefix="0" xfId="0">
      <alignment horizontal="center"/>
    </xf>
    <xf numFmtId="181" fontId="21" fillId="0" borderId="0" applyAlignment="1" pivotButton="0" quotePrefix="0" xfId="0">
      <alignment horizontal="center"/>
    </xf>
    <xf numFmtId="181" fontId="18" fillId="0" borderId="0" applyAlignment="1" pivotButton="0" quotePrefix="0" xfId="0">
      <alignment horizontal="center"/>
    </xf>
    <xf numFmtId="181" fontId="18" fillId="0" borderId="10" applyAlignment="1" pivotButton="0" quotePrefix="0" xfId="0">
      <alignment horizontal="center"/>
    </xf>
    <xf numFmtId="181" fontId="23" fillId="0" borderId="1" applyAlignment="1" pivotButton="0" quotePrefix="0" xfId="0">
      <alignment horizontal="center"/>
    </xf>
    <xf numFmtId="181" fontId="21" fillId="0" borderId="1" applyAlignment="1" pivotButton="0" quotePrefix="0" xfId="0">
      <alignment horizontal="center"/>
    </xf>
    <xf numFmtId="181" fontId="18" fillId="0" borderId="1" applyAlignment="1" pivotButton="0" quotePrefix="0" xfId="0">
      <alignment horizontal="center"/>
    </xf>
    <xf numFmtId="169" fontId="5" fillId="32" borderId="0" applyAlignment="1" pivotButton="0" quotePrefix="0" xfId="0">
      <alignment horizontal="center"/>
    </xf>
    <xf numFmtId="169" fontId="2" fillId="0" borderId="0" applyAlignment="1" pivotButton="0" quotePrefix="0" xfId="0">
      <alignment horizontal="center"/>
    </xf>
    <xf numFmtId="164" fontId="16" fillId="0" borderId="1" pivotButton="0" quotePrefix="0" xfId="0"/>
    <xf numFmtId="164" fontId="0" fillId="4" borderId="0" pivotButton="0" quotePrefix="0" xfId="0"/>
    <xf numFmtId="164" fontId="0" fillId="3" borderId="1" pivotButton="0" quotePrefix="0" xfId="0"/>
    <xf numFmtId="164" fontId="0" fillId="16" borderId="4" pivotButton="0" quotePrefix="0" xfId="0"/>
    <xf numFmtId="164" fontId="0" fillId="16" borderId="0" pivotButton="0" quotePrefix="0" xfId="0"/>
    <xf numFmtId="164" fontId="0" fillId="0" borderId="1" pivotButton="0" quotePrefix="0" xfId="0"/>
    <xf numFmtId="164" fontId="2" fillId="26" borderId="0" pivotButton="0" quotePrefix="0" xfId="0"/>
    <xf numFmtId="182" fontId="0" fillId="0" borderId="0" pivotButton="0" quotePrefix="0" xfId="0"/>
    <xf numFmtId="182" fontId="0" fillId="0" borderId="2" pivotButton="0" quotePrefix="0" xfId="0"/>
    <xf numFmtId="182" fontId="0" fillId="0" borderId="0" pivotButton="0" quotePrefix="0" xfId="1"/>
    <xf numFmtId="182" fontId="0" fillId="0" borderId="0" pivotButton="0" quotePrefix="1" xfId="0"/>
    <xf numFmtId="182" fontId="0" fillId="0" borderId="2" pivotButton="0" quotePrefix="0" xfId="1"/>
    <xf numFmtId="182" fontId="0" fillId="0" borderId="1" pivotButton="0" quotePrefix="0" xfId="0"/>
    <xf numFmtId="167" fontId="0" fillId="0" borderId="1" applyAlignment="1" pivotButton="0" quotePrefix="0" xfId="0">
      <alignment vertical="top"/>
    </xf>
    <xf numFmtId="182" fontId="0" fillId="0" borderId="3" pivotButton="0" quotePrefix="0" xfId="0"/>
    <xf numFmtId="182" fontId="0" fillId="0" borderId="1" pivotButton="0" quotePrefix="0" xfId="1"/>
    <xf numFmtId="182" fontId="0" fillId="0" borderId="3" pivotButton="0" quotePrefix="0" xfId="1"/>
    <xf numFmtId="169" fontId="22" fillId="0" borderId="0" applyAlignment="1" pivotButton="0" quotePrefix="0" xfId="0">
      <alignment horizontal="center"/>
    </xf>
    <xf numFmtId="183" fontId="26" fillId="0" borderId="0" applyAlignment="1" pivotButton="0" quotePrefix="0" xfId="0">
      <alignment wrapText="1"/>
    </xf>
    <xf numFmtId="183" fontId="25" fillId="0" borderId="0" applyAlignment="1" pivotButton="0" quotePrefix="0" xfId="0">
      <alignment wrapText="1"/>
    </xf>
    <xf numFmtId="169" fontId="5" fillId="27" borderId="0" applyAlignment="1" pivotButton="0" quotePrefix="0" xfId="0">
      <alignment horizontal="center" vertical="top"/>
    </xf>
    <xf numFmtId="167" fontId="0" fillId="27" borderId="0" applyAlignment="1" pivotButton="0" quotePrefix="0" xfId="0">
      <alignment horizontal="center"/>
    </xf>
    <xf numFmtId="167" fontId="0" fillId="0" borderId="0" pivotButton="1" quotePrefix="0" xfId="0"/>
    <xf numFmtId="177" fontId="0" fillId="0" borderId="0" applyAlignment="1" pivotButton="0" quotePrefix="0" xfId="1">
      <alignment horizontal="left"/>
    </xf>
    <xf numFmtId="177" fontId="0" fillId="0" borderId="0" pivotButton="0" quotePrefix="0" xfId="0"/>
    <xf numFmtId="177" fontId="0" fillId="13" borderId="0" applyAlignment="1" pivotButton="0" quotePrefix="0" xfId="1">
      <alignment horizontal="left"/>
    </xf>
    <xf numFmtId="177" fontId="2" fillId="0" borderId="0" applyAlignment="1" pivotButton="0" quotePrefix="0" xfId="1">
      <alignment horizontal="left"/>
    </xf>
    <xf numFmtId="177" fontId="2" fillId="0" borderId="1" applyAlignment="1" pivotButton="0" quotePrefix="0" xfId="1">
      <alignment horizontal="left"/>
    </xf>
    <xf numFmtId="180" fontId="0" fillId="0" borderId="0" applyAlignment="1" pivotButton="0" quotePrefix="0" xfId="0">
      <alignment horizontal="center"/>
    </xf>
    <xf numFmtId="180" fontId="0" fillId="0" borderId="0" pivotButton="0" quotePrefix="0" xfId="0"/>
    <xf numFmtId="180" fontId="2" fillId="3" borderId="0" applyAlignment="1" pivotButton="0" quotePrefix="0" xfId="0">
      <alignment horizontal="center"/>
    </xf>
    <xf numFmtId="180" fontId="0" fillId="3" borderId="0" applyAlignment="1" pivotButton="0" quotePrefix="0" xfId="0">
      <alignment horizontal="center"/>
    </xf>
    <xf numFmtId="167" fontId="2" fillId="6" borderId="1" applyAlignment="1" pivotButton="0" quotePrefix="0" xfId="1">
      <alignment horizontal="center" vertical="center" wrapText="1"/>
    </xf>
    <xf numFmtId="180" fontId="2" fillId="6" borderId="1" applyAlignment="1" pivotButton="0" quotePrefix="0" xfId="0">
      <alignment horizontal="center" vertical="center" wrapText="1"/>
    </xf>
    <xf numFmtId="166" fontId="2" fillId="8" borderId="1" applyAlignment="1" pivotButton="0" quotePrefix="0" xfId="0">
      <alignment horizontal="center" vertical="center" wrapText="1"/>
    </xf>
    <xf numFmtId="180" fontId="2" fillId="3" borderId="1" applyAlignment="1" pivotButton="0" quotePrefix="0" xfId="0">
      <alignment horizontal="center" vertical="center"/>
    </xf>
    <xf numFmtId="167" fontId="0" fillId="25" borderId="0" applyAlignment="1" pivotButton="0" quotePrefix="0" xfId="1">
      <alignment horizontal="right"/>
    </xf>
    <xf numFmtId="180" fontId="0" fillId="25" borderId="0" applyAlignment="1" pivotButton="0" quotePrefix="0" xfId="0">
      <alignment horizontal="center"/>
    </xf>
    <xf numFmtId="180" fontId="0" fillId="4" borderId="0" pivotButton="0" quotePrefix="0" xfId="0"/>
    <xf numFmtId="179" fontId="0" fillId="0" borderId="0" applyAlignment="1" pivotButton="0" quotePrefix="0" xfId="0">
      <alignment horizontal="right"/>
    </xf>
  </cellXfs>
  <cellStyles count="26881">
    <cellStyle name="Normal" xfId="0" builtinId="0"/>
    <cellStyle name="Monétaire" xfId="1" builtinId="4"/>
    <cellStyle name="Pourcentage" xfId="2" builtinId="5"/>
    <cellStyle name="Lien hypertexte" xfId="3" builtinId="8"/>
    <cellStyle name="Normal 2" xfId="4"/>
    <cellStyle name="Normal 2 2" xfId="5"/>
    <cellStyle name="Normal 3" xfId="6"/>
    <cellStyle name="Currency 2" xfId="7"/>
    <cellStyle name="_Column1" xfId="8"/>
    <cellStyle name="_Column1_Budget Package AWECO_AWECO Neukirch final incl. Mittelfristplanung_Master" xfId="9"/>
    <cellStyle name="_Column1_FCST-Package AWECO_Neukirch 1-2008_V1 12082008" xfId="10"/>
    <cellStyle name="_Column1_FX-Rates 2009 Budget AWECO Group" xfId="11"/>
    <cellStyle name="_Column1_Kopie von Budget Package AWECO_AWECO Neukirch final" xfId="12"/>
    <cellStyle name="_Column1_Kopie von Budget Package AWECO_AWECO Neukirch final incl. Mittelfristplanung" xfId="13"/>
    <cellStyle name="_Column2" xfId="14"/>
    <cellStyle name="_Column3" xfId="15"/>
    <cellStyle name="_Column4" xfId="16"/>
    <cellStyle name="_Column4_Budget Package AWECO_AWECO Neukirch final incl. Mittelfristplanung_Master" xfId="17"/>
    <cellStyle name="_Column4_FCST-Package AWECO_Neukirch 1-2008_V1 12082008" xfId="18"/>
    <cellStyle name="_Column4_FX-Rates 2009 Budget AWECO Group" xfId="19"/>
    <cellStyle name="_Column4_Kopie von Budget Package AWECO_AWECO Neukirch final" xfId="20"/>
    <cellStyle name="_Column4_Kopie von Budget Package AWECO_AWECO Neukirch final incl. Mittelfristplanung" xfId="21"/>
    <cellStyle name="_Column5" xfId="22"/>
    <cellStyle name="_Column6" xfId="23"/>
    <cellStyle name="_Column7" xfId="24"/>
    <cellStyle name="_Data" xfId="25"/>
    <cellStyle name="_Data 2" xfId="26"/>
    <cellStyle name="_Data_Budget Package AWECO_AWECO Neukirch final incl. Mittelfristplanung_Master" xfId="27"/>
    <cellStyle name="_Data_Dec 4budget Package AWECO_AWECO China2" xfId="28"/>
    <cellStyle name="_Data_FCST-Package AWECO_Neukirch 1-2008_Master Template" xfId="29"/>
    <cellStyle name="_Data_Kopie von Budget Package AWECO_AWECO Neukirch final" xfId="30"/>
    <cellStyle name="_Data_Kopie von Budget Package AWECO_AWECO Neukirch final incl. Mittelfristplanung" xfId="31"/>
    <cellStyle name="_Data_Midterm Package AWECO_AWECO China" xfId="32"/>
    <cellStyle name="_Data_Midterm Package AWECO_AWECO China_Master" xfId="33"/>
    <cellStyle name="_Data_Midterm Package AWECO_AWECO Neukirch_210208_V1" xfId="34"/>
    <cellStyle name="_Data_Midterm Package AWECO_Neukirch_250208_final" xfId="35"/>
    <cellStyle name="_Header" xfId="36"/>
    <cellStyle name="_Row1" xfId="37"/>
    <cellStyle name="_Row1_Budget Package AWECO_AWECO Neukirch final incl. Mittelfristplanung_Master" xfId="38"/>
    <cellStyle name="_Row1_FCST-Package AWECO_Neukirch 1-2008_V1 12082008" xfId="39"/>
    <cellStyle name="_Row1_FX-Rates 2009 Budget AWECO Group" xfId="40"/>
    <cellStyle name="_Row1_Kopie von Budget Package AWECO_AWECO Neukirch final" xfId="41"/>
    <cellStyle name="_Row1_Kopie von Budget Package AWECO_AWECO Neukirch final incl. Mittelfristplanung" xfId="42"/>
    <cellStyle name="_Row2" xfId="43"/>
    <cellStyle name="_Row3" xfId="44"/>
    <cellStyle name="_Row4" xfId="45"/>
    <cellStyle name="_Row4 2" xfId="46"/>
    <cellStyle name="_Row4_Budget Package AWECO_AWECO Neukirch final incl. Mittelfristplanung_Master" xfId="47"/>
    <cellStyle name="_Row4_Dec 4budget Package AWECO_AWECO China2" xfId="48"/>
    <cellStyle name="_Row4_FCST-Package AWECO_Neukirch 1-2008_Master Template" xfId="49"/>
    <cellStyle name="_Row4_Kopie von Budget Package AWECO_AWECO Neukirch final" xfId="50"/>
    <cellStyle name="_Row4_Kopie von Budget Package AWECO_AWECO Neukirch final incl. Mittelfristplanung" xfId="51"/>
    <cellStyle name="_Row4_Midterm Package AWECO_AWECO China" xfId="52"/>
    <cellStyle name="_Row4_Midterm Package AWECO_AWECO China_Master" xfId="53"/>
    <cellStyle name="_Row4_Midterm Package AWECO_AWECO Neukirch_210208_V1" xfId="54"/>
    <cellStyle name="_Row4_Midterm Package AWECO_Neukirch_250208_final" xfId="55"/>
    <cellStyle name="_Row5" xfId="56"/>
    <cellStyle name="_Row6" xfId="57"/>
    <cellStyle name="_Row7" xfId="58"/>
    <cellStyle name="20 % - Akzent1" xfId="59"/>
    <cellStyle name="20 % - Akzent1 2" xfId="60"/>
    <cellStyle name="20 % - Akzent1 2 2" xfId="61"/>
    <cellStyle name="20 % - Akzent1 3" xfId="62"/>
    <cellStyle name="20 % - Akzent2" xfId="63"/>
    <cellStyle name="20 % - Akzent2 2" xfId="64"/>
    <cellStyle name="20 % - Akzent2 2 2" xfId="65"/>
    <cellStyle name="20 % - Akzent2 3" xfId="66"/>
    <cellStyle name="20 % - Akzent3" xfId="67"/>
    <cellStyle name="20 % - Akzent3 2" xfId="68"/>
    <cellStyle name="20 % - Akzent3 2 2" xfId="69"/>
    <cellStyle name="20 % - Akzent3 3" xfId="70"/>
    <cellStyle name="20 % - Akzent4" xfId="71"/>
    <cellStyle name="20 % - Akzent4 2" xfId="72"/>
    <cellStyle name="20 % - Akzent4 2 2" xfId="73"/>
    <cellStyle name="20 % - Akzent4 3" xfId="74"/>
    <cellStyle name="20 % - Akzent5" xfId="75"/>
    <cellStyle name="20 % - Akzent5 2" xfId="76"/>
    <cellStyle name="20 % - Akzent5 2 2" xfId="77"/>
    <cellStyle name="20 % - Akzent5 3" xfId="78"/>
    <cellStyle name="20 % - Akzent6" xfId="79"/>
    <cellStyle name="20 % - Akzent6 2" xfId="80"/>
    <cellStyle name="20 % - Akzent6 2 2" xfId="81"/>
    <cellStyle name="20 % - Akzent6 3" xfId="82"/>
    <cellStyle name="20% - Accent1 10" xfId="83"/>
    <cellStyle name="20% - Accent1 10 2" xfId="84"/>
    <cellStyle name="20% - Accent1 11" xfId="85"/>
    <cellStyle name="20% - Accent1 11 2" xfId="86"/>
    <cellStyle name="20% - Accent1 12" xfId="87"/>
    <cellStyle name="20% - Accent1 12 2" xfId="88"/>
    <cellStyle name="20% - Accent1 13" xfId="89"/>
    <cellStyle name="20% - Accent1 13 2" xfId="90"/>
    <cellStyle name="20% - Accent1 14" xfId="91"/>
    <cellStyle name="20% - Accent1 14 2" xfId="92"/>
    <cellStyle name="20% - Accent1 15" xfId="93"/>
    <cellStyle name="20% - Accent1 15 2" xfId="94"/>
    <cellStyle name="20% - Accent1 16" xfId="95"/>
    <cellStyle name="20% - Accent1 16 2" xfId="96"/>
    <cellStyle name="20% - Accent1 17" xfId="97"/>
    <cellStyle name="20% - Accent1 17 2" xfId="98"/>
    <cellStyle name="20% - Accent1 18" xfId="99"/>
    <cellStyle name="20% - Accent1 18 2" xfId="100"/>
    <cellStyle name="20% - Accent1 19" xfId="101"/>
    <cellStyle name="20% - Accent1 19 2" xfId="102"/>
    <cellStyle name="20% - Accent1 2" xfId="103"/>
    <cellStyle name="20% - Accent1 2 2" xfId="104"/>
    <cellStyle name="20% - Accent1 2 2 2" xfId="105"/>
    <cellStyle name="20% - Accent1 2 2 2 2" xfId="106"/>
    <cellStyle name="20% - Accent1 2 2 3" xfId="107"/>
    <cellStyle name="20% - Accent1 2 3" xfId="108"/>
    <cellStyle name="20% - Accent1 2 3 2" xfId="109"/>
    <cellStyle name="20% - Accent1 2 4" xfId="110"/>
    <cellStyle name="20% - Accent1 2_AE_FC_QuoteMaster" xfId="111"/>
    <cellStyle name="20% - Accent1 20" xfId="112"/>
    <cellStyle name="20% - Accent1 20 2" xfId="113"/>
    <cellStyle name="20% - Accent1 21" xfId="114"/>
    <cellStyle name="20% - Accent1 21 2" xfId="115"/>
    <cellStyle name="20% - Accent1 22" xfId="116"/>
    <cellStyle name="20% - Accent1 22 2" xfId="117"/>
    <cellStyle name="20% - Accent1 23" xfId="118"/>
    <cellStyle name="20% - Accent1 23 2" xfId="119"/>
    <cellStyle name="20% - Accent1 24" xfId="120"/>
    <cellStyle name="20% - Accent1 24 2" xfId="121"/>
    <cellStyle name="20% - Accent1 25" xfId="122"/>
    <cellStyle name="20% - Accent1 25 2" xfId="123"/>
    <cellStyle name="20% - Accent1 26" xfId="124"/>
    <cellStyle name="20% - Accent1 26 2" xfId="125"/>
    <cellStyle name="20% - Accent1 27" xfId="126"/>
    <cellStyle name="20% - Accent1 27 2" xfId="127"/>
    <cellStyle name="20% - Accent1 28" xfId="128"/>
    <cellStyle name="20% - Accent1 28 2" xfId="129"/>
    <cellStyle name="20% - Accent1 29" xfId="130"/>
    <cellStyle name="20% - Accent1 29 2" xfId="131"/>
    <cellStyle name="20% - Accent1 3" xfId="132"/>
    <cellStyle name="20% - Accent1 3 2" xfId="133"/>
    <cellStyle name="20% - Accent1 3 2 2" xfId="134"/>
    <cellStyle name="20% - Accent1 3 2 2 2" xfId="135"/>
    <cellStyle name="20% - Accent1 3 2 3" xfId="136"/>
    <cellStyle name="20% - Accent1 3 3" xfId="137"/>
    <cellStyle name="20% - Accent1 3 3 2" xfId="138"/>
    <cellStyle name="20% - Accent1 3 4" xfId="139"/>
    <cellStyle name="20% - Accent1 3_AE_FC_QuoteMaster" xfId="140"/>
    <cellStyle name="20% - Accent1 30" xfId="141"/>
    <cellStyle name="20% - Accent1 30 2" xfId="142"/>
    <cellStyle name="20% - Accent1 31" xfId="143"/>
    <cellStyle name="20% - Accent1 31 2" xfId="144"/>
    <cellStyle name="20% - Accent1 32" xfId="145"/>
    <cellStyle name="20% - Accent1 32 2" xfId="146"/>
    <cellStyle name="20% - Accent1 33" xfId="147"/>
    <cellStyle name="20% - Accent1 33 2" xfId="148"/>
    <cellStyle name="20% - Accent1 34" xfId="149"/>
    <cellStyle name="20% - Accent1 34 2" xfId="150"/>
    <cellStyle name="20% - Accent1 35" xfId="151"/>
    <cellStyle name="20% - Accent1 35 2" xfId="152"/>
    <cellStyle name="20% - Accent1 36" xfId="153"/>
    <cellStyle name="20% - Accent1 36 2" xfId="154"/>
    <cellStyle name="20% - Accent1 37" xfId="155"/>
    <cellStyle name="20% - Accent1 37 2" xfId="156"/>
    <cellStyle name="20% - Accent1 38" xfId="157"/>
    <cellStyle name="20% - Accent1 38 2" xfId="158"/>
    <cellStyle name="20% - Accent1 39" xfId="159"/>
    <cellStyle name="20% - Accent1 39 2" xfId="160"/>
    <cellStyle name="20% - Accent1 4" xfId="161"/>
    <cellStyle name="20% - Accent1 4 2" xfId="162"/>
    <cellStyle name="20% - Accent1 4 2 2" xfId="163"/>
    <cellStyle name="20% - Accent1 4 3" xfId="164"/>
    <cellStyle name="20% - Accent1 40" xfId="165"/>
    <cellStyle name="20% - Accent1 40 2" xfId="166"/>
    <cellStyle name="20% - Accent1 41" xfId="167"/>
    <cellStyle name="20% - Accent1 41 2" xfId="168"/>
    <cellStyle name="20% - Accent1 42" xfId="169"/>
    <cellStyle name="20% - Accent1 42 2" xfId="170"/>
    <cellStyle name="20% - Accent1 43" xfId="171"/>
    <cellStyle name="20% - Accent1 43 2" xfId="172"/>
    <cellStyle name="20% - Accent1 44" xfId="173"/>
    <cellStyle name="20% - Accent1 44 2" xfId="174"/>
    <cellStyle name="20% - Accent1 45" xfId="175"/>
    <cellStyle name="20% - Accent1 45 2" xfId="176"/>
    <cellStyle name="20% - Accent1 46" xfId="177"/>
    <cellStyle name="20% - Accent1 46 2" xfId="178"/>
    <cellStyle name="20% - Accent1 47" xfId="179"/>
    <cellStyle name="20% - Accent1 47 2" xfId="180"/>
    <cellStyle name="20% - Accent1 48" xfId="181"/>
    <cellStyle name="20% - Accent1 48 2" xfId="182"/>
    <cellStyle name="20% - Accent1 49" xfId="183"/>
    <cellStyle name="20% - Accent1 49 2" xfId="184"/>
    <cellStyle name="20% - Accent1 5" xfId="185"/>
    <cellStyle name="20% - Accent1 5 2" xfId="186"/>
    <cellStyle name="20% - Accent1 50" xfId="187"/>
    <cellStyle name="20% - Accent1 50 2" xfId="188"/>
    <cellStyle name="20% - Accent1 51" xfId="189"/>
    <cellStyle name="20% - Accent1 51 2" xfId="190"/>
    <cellStyle name="20% - Accent1 52" xfId="191"/>
    <cellStyle name="20% - Accent1 52 2" xfId="192"/>
    <cellStyle name="20% - Accent1 53" xfId="193"/>
    <cellStyle name="20% - Accent1 53 2" xfId="194"/>
    <cellStyle name="20% - Accent1 54" xfId="195"/>
    <cellStyle name="20% - Accent1 54 2" xfId="196"/>
    <cellStyle name="20% - Accent1 55" xfId="197"/>
    <cellStyle name="20% - Accent1 55 2" xfId="198"/>
    <cellStyle name="20% - Accent1 56" xfId="199"/>
    <cellStyle name="20% - Accent1 56 2" xfId="200"/>
    <cellStyle name="20% - Accent1 57" xfId="201"/>
    <cellStyle name="20% - Accent1 57 2" xfId="202"/>
    <cellStyle name="20% - Accent1 58" xfId="203"/>
    <cellStyle name="20% - Accent1 58 2" xfId="204"/>
    <cellStyle name="20% - Accent1 59" xfId="205"/>
    <cellStyle name="20% - Accent1 59 2" xfId="206"/>
    <cellStyle name="20% - Accent1 6" xfId="207"/>
    <cellStyle name="20% - Accent1 6 2" xfId="208"/>
    <cellStyle name="20% - Accent1 60" xfId="209"/>
    <cellStyle name="20% - Accent1 60 2" xfId="210"/>
    <cellStyle name="20% - Accent1 61" xfId="211"/>
    <cellStyle name="20% - Accent1 61 2" xfId="212"/>
    <cellStyle name="20% - Accent1 62" xfId="213"/>
    <cellStyle name="20% - Accent1 62 2" xfId="214"/>
    <cellStyle name="20% - Accent1 63" xfId="215"/>
    <cellStyle name="20% - Accent1 63 2" xfId="216"/>
    <cellStyle name="20% - Accent1 64" xfId="217"/>
    <cellStyle name="20% - Accent1 64 2" xfId="218"/>
    <cellStyle name="20% - Accent1 65" xfId="219"/>
    <cellStyle name="20% - Accent1 65 2" xfId="220"/>
    <cellStyle name="20% - Accent1 66" xfId="221"/>
    <cellStyle name="20% - Accent1 66 2" xfId="222"/>
    <cellStyle name="20% - Accent1 67" xfId="223"/>
    <cellStyle name="20% - Accent1 67 2" xfId="224"/>
    <cellStyle name="20% - Accent1 68" xfId="225"/>
    <cellStyle name="20% - Accent1 68 2" xfId="226"/>
    <cellStyle name="20% - Accent1 69" xfId="227"/>
    <cellStyle name="20% - Accent1 69 2" xfId="228"/>
    <cellStyle name="20% - Accent1 7" xfId="229"/>
    <cellStyle name="20% - Accent1 7 2" xfId="230"/>
    <cellStyle name="20% - Accent1 70" xfId="231"/>
    <cellStyle name="20% - Accent1 70 2" xfId="232"/>
    <cellStyle name="20% - Accent1 8" xfId="233"/>
    <cellStyle name="20% - Accent1 8 2" xfId="234"/>
    <cellStyle name="20% - Accent1 9" xfId="235"/>
    <cellStyle name="20% - Accent1 9 2" xfId="236"/>
    <cellStyle name="20% - Accent2 10" xfId="237"/>
    <cellStyle name="20% - Accent2 10 2" xfId="238"/>
    <cellStyle name="20% - Accent2 11" xfId="239"/>
    <cellStyle name="20% - Accent2 11 2" xfId="240"/>
    <cellStyle name="20% - Accent2 12" xfId="241"/>
    <cellStyle name="20% - Accent2 12 2" xfId="242"/>
    <cellStyle name="20% - Accent2 13" xfId="243"/>
    <cellStyle name="20% - Accent2 13 2" xfId="244"/>
    <cellStyle name="20% - Accent2 14" xfId="245"/>
    <cellStyle name="20% - Accent2 14 2" xfId="246"/>
    <cellStyle name="20% - Accent2 15" xfId="247"/>
    <cellStyle name="20% - Accent2 15 2" xfId="248"/>
    <cellStyle name="20% - Accent2 16" xfId="249"/>
    <cellStyle name="20% - Accent2 16 2" xfId="250"/>
    <cellStyle name="20% - Accent2 17" xfId="251"/>
    <cellStyle name="20% - Accent2 17 2" xfId="252"/>
    <cellStyle name="20% - Accent2 18" xfId="253"/>
    <cellStyle name="20% - Accent2 18 2" xfId="254"/>
    <cellStyle name="20% - Accent2 19" xfId="255"/>
    <cellStyle name="20% - Accent2 19 2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4" xfId="264"/>
    <cellStyle name="20% - Accent2 2_AE_FC_QuoteMaster" xfId="265"/>
    <cellStyle name="20% - Accent2 20" xfId="266"/>
    <cellStyle name="20% - Accent2 20 2" xfId="267"/>
    <cellStyle name="20% - Accent2 21" xfId="268"/>
    <cellStyle name="20% - Accent2 21 2" xfId="269"/>
    <cellStyle name="20% - Accent2 22" xfId="270"/>
    <cellStyle name="20% - Accent2 22 2" xfId="271"/>
    <cellStyle name="20% - Accent2 23" xfId="272"/>
    <cellStyle name="20% - Accent2 23 2" xfId="273"/>
    <cellStyle name="20% - Accent2 24" xfId="274"/>
    <cellStyle name="20% - Accent2 24 2" xfId="275"/>
    <cellStyle name="20% - Accent2 25" xfId="276"/>
    <cellStyle name="20% - Accent2 25 2" xfId="277"/>
    <cellStyle name="20% - Accent2 26" xfId="278"/>
    <cellStyle name="20% - Accent2 26 2" xfId="279"/>
    <cellStyle name="20% - Accent2 27" xfId="280"/>
    <cellStyle name="20% - Accent2 27 2" xfId="281"/>
    <cellStyle name="20% - Accent2 28" xfId="282"/>
    <cellStyle name="20% - Accent2 28 2" xfId="283"/>
    <cellStyle name="20% - Accent2 29" xfId="284"/>
    <cellStyle name="20% - Accent2 29 2" xfId="285"/>
    <cellStyle name="20% - Accent2 3" xfId="286"/>
    <cellStyle name="20% - Accent2 3 2" xfId="287"/>
    <cellStyle name="20% - Accent2 3 2 2" xfId="288"/>
    <cellStyle name="20% - Accent2 3 2 2 2" xfId="289"/>
    <cellStyle name="20% - Accent2 3 2 3" xfId="290"/>
    <cellStyle name="20% - Accent2 3 3" xfId="291"/>
    <cellStyle name="20% - Accent2 3 3 2" xfId="292"/>
    <cellStyle name="20% - Accent2 3 4" xfId="293"/>
    <cellStyle name="20% - Accent2 3_AE_FC_QuoteMaster" xfId="294"/>
    <cellStyle name="20% - Accent2 30" xfId="295"/>
    <cellStyle name="20% - Accent2 30 2" xfId="296"/>
    <cellStyle name="20% - Accent2 31" xfId="297"/>
    <cellStyle name="20% - Accent2 31 2" xfId="298"/>
    <cellStyle name="20% - Accent2 32" xfId="299"/>
    <cellStyle name="20% - Accent2 32 2" xfId="300"/>
    <cellStyle name="20% - Accent2 33" xfId="301"/>
    <cellStyle name="20% - Accent2 33 2" xfId="302"/>
    <cellStyle name="20% - Accent2 34" xfId="303"/>
    <cellStyle name="20% - Accent2 34 2" xfId="304"/>
    <cellStyle name="20% - Accent2 35" xfId="305"/>
    <cellStyle name="20% - Accent2 35 2" xfId="306"/>
    <cellStyle name="20% - Accent2 36" xfId="307"/>
    <cellStyle name="20% - Accent2 36 2" xfId="308"/>
    <cellStyle name="20% - Accent2 37" xfId="309"/>
    <cellStyle name="20% - Accent2 37 2" xfId="310"/>
    <cellStyle name="20% - Accent2 38" xfId="311"/>
    <cellStyle name="20% - Accent2 38 2" xfId="312"/>
    <cellStyle name="20% - Accent2 39" xfId="313"/>
    <cellStyle name="20% - Accent2 39 2" xfId="314"/>
    <cellStyle name="20% - Accent2 4" xfId="315"/>
    <cellStyle name="20% - Accent2 4 2" xfId="316"/>
    <cellStyle name="20% - Accent2 4 2 2" xfId="317"/>
    <cellStyle name="20% - Accent2 4 3" xfId="318"/>
    <cellStyle name="20% - Accent2 40" xfId="319"/>
    <cellStyle name="20% - Accent2 40 2" xfId="320"/>
    <cellStyle name="20% - Accent2 41" xfId="321"/>
    <cellStyle name="20% - Accent2 41 2" xfId="322"/>
    <cellStyle name="20% - Accent2 42" xfId="323"/>
    <cellStyle name="20% - Accent2 42 2" xfId="324"/>
    <cellStyle name="20% - Accent2 43" xfId="325"/>
    <cellStyle name="20% - Accent2 43 2" xfId="326"/>
    <cellStyle name="20% - Accent2 44" xfId="327"/>
    <cellStyle name="20% - Accent2 44 2" xfId="328"/>
    <cellStyle name="20% - Accent2 45" xfId="329"/>
    <cellStyle name="20% - Accent2 45 2" xfId="330"/>
    <cellStyle name="20% - Accent2 46" xfId="331"/>
    <cellStyle name="20% - Accent2 46 2" xfId="332"/>
    <cellStyle name="20% - Accent2 47" xfId="333"/>
    <cellStyle name="20% - Accent2 47 2" xfId="334"/>
    <cellStyle name="20% - Accent2 48" xfId="335"/>
    <cellStyle name="20% - Accent2 48 2" xfId="336"/>
    <cellStyle name="20% - Accent2 49" xfId="337"/>
    <cellStyle name="20% - Accent2 49 2" xfId="338"/>
    <cellStyle name="20% - Accent2 5" xfId="339"/>
    <cellStyle name="20% - Accent2 5 2" xfId="340"/>
    <cellStyle name="20% - Accent2 50" xfId="341"/>
    <cellStyle name="20% - Accent2 50 2" xfId="342"/>
    <cellStyle name="20% - Accent2 51" xfId="343"/>
    <cellStyle name="20% - Accent2 51 2" xfId="344"/>
    <cellStyle name="20% - Accent2 52" xfId="345"/>
    <cellStyle name="20% - Accent2 52 2" xfId="346"/>
    <cellStyle name="20% - Accent2 53" xfId="347"/>
    <cellStyle name="20% - Accent2 53 2" xfId="348"/>
    <cellStyle name="20% - Accent2 54" xfId="349"/>
    <cellStyle name="20% - Accent2 54 2" xfId="350"/>
    <cellStyle name="20% - Accent2 55" xfId="351"/>
    <cellStyle name="20% - Accent2 55 2" xfId="352"/>
    <cellStyle name="20% - Accent2 56" xfId="353"/>
    <cellStyle name="20% - Accent2 56 2" xfId="354"/>
    <cellStyle name="20% - Accent2 57" xfId="355"/>
    <cellStyle name="20% - Accent2 57 2" xfId="356"/>
    <cellStyle name="20% - Accent2 58" xfId="357"/>
    <cellStyle name="20% - Accent2 58 2" xfId="358"/>
    <cellStyle name="20% - Accent2 59" xfId="359"/>
    <cellStyle name="20% - Accent2 59 2" xfId="360"/>
    <cellStyle name="20% - Accent2 6" xfId="361"/>
    <cellStyle name="20% - Accent2 6 2" xfId="362"/>
    <cellStyle name="20% - Accent2 60" xfId="363"/>
    <cellStyle name="20% - Accent2 60 2" xfId="364"/>
    <cellStyle name="20% - Accent2 61" xfId="365"/>
    <cellStyle name="20% - Accent2 61 2" xfId="366"/>
    <cellStyle name="20% - Accent2 62" xfId="367"/>
    <cellStyle name="20% - Accent2 62 2" xfId="368"/>
    <cellStyle name="20% - Accent2 63" xfId="369"/>
    <cellStyle name="20% - Accent2 63 2" xfId="370"/>
    <cellStyle name="20% - Accent2 64" xfId="371"/>
    <cellStyle name="20% - Accent2 64 2" xfId="372"/>
    <cellStyle name="20% - Accent2 65" xfId="373"/>
    <cellStyle name="20% - Accent2 65 2" xfId="374"/>
    <cellStyle name="20% - Accent2 66" xfId="375"/>
    <cellStyle name="20% - Accent2 66 2" xfId="376"/>
    <cellStyle name="20% - Accent2 67" xfId="377"/>
    <cellStyle name="20% - Accent2 67 2" xfId="378"/>
    <cellStyle name="20% - Accent2 68" xfId="379"/>
    <cellStyle name="20% - Accent2 68 2" xfId="380"/>
    <cellStyle name="20% - Accent2 69" xfId="381"/>
    <cellStyle name="20% - Accent2 69 2" xfId="382"/>
    <cellStyle name="20% - Accent2 7" xfId="383"/>
    <cellStyle name="20% - Accent2 7 2" xfId="384"/>
    <cellStyle name="20% - Accent2 70" xfId="385"/>
    <cellStyle name="20% - Accent2 70 2" xfId="386"/>
    <cellStyle name="20% - Accent2 8" xfId="387"/>
    <cellStyle name="20% - Accent2 8 2" xfId="388"/>
    <cellStyle name="20% - Accent2 9" xfId="389"/>
    <cellStyle name="20% - Accent2 9 2" xfId="390"/>
    <cellStyle name="20% - Accent3 10" xfId="391"/>
    <cellStyle name="20% - Accent3 10 2" xfId="392"/>
    <cellStyle name="20% - Accent3 11" xfId="393"/>
    <cellStyle name="20% - Accent3 11 2" xfId="394"/>
    <cellStyle name="20% - Accent3 12" xfId="395"/>
    <cellStyle name="20% - Accent3 12 2" xfId="396"/>
    <cellStyle name="20% - Accent3 13" xfId="397"/>
    <cellStyle name="20% - Accent3 13 2" xfId="398"/>
    <cellStyle name="20% - Accent3 14" xfId="399"/>
    <cellStyle name="20% - Accent3 14 2" xfId="400"/>
    <cellStyle name="20% - Accent3 15" xfId="401"/>
    <cellStyle name="20% - Accent3 15 2" xfId="402"/>
    <cellStyle name="20% - Accent3 16" xfId="403"/>
    <cellStyle name="20% - Accent3 16 2" xfId="404"/>
    <cellStyle name="20% - Accent3 17" xfId="405"/>
    <cellStyle name="20% - Accent3 17 2" xfId="406"/>
    <cellStyle name="20% - Accent3 18" xfId="407"/>
    <cellStyle name="20% - Accent3 18 2" xfId="408"/>
    <cellStyle name="20% - Accent3 19" xfId="409"/>
    <cellStyle name="20% - Accent3 19 2" xfId="410"/>
    <cellStyle name="20% - Accent3 2" xfId="411"/>
    <cellStyle name="20% - Accent3 2 2" xfId="412"/>
    <cellStyle name="20% - Accent3 2 2 2" xfId="413"/>
    <cellStyle name="20% - Accent3 2 2 2 2" xfId="414"/>
    <cellStyle name="20% - Accent3 2 2 3" xfId="415"/>
    <cellStyle name="20% - Accent3 2 3" xfId="416"/>
    <cellStyle name="20% - Accent3 2 3 2" xfId="417"/>
    <cellStyle name="20% - Accent3 2 4" xfId="418"/>
    <cellStyle name="20% - Accent3 2_AE_FC_QuoteMaster" xfId="419"/>
    <cellStyle name="20% - Accent3 20" xfId="420"/>
    <cellStyle name="20% - Accent3 20 2" xfId="421"/>
    <cellStyle name="20% - Accent3 21" xfId="422"/>
    <cellStyle name="20% - Accent3 21 2" xfId="423"/>
    <cellStyle name="20% - Accent3 22" xfId="424"/>
    <cellStyle name="20% - Accent3 22 2" xfId="425"/>
    <cellStyle name="20% - Accent3 23" xfId="426"/>
    <cellStyle name="20% - Accent3 23 2" xfId="427"/>
    <cellStyle name="20% - Accent3 24" xfId="428"/>
    <cellStyle name="20% - Accent3 24 2" xfId="429"/>
    <cellStyle name="20% - Accent3 25" xfId="430"/>
    <cellStyle name="20% - Accent3 25 2" xfId="431"/>
    <cellStyle name="20% - Accent3 26" xfId="432"/>
    <cellStyle name="20% - Accent3 26 2" xfId="433"/>
    <cellStyle name="20% - Accent3 27" xfId="434"/>
    <cellStyle name="20% - Accent3 27 2" xfId="435"/>
    <cellStyle name="20% - Accent3 28" xfId="436"/>
    <cellStyle name="20% - Accent3 28 2" xfId="437"/>
    <cellStyle name="20% - Accent3 29" xfId="438"/>
    <cellStyle name="20% - Accent3 29 2" xfId="439"/>
    <cellStyle name="20% - Accent3 3" xfId="440"/>
    <cellStyle name="20% - Accent3 3 2" xfId="441"/>
    <cellStyle name="20% - Accent3 3 2 2" xfId="442"/>
    <cellStyle name="20% - Accent3 3 2 2 2" xfId="443"/>
    <cellStyle name="20% - Accent3 3 2 3" xfId="444"/>
    <cellStyle name="20% - Accent3 3 3" xfId="445"/>
    <cellStyle name="20% - Accent3 3 3 2" xfId="446"/>
    <cellStyle name="20% - Accent3 3 4" xfId="447"/>
    <cellStyle name="20% - Accent3 3_AE_FC_QuoteMaster" xfId="448"/>
    <cellStyle name="20% - Accent3 30" xfId="449"/>
    <cellStyle name="20% - Accent3 30 2" xfId="450"/>
    <cellStyle name="20% - Accent3 31" xfId="451"/>
    <cellStyle name="20% - Accent3 31 2" xfId="452"/>
    <cellStyle name="20% - Accent3 32" xfId="453"/>
    <cellStyle name="20% - Accent3 32 2" xfId="454"/>
    <cellStyle name="20% - Accent3 33" xfId="455"/>
    <cellStyle name="20% - Accent3 33 2" xfId="456"/>
    <cellStyle name="20% - Accent3 34" xfId="457"/>
    <cellStyle name="20% - Accent3 34 2" xfId="458"/>
    <cellStyle name="20% - Accent3 35" xfId="459"/>
    <cellStyle name="20% - Accent3 35 2" xfId="460"/>
    <cellStyle name="20% - Accent3 36" xfId="461"/>
    <cellStyle name="20% - Accent3 36 2" xfId="462"/>
    <cellStyle name="20% - Accent3 37" xfId="463"/>
    <cellStyle name="20% - Accent3 37 2" xfId="464"/>
    <cellStyle name="20% - Accent3 38" xfId="465"/>
    <cellStyle name="20% - Accent3 38 2" xfId="466"/>
    <cellStyle name="20% - Accent3 39" xfId="467"/>
    <cellStyle name="20% - Accent3 39 2" xfId="468"/>
    <cellStyle name="20% - Accent3 4" xfId="469"/>
    <cellStyle name="20% - Accent3 4 2" xfId="470"/>
    <cellStyle name="20% - Accent3 4 2 2" xfId="471"/>
    <cellStyle name="20% - Accent3 4 3" xfId="472"/>
    <cellStyle name="20% - Accent3 40" xfId="473"/>
    <cellStyle name="20% - Accent3 40 2" xfId="474"/>
    <cellStyle name="20% - Accent3 41" xfId="475"/>
    <cellStyle name="20% - Accent3 41 2" xfId="476"/>
    <cellStyle name="20% - Accent3 42" xfId="477"/>
    <cellStyle name="20% - Accent3 42 2" xfId="478"/>
    <cellStyle name="20% - Accent3 43" xfId="479"/>
    <cellStyle name="20% - Accent3 43 2" xfId="480"/>
    <cellStyle name="20% - Accent3 44" xfId="481"/>
    <cellStyle name="20% - Accent3 44 2" xfId="482"/>
    <cellStyle name="20% - Accent3 45" xfId="483"/>
    <cellStyle name="20% - Accent3 45 2" xfId="484"/>
    <cellStyle name="20% - Accent3 46" xfId="485"/>
    <cellStyle name="20% - Accent3 46 2" xfId="486"/>
    <cellStyle name="20% - Accent3 47" xfId="487"/>
    <cellStyle name="20% - Accent3 47 2" xfId="488"/>
    <cellStyle name="20% - Accent3 48" xfId="489"/>
    <cellStyle name="20% - Accent3 48 2" xfId="490"/>
    <cellStyle name="20% - Accent3 49" xfId="491"/>
    <cellStyle name="20% - Accent3 49 2" xfId="492"/>
    <cellStyle name="20% - Accent3 5" xfId="493"/>
    <cellStyle name="20% - Accent3 5 2" xfId="494"/>
    <cellStyle name="20% - Accent3 50" xfId="495"/>
    <cellStyle name="20% - Accent3 50 2" xfId="496"/>
    <cellStyle name="20% - Accent3 51" xfId="497"/>
    <cellStyle name="20% - Accent3 51 2" xfId="498"/>
    <cellStyle name="20% - Accent3 52" xfId="499"/>
    <cellStyle name="20% - Accent3 52 2" xfId="500"/>
    <cellStyle name="20% - Accent3 53" xfId="501"/>
    <cellStyle name="20% - Accent3 53 2" xfId="502"/>
    <cellStyle name="20% - Accent3 54" xfId="503"/>
    <cellStyle name="20% - Accent3 54 2" xfId="504"/>
    <cellStyle name="20% - Accent3 55" xfId="505"/>
    <cellStyle name="20% - Accent3 55 2" xfId="506"/>
    <cellStyle name="20% - Accent3 56" xfId="507"/>
    <cellStyle name="20% - Accent3 56 2" xfId="508"/>
    <cellStyle name="20% - Accent3 57" xfId="509"/>
    <cellStyle name="20% - Accent3 57 2" xfId="510"/>
    <cellStyle name="20% - Accent3 58" xfId="511"/>
    <cellStyle name="20% - Accent3 58 2" xfId="512"/>
    <cellStyle name="20% - Accent3 59" xfId="513"/>
    <cellStyle name="20% - Accent3 59 2" xfId="514"/>
    <cellStyle name="20% - Accent3 6" xfId="515"/>
    <cellStyle name="20% - Accent3 6 2" xfId="516"/>
    <cellStyle name="20% - Accent3 60" xfId="517"/>
    <cellStyle name="20% - Accent3 60 2" xfId="518"/>
    <cellStyle name="20% - Accent3 61" xfId="519"/>
    <cellStyle name="20% - Accent3 61 2" xfId="520"/>
    <cellStyle name="20% - Accent3 62" xfId="521"/>
    <cellStyle name="20% - Accent3 62 2" xfId="522"/>
    <cellStyle name="20% - Accent3 63" xfId="523"/>
    <cellStyle name="20% - Accent3 63 2" xfId="524"/>
    <cellStyle name="20% - Accent3 64" xfId="525"/>
    <cellStyle name="20% - Accent3 64 2" xfId="526"/>
    <cellStyle name="20% - Accent3 65" xfId="527"/>
    <cellStyle name="20% - Accent3 65 2" xfId="528"/>
    <cellStyle name="20% - Accent3 66" xfId="529"/>
    <cellStyle name="20% - Accent3 66 2" xfId="530"/>
    <cellStyle name="20% - Accent3 67" xfId="531"/>
    <cellStyle name="20% - Accent3 67 2" xfId="532"/>
    <cellStyle name="20% - Accent3 68" xfId="533"/>
    <cellStyle name="20% - Accent3 68 2" xfId="534"/>
    <cellStyle name="20% - Accent3 69" xfId="535"/>
    <cellStyle name="20% - Accent3 69 2" xfId="536"/>
    <cellStyle name="20% - Accent3 7" xfId="537"/>
    <cellStyle name="20% - Accent3 7 2" xfId="538"/>
    <cellStyle name="20% - Accent3 70" xfId="539"/>
    <cellStyle name="20% - Accent3 70 2" xfId="540"/>
    <cellStyle name="20% - Accent3 8" xfId="541"/>
    <cellStyle name="20% - Accent3 8 2" xfId="542"/>
    <cellStyle name="20% - Accent3 9" xfId="543"/>
    <cellStyle name="20% - Accent3 9 2" xfId="544"/>
    <cellStyle name="20% - Accent4 10" xfId="545"/>
    <cellStyle name="20% - Accent4 10 2" xfId="546"/>
    <cellStyle name="20% - Accent4 11" xfId="547"/>
    <cellStyle name="20% - Accent4 11 2" xfId="548"/>
    <cellStyle name="20% - Accent4 12" xfId="549"/>
    <cellStyle name="20% - Accent4 12 2" xfId="550"/>
    <cellStyle name="20% - Accent4 13" xfId="551"/>
    <cellStyle name="20% - Accent4 13 2" xfId="552"/>
    <cellStyle name="20% - Accent4 14" xfId="553"/>
    <cellStyle name="20% - Accent4 14 2" xfId="554"/>
    <cellStyle name="20% - Accent4 15" xfId="555"/>
    <cellStyle name="20% - Accent4 15 2" xfId="556"/>
    <cellStyle name="20% - Accent4 16" xfId="557"/>
    <cellStyle name="20% - Accent4 16 2" xfId="558"/>
    <cellStyle name="20% - Accent4 17" xfId="559"/>
    <cellStyle name="20% - Accent4 17 2" xfId="560"/>
    <cellStyle name="20% - Accent4 18" xfId="561"/>
    <cellStyle name="20% - Accent4 18 2" xfId="562"/>
    <cellStyle name="20% - Accent4 19" xfId="563"/>
    <cellStyle name="20% - Accent4 19 2" xfId="564"/>
    <cellStyle name="20% - Accent4 2" xfId="565"/>
    <cellStyle name="20% - Accent4 2 2" xfId="566"/>
    <cellStyle name="20% - Accent4 2 2 2" xfId="567"/>
    <cellStyle name="20% - Accent4 2 2 2 2" xfId="568"/>
    <cellStyle name="20% - Accent4 2 2 3" xfId="569"/>
    <cellStyle name="20% - Accent4 2 3" xfId="570"/>
    <cellStyle name="20% - Accent4 2 3 2" xfId="571"/>
    <cellStyle name="20% - Accent4 2 4" xfId="572"/>
    <cellStyle name="20% - Accent4 2_AE_FC_QuoteMaster" xfId="573"/>
    <cellStyle name="20% - Accent4 20" xfId="574"/>
    <cellStyle name="20% - Accent4 20 2" xfId="575"/>
    <cellStyle name="20% - Accent4 21" xfId="576"/>
    <cellStyle name="20% - Accent4 21 2" xfId="577"/>
    <cellStyle name="20% - Accent4 22" xfId="578"/>
    <cellStyle name="20% - Accent4 22 2" xfId="579"/>
    <cellStyle name="20% - Accent4 23" xfId="580"/>
    <cellStyle name="20% - Accent4 23 2" xfId="581"/>
    <cellStyle name="20% - Accent4 24" xfId="582"/>
    <cellStyle name="20% - Accent4 24 2" xfId="583"/>
    <cellStyle name="20% - Accent4 25" xfId="584"/>
    <cellStyle name="20% - Accent4 25 2" xfId="585"/>
    <cellStyle name="20% - Accent4 26" xfId="586"/>
    <cellStyle name="20% - Accent4 26 2" xfId="587"/>
    <cellStyle name="20% - Accent4 27" xfId="588"/>
    <cellStyle name="20% - Accent4 27 2" xfId="589"/>
    <cellStyle name="20% - Accent4 28" xfId="590"/>
    <cellStyle name="20% - Accent4 28 2" xfId="591"/>
    <cellStyle name="20% - Accent4 29" xfId="592"/>
    <cellStyle name="20% - Accent4 29 2" xfId="593"/>
    <cellStyle name="20% - Accent4 3" xfId="594"/>
    <cellStyle name="20% - Accent4 3 2" xfId="595"/>
    <cellStyle name="20% - Accent4 3 2 2" xfId="596"/>
    <cellStyle name="20% - Accent4 3 2 2 2" xfId="597"/>
    <cellStyle name="20% - Accent4 3 2 3" xfId="598"/>
    <cellStyle name="20% - Accent4 3 3" xfId="599"/>
    <cellStyle name="20% - Accent4 3 3 2" xfId="600"/>
    <cellStyle name="20% - Accent4 3 4" xfId="601"/>
    <cellStyle name="20% - Accent4 3_AE_FC_QuoteMaster" xfId="602"/>
    <cellStyle name="20% - Accent4 30" xfId="603"/>
    <cellStyle name="20% - Accent4 30 2" xfId="604"/>
    <cellStyle name="20% - Accent4 31" xfId="605"/>
    <cellStyle name="20% - Accent4 31 2" xfId="606"/>
    <cellStyle name="20% - Accent4 32" xfId="607"/>
    <cellStyle name="20% - Accent4 32 2" xfId="608"/>
    <cellStyle name="20% - Accent4 33" xfId="609"/>
    <cellStyle name="20% - Accent4 33 2" xfId="610"/>
    <cellStyle name="20% - Accent4 34" xfId="611"/>
    <cellStyle name="20% - Accent4 34 2" xfId="612"/>
    <cellStyle name="20% - Accent4 35" xfId="613"/>
    <cellStyle name="20% - Accent4 35 2" xfId="614"/>
    <cellStyle name="20% - Accent4 36" xfId="615"/>
    <cellStyle name="20% - Accent4 36 2" xfId="616"/>
    <cellStyle name="20% - Accent4 37" xfId="617"/>
    <cellStyle name="20% - Accent4 37 2" xfId="618"/>
    <cellStyle name="20% - Accent4 38" xfId="619"/>
    <cellStyle name="20% - Accent4 38 2" xfId="620"/>
    <cellStyle name="20% - Accent4 39" xfId="621"/>
    <cellStyle name="20% - Accent4 39 2" xfId="622"/>
    <cellStyle name="20% - Accent4 4" xfId="623"/>
    <cellStyle name="20% - Accent4 4 2" xfId="624"/>
    <cellStyle name="20% - Accent4 4 2 2" xfId="625"/>
    <cellStyle name="20% - Accent4 4 3" xfId="626"/>
    <cellStyle name="20% - Accent4 40" xfId="627"/>
    <cellStyle name="20% - Accent4 40 2" xfId="628"/>
    <cellStyle name="20% - Accent4 41" xfId="629"/>
    <cellStyle name="20% - Accent4 41 2" xfId="630"/>
    <cellStyle name="20% - Accent4 42" xfId="631"/>
    <cellStyle name="20% - Accent4 42 2" xfId="632"/>
    <cellStyle name="20% - Accent4 43" xfId="633"/>
    <cellStyle name="20% - Accent4 43 2" xfId="634"/>
    <cellStyle name="20% - Accent4 44" xfId="635"/>
    <cellStyle name="20% - Accent4 44 2" xfId="636"/>
    <cellStyle name="20% - Accent4 45" xfId="637"/>
    <cellStyle name="20% - Accent4 45 2" xfId="638"/>
    <cellStyle name="20% - Accent4 46" xfId="639"/>
    <cellStyle name="20% - Accent4 46 2" xfId="640"/>
    <cellStyle name="20% - Accent4 47" xfId="641"/>
    <cellStyle name="20% - Accent4 47 2" xfId="642"/>
    <cellStyle name="20% - Accent4 48" xfId="643"/>
    <cellStyle name="20% - Accent4 48 2" xfId="644"/>
    <cellStyle name="20% - Accent4 49" xfId="645"/>
    <cellStyle name="20% - Accent4 49 2" xfId="646"/>
    <cellStyle name="20% - Accent4 5" xfId="647"/>
    <cellStyle name="20% - Accent4 5 2" xfId="648"/>
    <cellStyle name="20% - Accent4 50" xfId="649"/>
    <cellStyle name="20% - Accent4 50 2" xfId="650"/>
    <cellStyle name="20% - Accent4 51" xfId="651"/>
    <cellStyle name="20% - Accent4 51 2" xfId="652"/>
    <cellStyle name="20% - Accent4 52" xfId="653"/>
    <cellStyle name="20% - Accent4 52 2" xfId="654"/>
    <cellStyle name="20% - Accent4 53" xfId="655"/>
    <cellStyle name="20% - Accent4 53 2" xfId="656"/>
    <cellStyle name="20% - Accent4 54" xfId="657"/>
    <cellStyle name="20% - Accent4 54 2" xfId="658"/>
    <cellStyle name="20% - Accent4 55" xfId="659"/>
    <cellStyle name="20% - Accent4 55 2" xfId="660"/>
    <cellStyle name="20% - Accent4 56" xfId="661"/>
    <cellStyle name="20% - Accent4 56 2" xfId="662"/>
    <cellStyle name="20% - Accent4 57" xfId="663"/>
    <cellStyle name="20% - Accent4 57 2" xfId="664"/>
    <cellStyle name="20% - Accent4 58" xfId="665"/>
    <cellStyle name="20% - Accent4 58 2" xfId="666"/>
    <cellStyle name="20% - Accent4 59" xfId="667"/>
    <cellStyle name="20% - Accent4 59 2" xfId="668"/>
    <cellStyle name="20% - Accent4 6" xfId="669"/>
    <cellStyle name="20% - Accent4 6 2" xfId="670"/>
    <cellStyle name="20% - Accent4 60" xfId="671"/>
    <cellStyle name="20% - Accent4 60 2" xfId="672"/>
    <cellStyle name="20% - Accent4 61" xfId="673"/>
    <cellStyle name="20% - Accent4 61 2" xfId="674"/>
    <cellStyle name="20% - Accent4 62" xfId="675"/>
    <cellStyle name="20% - Accent4 62 2" xfId="676"/>
    <cellStyle name="20% - Accent4 63" xfId="677"/>
    <cellStyle name="20% - Accent4 63 2" xfId="678"/>
    <cellStyle name="20% - Accent4 64" xfId="679"/>
    <cellStyle name="20% - Accent4 64 2" xfId="680"/>
    <cellStyle name="20% - Accent4 65" xfId="681"/>
    <cellStyle name="20% - Accent4 65 2" xfId="682"/>
    <cellStyle name="20% - Accent4 66" xfId="683"/>
    <cellStyle name="20% - Accent4 66 2" xfId="684"/>
    <cellStyle name="20% - Accent4 67" xfId="685"/>
    <cellStyle name="20% - Accent4 67 2" xfId="686"/>
    <cellStyle name="20% - Accent4 68" xfId="687"/>
    <cellStyle name="20% - Accent4 68 2" xfId="688"/>
    <cellStyle name="20% - Accent4 69" xfId="689"/>
    <cellStyle name="20% - Accent4 69 2" xfId="690"/>
    <cellStyle name="20% - Accent4 7" xfId="691"/>
    <cellStyle name="20% - Accent4 7 2" xfId="692"/>
    <cellStyle name="20% - Accent4 70" xfId="693"/>
    <cellStyle name="20% - Accent4 70 2" xfId="694"/>
    <cellStyle name="20% - Accent4 8" xfId="695"/>
    <cellStyle name="20% - Accent4 8 2" xfId="696"/>
    <cellStyle name="20% - Accent4 9" xfId="697"/>
    <cellStyle name="20% - Accent4 9 2" xfId="698"/>
    <cellStyle name="20% - Accent5 10" xfId="699"/>
    <cellStyle name="20% - Accent5 10 2" xfId="700"/>
    <cellStyle name="20% - Accent5 11" xfId="701"/>
    <cellStyle name="20% - Accent5 11 2" xfId="702"/>
    <cellStyle name="20% - Accent5 12" xfId="703"/>
    <cellStyle name="20% - Accent5 12 2" xfId="704"/>
    <cellStyle name="20% - Accent5 13" xfId="705"/>
    <cellStyle name="20% - Accent5 13 2" xfId="706"/>
    <cellStyle name="20% - Accent5 14" xfId="707"/>
    <cellStyle name="20% - Accent5 14 2" xfId="708"/>
    <cellStyle name="20% - Accent5 15" xfId="709"/>
    <cellStyle name="20% - Accent5 15 2" xfId="710"/>
    <cellStyle name="20% - Accent5 16" xfId="711"/>
    <cellStyle name="20% - Accent5 16 2" xfId="712"/>
    <cellStyle name="20% - Accent5 17" xfId="713"/>
    <cellStyle name="20% - Accent5 17 2" xfId="714"/>
    <cellStyle name="20% - Accent5 18" xfId="715"/>
    <cellStyle name="20% - Accent5 18 2" xfId="716"/>
    <cellStyle name="20% - Accent5 19" xfId="717"/>
    <cellStyle name="20% - Accent5 19 2" xfId="718"/>
    <cellStyle name="20% - Accent5 2" xfId="719"/>
    <cellStyle name="20% - Accent5 2 2" xfId="720"/>
    <cellStyle name="20% - Accent5 2 2 2" xfId="721"/>
    <cellStyle name="20% - Accent5 2 2 2 2" xfId="722"/>
    <cellStyle name="20% - Accent5 2 2 3" xfId="723"/>
    <cellStyle name="20% - Accent5 2 3" xfId="724"/>
    <cellStyle name="20% - Accent5 2 3 2" xfId="725"/>
    <cellStyle name="20% - Accent5 2 4" xfId="726"/>
    <cellStyle name="20% - Accent5 2_AE_FC_QuoteMaster" xfId="727"/>
    <cellStyle name="20% - Accent5 20" xfId="728"/>
    <cellStyle name="20% - Accent5 20 2" xfId="729"/>
    <cellStyle name="20% - Accent5 21" xfId="730"/>
    <cellStyle name="20% - Accent5 21 2" xfId="731"/>
    <cellStyle name="20% - Accent5 22" xfId="732"/>
    <cellStyle name="20% - Accent5 22 2" xfId="733"/>
    <cellStyle name="20% - Accent5 23" xfId="734"/>
    <cellStyle name="20% - Accent5 23 2" xfId="735"/>
    <cellStyle name="20% - Accent5 24" xfId="736"/>
    <cellStyle name="20% - Accent5 24 2" xfId="737"/>
    <cellStyle name="20% - Accent5 25" xfId="738"/>
    <cellStyle name="20% - Accent5 25 2" xfId="739"/>
    <cellStyle name="20% - Accent5 26" xfId="740"/>
    <cellStyle name="20% - Accent5 26 2" xfId="741"/>
    <cellStyle name="20% - Accent5 27" xfId="742"/>
    <cellStyle name="20% - Accent5 27 2" xfId="743"/>
    <cellStyle name="20% - Accent5 28" xfId="744"/>
    <cellStyle name="20% - Accent5 28 2" xfId="745"/>
    <cellStyle name="20% - Accent5 29" xfId="746"/>
    <cellStyle name="20% - Accent5 29 2" xfId="747"/>
    <cellStyle name="20% - Accent5 3" xfId="748"/>
    <cellStyle name="20% - Accent5 3 2" xfId="749"/>
    <cellStyle name="20% - Accent5 3 2 2" xfId="750"/>
    <cellStyle name="20% - Accent5 3 2 2 2" xfId="751"/>
    <cellStyle name="20% - Accent5 3 2 3" xfId="752"/>
    <cellStyle name="20% - Accent5 3 3" xfId="753"/>
    <cellStyle name="20% - Accent5 3 3 2" xfId="754"/>
    <cellStyle name="20% - Accent5 3 4" xfId="755"/>
    <cellStyle name="20% - Accent5 30" xfId="756"/>
    <cellStyle name="20% - Accent5 30 2" xfId="757"/>
    <cellStyle name="20% - Accent5 31" xfId="758"/>
    <cellStyle name="20% - Accent5 31 2" xfId="759"/>
    <cellStyle name="20% - Accent5 32" xfId="760"/>
    <cellStyle name="20% - Accent5 32 2" xfId="761"/>
    <cellStyle name="20% - Accent5 33" xfId="762"/>
    <cellStyle name="20% - Accent5 33 2" xfId="763"/>
    <cellStyle name="20% - Accent5 34" xfId="764"/>
    <cellStyle name="20% - Accent5 34 2" xfId="765"/>
    <cellStyle name="20% - Accent5 35" xfId="766"/>
    <cellStyle name="20% - Accent5 35 2" xfId="767"/>
    <cellStyle name="20% - Accent5 36" xfId="768"/>
    <cellStyle name="20% - Accent5 36 2" xfId="769"/>
    <cellStyle name="20% - Accent5 37" xfId="770"/>
    <cellStyle name="20% - Accent5 37 2" xfId="771"/>
    <cellStyle name="20% - Accent5 38" xfId="772"/>
    <cellStyle name="20% - Accent5 38 2" xfId="773"/>
    <cellStyle name="20% - Accent5 39" xfId="774"/>
    <cellStyle name="20% - Accent5 39 2" xfId="775"/>
    <cellStyle name="20% - Accent5 4" xfId="776"/>
    <cellStyle name="20% - Accent5 4 2" xfId="777"/>
    <cellStyle name="20% - Accent5 4 2 2" xfId="778"/>
    <cellStyle name="20% - Accent5 4 3" xfId="779"/>
    <cellStyle name="20% - Accent5 40" xfId="780"/>
    <cellStyle name="20% - Accent5 40 2" xfId="781"/>
    <cellStyle name="20% - Accent5 41" xfId="782"/>
    <cellStyle name="20% - Accent5 41 2" xfId="783"/>
    <cellStyle name="20% - Accent5 42" xfId="784"/>
    <cellStyle name="20% - Accent5 42 2" xfId="785"/>
    <cellStyle name="20% - Accent5 43" xfId="786"/>
    <cellStyle name="20% - Accent5 43 2" xfId="787"/>
    <cellStyle name="20% - Accent5 44" xfId="788"/>
    <cellStyle name="20% - Accent5 44 2" xfId="789"/>
    <cellStyle name="20% - Accent5 45" xfId="790"/>
    <cellStyle name="20% - Accent5 45 2" xfId="791"/>
    <cellStyle name="20% - Accent5 46" xfId="792"/>
    <cellStyle name="20% - Accent5 46 2" xfId="793"/>
    <cellStyle name="20% - Accent5 47" xfId="794"/>
    <cellStyle name="20% - Accent5 47 2" xfId="795"/>
    <cellStyle name="20% - Accent5 48" xfId="796"/>
    <cellStyle name="20% - Accent5 48 2" xfId="797"/>
    <cellStyle name="20% - Accent5 49" xfId="798"/>
    <cellStyle name="20% - Accent5 49 2" xfId="799"/>
    <cellStyle name="20% - Accent5 5" xfId="800"/>
    <cellStyle name="20% - Accent5 5 2" xfId="801"/>
    <cellStyle name="20% - Accent5 50" xfId="802"/>
    <cellStyle name="20% - Accent5 50 2" xfId="803"/>
    <cellStyle name="20% - Accent5 51" xfId="804"/>
    <cellStyle name="20% - Accent5 51 2" xfId="805"/>
    <cellStyle name="20% - Accent5 52" xfId="806"/>
    <cellStyle name="20% - Accent5 52 2" xfId="807"/>
    <cellStyle name="20% - Accent5 53" xfId="808"/>
    <cellStyle name="20% - Accent5 53 2" xfId="809"/>
    <cellStyle name="20% - Accent5 54" xfId="810"/>
    <cellStyle name="20% - Accent5 54 2" xfId="811"/>
    <cellStyle name="20% - Accent5 55" xfId="812"/>
    <cellStyle name="20% - Accent5 55 2" xfId="813"/>
    <cellStyle name="20% - Accent5 56" xfId="814"/>
    <cellStyle name="20% - Accent5 56 2" xfId="815"/>
    <cellStyle name="20% - Accent5 57" xfId="816"/>
    <cellStyle name="20% - Accent5 57 2" xfId="817"/>
    <cellStyle name="20% - Accent5 58" xfId="818"/>
    <cellStyle name="20% - Accent5 58 2" xfId="819"/>
    <cellStyle name="20% - Accent5 59" xfId="820"/>
    <cellStyle name="20% - Accent5 59 2" xfId="821"/>
    <cellStyle name="20% - Accent5 6" xfId="822"/>
    <cellStyle name="20% - Accent5 6 2" xfId="823"/>
    <cellStyle name="20% - Accent5 60" xfId="824"/>
    <cellStyle name="20% - Accent5 60 2" xfId="825"/>
    <cellStyle name="20% - Accent5 61" xfId="826"/>
    <cellStyle name="20% - Accent5 61 2" xfId="827"/>
    <cellStyle name="20% - Accent5 62" xfId="828"/>
    <cellStyle name="20% - Accent5 62 2" xfId="829"/>
    <cellStyle name="20% - Accent5 63" xfId="830"/>
    <cellStyle name="20% - Accent5 63 2" xfId="831"/>
    <cellStyle name="20% - Accent5 64" xfId="832"/>
    <cellStyle name="20% - Accent5 64 2" xfId="833"/>
    <cellStyle name="20% - Accent5 65" xfId="834"/>
    <cellStyle name="20% - Accent5 65 2" xfId="835"/>
    <cellStyle name="20% - Accent5 66" xfId="836"/>
    <cellStyle name="20% - Accent5 66 2" xfId="837"/>
    <cellStyle name="20% - Accent5 67" xfId="838"/>
    <cellStyle name="20% - Accent5 67 2" xfId="839"/>
    <cellStyle name="20% - Accent5 68" xfId="840"/>
    <cellStyle name="20% - Accent5 68 2" xfId="841"/>
    <cellStyle name="20% - Accent5 69" xfId="842"/>
    <cellStyle name="20% - Accent5 69 2" xfId="843"/>
    <cellStyle name="20% - Accent5 7" xfId="844"/>
    <cellStyle name="20% - Accent5 7 2" xfId="845"/>
    <cellStyle name="20% - Accent5 70" xfId="846"/>
    <cellStyle name="20% - Accent5 70 2" xfId="847"/>
    <cellStyle name="20% - Accent5 8" xfId="848"/>
    <cellStyle name="20% - Accent5 8 2" xfId="849"/>
    <cellStyle name="20% - Accent5 9" xfId="850"/>
    <cellStyle name="20% - Accent5 9 2" xfId="851"/>
    <cellStyle name="20% - Accent6 10" xfId="852"/>
    <cellStyle name="20% - Accent6 10 2" xfId="853"/>
    <cellStyle name="20% - Accent6 11" xfId="854"/>
    <cellStyle name="20% - Accent6 11 2" xfId="855"/>
    <cellStyle name="20% - Accent6 12" xfId="856"/>
    <cellStyle name="20% - Accent6 12 2" xfId="857"/>
    <cellStyle name="20% - Accent6 13" xfId="858"/>
    <cellStyle name="20% - Accent6 13 2" xfId="859"/>
    <cellStyle name="20% - Accent6 14" xfId="860"/>
    <cellStyle name="20% - Accent6 14 2" xfId="861"/>
    <cellStyle name="20% - Accent6 15" xfId="862"/>
    <cellStyle name="20% - Accent6 15 2" xfId="863"/>
    <cellStyle name="20% - Accent6 16" xfId="864"/>
    <cellStyle name="20% - Accent6 16 2" xfId="865"/>
    <cellStyle name="20% - Accent6 17" xfId="866"/>
    <cellStyle name="20% - Accent6 17 2" xfId="867"/>
    <cellStyle name="20% - Accent6 18" xfId="868"/>
    <cellStyle name="20% - Accent6 18 2" xfId="869"/>
    <cellStyle name="20% - Accent6 19" xfId="870"/>
    <cellStyle name="20% - Accent6 19 2" xfId="871"/>
    <cellStyle name="20% - Accent6 2" xfId="872"/>
    <cellStyle name="20% - Accent6 2 2" xfId="873"/>
    <cellStyle name="20% - Accent6 2 2 2" xfId="874"/>
    <cellStyle name="20% - Accent6 2 2 2 2" xfId="875"/>
    <cellStyle name="20% - Accent6 2 2 3" xfId="876"/>
    <cellStyle name="20% - Accent6 2 3" xfId="877"/>
    <cellStyle name="20% - Accent6 2 3 2" xfId="878"/>
    <cellStyle name="20% - Accent6 2 4" xfId="879"/>
    <cellStyle name="20% - Accent6 2_AE_FC_QuoteMaster" xfId="880"/>
    <cellStyle name="20% - Accent6 20" xfId="881"/>
    <cellStyle name="20% - Accent6 20 2" xfId="882"/>
    <cellStyle name="20% - Accent6 21" xfId="883"/>
    <cellStyle name="20% - Accent6 21 2" xfId="884"/>
    <cellStyle name="20% - Accent6 22" xfId="885"/>
    <cellStyle name="20% - Accent6 22 2" xfId="886"/>
    <cellStyle name="20% - Accent6 23" xfId="887"/>
    <cellStyle name="20% - Accent6 23 2" xfId="888"/>
    <cellStyle name="20% - Accent6 24" xfId="889"/>
    <cellStyle name="20% - Accent6 24 2" xfId="890"/>
    <cellStyle name="20% - Accent6 25" xfId="891"/>
    <cellStyle name="20% - Accent6 25 2" xfId="892"/>
    <cellStyle name="20% - Accent6 26" xfId="893"/>
    <cellStyle name="20% - Accent6 26 2" xfId="894"/>
    <cellStyle name="20% - Accent6 27" xfId="895"/>
    <cellStyle name="20% - Accent6 27 2" xfId="896"/>
    <cellStyle name="20% - Accent6 28" xfId="897"/>
    <cellStyle name="20% - Accent6 28 2" xfId="898"/>
    <cellStyle name="20% - Accent6 29" xfId="899"/>
    <cellStyle name="20% - Accent6 29 2" xfId="900"/>
    <cellStyle name="20% - Accent6 3" xfId="901"/>
    <cellStyle name="20% - Accent6 3 2" xfId="902"/>
    <cellStyle name="20% - Accent6 3 2 2" xfId="903"/>
    <cellStyle name="20% - Accent6 3 2 2 2" xfId="904"/>
    <cellStyle name="20% - Accent6 3 2 3" xfId="905"/>
    <cellStyle name="20% - Accent6 3 3" xfId="906"/>
    <cellStyle name="20% - Accent6 3 3 2" xfId="907"/>
    <cellStyle name="20% - Accent6 3 4" xfId="908"/>
    <cellStyle name="20% - Accent6 30" xfId="909"/>
    <cellStyle name="20% - Accent6 30 2" xfId="910"/>
    <cellStyle name="20% - Accent6 31" xfId="911"/>
    <cellStyle name="20% - Accent6 31 2" xfId="912"/>
    <cellStyle name="20% - Accent6 32" xfId="913"/>
    <cellStyle name="20% - Accent6 32 2" xfId="914"/>
    <cellStyle name="20% - Accent6 33" xfId="915"/>
    <cellStyle name="20% - Accent6 33 2" xfId="916"/>
    <cellStyle name="20% - Accent6 34" xfId="917"/>
    <cellStyle name="20% - Accent6 34 2" xfId="918"/>
    <cellStyle name="20% - Accent6 35" xfId="919"/>
    <cellStyle name="20% - Accent6 35 2" xfId="920"/>
    <cellStyle name="20% - Accent6 36" xfId="921"/>
    <cellStyle name="20% - Accent6 36 2" xfId="922"/>
    <cellStyle name="20% - Accent6 37" xfId="923"/>
    <cellStyle name="20% - Accent6 37 2" xfId="924"/>
    <cellStyle name="20% - Accent6 38" xfId="925"/>
    <cellStyle name="20% - Accent6 38 2" xfId="926"/>
    <cellStyle name="20% - Accent6 39" xfId="927"/>
    <cellStyle name="20% - Accent6 39 2" xfId="928"/>
    <cellStyle name="20% - Accent6 4" xfId="929"/>
    <cellStyle name="20% - Accent6 4 2" xfId="930"/>
    <cellStyle name="20% - Accent6 4 2 2" xfId="931"/>
    <cellStyle name="20% - Accent6 4 3" xfId="932"/>
    <cellStyle name="20% - Accent6 40" xfId="933"/>
    <cellStyle name="20% - Accent6 40 2" xfId="934"/>
    <cellStyle name="20% - Accent6 41" xfId="935"/>
    <cellStyle name="20% - Accent6 41 2" xfId="936"/>
    <cellStyle name="20% - Accent6 42" xfId="937"/>
    <cellStyle name="20% - Accent6 42 2" xfId="938"/>
    <cellStyle name="20% - Accent6 43" xfId="939"/>
    <cellStyle name="20% - Accent6 43 2" xfId="940"/>
    <cellStyle name="20% - Accent6 44" xfId="941"/>
    <cellStyle name="20% - Accent6 44 2" xfId="942"/>
    <cellStyle name="20% - Accent6 45" xfId="943"/>
    <cellStyle name="20% - Accent6 45 2" xfId="944"/>
    <cellStyle name="20% - Accent6 46" xfId="945"/>
    <cellStyle name="20% - Accent6 46 2" xfId="946"/>
    <cellStyle name="20% - Accent6 47" xfId="947"/>
    <cellStyle name="20% - Accent6 47 2" xfId="948"/>
    <cellStyle name="20% - Accent6 48" xfId="949"/>
    <cellStyle name="20% - Accent6 48 2" xfId="950"/>
    <cellStyle name="20% - Accent6 49" xfId="951"/>
    <cellStyle name="20% - Accent6 49 2" xfId="952"/>
    <cellStyle name="20% - Accent6 5" xfId="953"/>
    <cellStyle name="20% - Accent6 5 2" xfId="954"/>
    <cellStyle name="20% - Accent6 50" xfId="955"/>
    <cellStyle name="20% - Accent6 50 2" xfId="956"/>
    <cellStyle name="20% - Accent6 51" xfId="957"/>
    <cellStyle name="20% - Accent6 51 2" xfId="958"/>
    <cellStyle name="20% - Accent6 52" xfId="959"/>
    <cellStyle name="20% - Accent6 52 2" xfId="960"/>
    <cellStyle name="20% - Accent6 53" xfId="961"/>
    <cellStyle name="20% - Accent6 53 2" xfId="962"/>
    <cellStyle name="20% - Accent6 54" xfId="963"/>
    <cellStyle name="20% - Accent6 54 2" xfId="964"/>
    <cellStyle name="20% - Accent6 55" xfId="965"/>
    <cellStyle name="20% - Accent6 55 2" xfId="966"/>
    <cellStyle name="20% - Accent6 56" xfId="967"/>
    <cellStyle name="20% - Accent6 56 2" xfId="968"/>
    <cellStyle name="20% - Accent6 57" xfId="969"/>
    <cellStyle name="20% - Accent6 57 2" xfId="970"/>
    <cellStyle name="20% - Accent6 58" xfId="971"/>
    <cellStyle name="20% - Accent6 58 2" xfId="972"/>
    <cellStyle name="20% - Accent6 59" xfId="973"/>
    <cellStyle name="20% - Accent6 59 2" xfId="974"/>
    <cellStyle name="20% - Accent6 6" xfId="975"/>
    <cellStyle name="20% - Accent6 6 2" xfId="976"/>
    <cellStyle name="20% - Accent6 60" xfId="977"/>
    <cellStyle name="20% - Accent6 60 2" xfId="978"/>
    <cellStyle name="20% - Accent6 61" xfId="979"/>
    <cellStyle name="20% - Accent6 61 2" xfId="980"/>
    <cellStyle name="20% - Accent6 62" xfId="981"/>
    <cellStyle name="20% - Accent6 62 2" xfId="982"/>
    <cellStyle name="20% - Accent6 63" xfId="983"/>
    <cellStyle name="20% - Accent6 63 2" xfId="984"/>
    <cellStyle name="20% - Accent6 64" xfId="985"/>
    <cellStyle name="20% - Accent6 64 2" xfId="986"/>
    <cellStyle name="20% - Accent6 65" xfId="987"/>
    <cellStyle name="20% - Accent6 65 2" xfId="988"/>
    <cellStyle name="20% - Accent6 66" xfId="989"/>
    <cellStyle name="20% - Accent6 66 2" xfId="990"/>
    <cellStyle name="20% - Accent6 67" xfId="991"/>
    <cellStyle name="20% - Accent6 67 2" xfId="992"/>
    <cellStyle name="20% - Accent6 68" xfId="993"/>
    <cellStyle name="20% - Accent6 68 2" xfId="994"/>
    <cellStyle name="20% - Accent6 69" xfId="995"/>
    <cellStyle name="20% - Accent6 69 2" xfId="996"/>
    <cellStyle name="20% - Accent6 7" xfId="997"/>
    <cellStyle name="20% - Accent6 7 2" xfId="998"/>
    <cellStyle name="20% - Accent6 70" xfId="999"/>
    <cellStyle name="20% - Accent6 70 2" xfId="1000"/>
    <cellStyle name="20% - Accent6 8" xfId="1001"/>
    <cellStyle name="20% - Accent6 8 2" xfId="1002"/>
    <cellStyle name="20% - Accent6 9" xfId="1003"/>
    <cellStyle name="20% - Accent6 9 2" xfId="1004"/>
    <cellStyle name="20% - Akzent1 10" xfId="1005"/>
    <cellStyle name="20% - Akzent1 10 2" xfId="1006"/>
    <cellStyle name="20% - Akzent1 100" xfId="1007"/>
    <cellStyle name="20% - Akzent1 100 2" xfId="1008"/>
    <cellStyle name="20% - Akzent1 101" xfId="1009"/>
    <cellStyle name="20% - Akzent1 101 2" xfId="1010"/>
    <cellStyle name="20% - Akzent1 102" xfId="1011"/>
    <cellStyle name="20% - Akzent1 102 2" xfId="1012"/>
    <cellStyle name="20% - Akzent1 103" xfId="1013"/>
    <cellStyle name="20% - Akzent1 103 2" xfId="1014"/>
    <cellStyle name="20% - Akzent1 104" xfId="1015"/>
    <cellStyle name="20% - Akzent1 104 2" xfId="1016"/>
    <cellStyle name="20% - Akzent1 105" xfId="1017"/>
    <cellStyle name="20% - Akzent1 105 2" xfId="1018"/>
    <cellStyle name="20% - Akzent1 106" xfId="1019"/>
    <cellStyle name="20% - Akzent1 106 2" xfId="1020"/>
    <cellStyle name="20% - Akzent1 107" xfId="1021"/>
    <cellStyle name="20% - Akzent1 107 2" xfId="1022"/>
    <cellStyle name="20% - Akzent1 108" xfId="1023"/>
    <cellStyle name="20% - Akzent1 108 2" xfId="1024"/>
    <cellStyle name="20% - Akzent1 109" xfId="1025"/>
    <cellStyle name="20% - Akzent1 109 2" xfId="1026"/>
    <cellStyle name="20% - Akzent1 11" xfId="1027"/>
    <cellStyle name="20% - Akzent1 11 2" xfId="1028"/>
    <cellStyle name="20% - Akzent1 110" xfId="1029"/>
    <cellStyle name="20% - Akzent1 110 2" xfId="1030"/>
    <cellStyle name="20% - Akzent1 111" xfId="1031"/>
    <cellStyle name="20% - Akzent1 111 2" xfId="1032"/>
    <cellStyle name="20% - Akzent1 112" xfId="1033"/>
    <cellStyle name="20% - Akzent1 112 2" xfId="1034"/>
    <cellStyle name="20% - Akzent1 113" xfId="1035"/>
    <cellStyle name="20% - Akzent1 113 2" xfId="1036"/>
    <cellStyle name="20% - Akzent1 114" xfId="1037"/>
    <cellStyle name="20% - Akzent1 114 2" xfId="1038"/>
    <cellStyle name="20% - Akzent1 115" xfId="1039"/>
    <cellStyle name="20% - Akzent1 115 2" xfId="1040"/>
    <cellStyle name="20% - Akzent1 116" xfId="1041"/>
    <cellStyle name="20% - Akzent1 116 2" xfId="1042"/>
    <cellStyle name="20% - Akzent1 117" xfId="1043"/>
    <cellStyle name="20% - Akzent1 117 2" xfId="1044"/>
    <cellStyle name="20% - Akzent1 118" xfId="1045"/>
    <cellStyle name="20% - Akzent1 118 2" xfId="1046"/>
    <cellStyle name="20% - Akzent1 119" xfId="1047"/>
    <cellStyle name="20% - Akzent1 119 2" xfId="1048"/>
    <cellStyle name="20% - Akzent1 12" xfId="1049"/>
    <cellStyle name="20% - Akzent1 12 2" xfId="1050"/>
    <cellStyle name="20% - Akzent1 120" xfId="1051"/>
    <cellStyle name="20% - Akzent1 120 2" xfId="1052"/>
    <cellStyle name="20% - Akzent1 121" xfId="1053"/>
    <cellStyle name="20% - Akzent1 121 2" xfId="1054"/>
    <cellStyle name="20% - Akzent1 122" xfId="1055"/>
    <cellStyle name="20% - Akzent1 122 2" xfId="1056"/>
    <cellStyle name="20% - Akzent1 123" xfId="1057"/>
    <cellStyle name="20% - Akzent1 123 2" xfId="1058"/>
    <cellStyle name="20% - Akzent1 124" xfId="1059"/>
    <cellStyle name="20% - Akzent1 124 2" xfId="1060"/>
    <cellStyle name="20% - Akzent1 125" xfId="1061"/>
    <cellStyle name="20% - Akzent1 125 2" xfId="1062"/>
    <cellStyle name="20% - Akzent1 126" xfId="1063"/>
    <cellStyle name="20% - Akzent1 126 2" xfId="1064"/>
    <cellStyle name="20% - Akzent1 127" xfId="1065"/>
    <cellStyle name="20% - Akzent1 127 2" xfId="1066"/>
    <cellStyle name="20% - Akzent1 128" xfId="1067"/>
    <cellStyle name="20% - Akzent1 128 2" xfId="1068"/>
    <cellStyle name="20% - Akzent1 129" xfId="1069"/>
    <cellStyle name="20% - Akzent1 129 2" xfId="1070"/>
    <cellStyle name="20% - Akzent1 13" xfId="1071"/>
    <cellStyle name="20% - Akzent1 13 2" xfId="1072"/>
    <cellStyle name="20% - Akzent1 130" xfId="1073"/>
    <cellStyle name="20% - Akzent1 130 2" xfId="1074"/>
    <cellStyle name="20% - Akzent1 131" xfId="1075"/>
    <cellStyle name="20% - Akzent1 131 2" xfId="1076"/>
    <cellStyle name="20% - Akzent1 132" xfId="1077"/>
    <cellStyle name="20% - Akzent1 132 2" xfId="1078"/>
    <cellStyle name="20% - Akzent1 133" xfId="1079"/>
    <cellStyle name="20% - Akzent1 133 2" xfId="1080"/>
    <cellStyle name="20% - Akzent1 134" xfId="1081"/>
    <cellStyle name="20% - Akzent1 134 2" xfId="1082"/>
    <cellStyle name="20% - Akzent1 135" xfId="1083"/>
    <cellStyle name="20% - Akzent1 135 2" xfId="1084"/>
    <cellStyle name="20% - Akzent1 136" xfId="1085"/>
    <cellStyle name="20% - Akzent1 136 2" xfId="1086"/>
    <cellStyle name="20% - Akzent1 137" xfId="1087"/>
    <cellStyle name="20% - Akzent1 137 2" xfId="1088"/>
    <cellStyle name="20% - Akzent1 138" xfId="1089"/>
    <cellStyle name="20% - Akzent1 138 2" xfId="1090"/>
    <cellStyle name="20% - Akzent1 139" xfId="1091"/>
    <cellStyle name="20% - Akzent1 139 2" xfId="1092"/>
    <cellStyle name="20% - Akzent1 14" xfId="1093"/>
    <cellStyle name="20% - Akzent1 14 2" xfId="1094"/>
    <cellStyle name="20% - Akzent1 140" xfId="1095"/>
    <cellStyle name="20% - Akzent1 140 2" xfId="1096"/>
    <cellStyle name="20% - Akzent1 141" xfId="1097"/>
    <cellStyle name="20% - Akzent1 141 2" xfId="1098"/>
    <cellStyle name="20% - Akzent1 142" xfId="1099"/>
    <cellStyle name="20% - Akzent1 142 2" xfId="1100"/>
    <cellStyle name="20% - Akzent1 143" xfId="1101"/>
    <cellStyle name="20% - Akzent1 143 2" xfId="1102"/>
    <cellStyle name="20% - Akzent1 144" xfId="1103"/>
    <cellStyle name="20% - Akzent1 144 2" xfId="1104"/>
    <cellStyle name="20% - Akzent1 145" xfId="1105"/>
    <cellStyle name="20% - Akzent1 145 2" xfId="1106"/>
    <cellStyle name="20% - Akzent1 146" xfId="1107"/>
    <cellStyle name="20% - Akzent1 146 2" xfId="1108"/>
    <cellStyle name="20% - Akzent1 147" xfId="1109"/>
    <cellStyle name="20% - Akzent1 147 2" xfId="1110"/>
    <cellStyle name="20% - Akzent1 148" xfId="1111"/>
    <cellStyle name="20% - Akzent1 148 2" xfId="1112"/>
    <cellStyle name="20% - Akzent1 149" xfId="1113"/>
    <cellStyle name="20% - Akzent1 149 2" xfId="1114"/>
    <cellStyle name="20% - Akzent1 15" xfId="1115"/>
    <cellStyle name="20% - Akzent1 15 2" xfId="1116"/>
    <cellStyle name="20% - Akzent1 150" xfId="1117"/>
    <cellStyle name="20% - Akzent1 150 2" xfId="1118"/>
    <cellStyle name="20% - Akzent1 151" xfId="1119"/>
    <cellStyle name="20% - Akzent1 151 2" xfId="1120"/>
    <cellStyle name="20% - Akzent1 16" xfId="1121"/>
    <cellStyle name="20% - Akzent1 16 2" xfId="1122"/>
    <cellStyle name="20% - Akzent1 17" xfId="1123"/>
    <cellStyle name="20% - Akzent1 17 2" xfId="1124"/>
    <cellStyle name="20% - Akzent1 18" xfId="1125"/>
    <cellStyle name="20% - Akzent1 18 2" xfId="1126"/>
    <cellStyle name="20% - Akzent1 19" xfId="1127"/>
    <cellStyle name="20% - Akzent1 19 2" xfId="1128"/>
    <cellStyle name="20% - Akzent1 2" xfId="1129"/>
    <cellStyle name="20% - Akzent1 2 2" xfId="1130"/>
    <cellStyle name="20% - Akzent1 2 3" xfId="1131"/>
    <cellStyle name="20% - Akzent1 2 4" xfId="1132"/>
    <cellStyle name="20% - Akzent1 2 4 2" xfId="1133"/>
    <cellStyle name="20% - Akzent1 2 5" xfId="1134"/>
    <cellStyle name="20% - Akzent1 20" xfId="1135"/>
    <cellStyle name="20% - Akzent1 20 2" xfId="1136"/>
    <cellStyle name="20% - Akzent1 21" xfId="1137"/>
    <cellStyle name="20% - Akzent1 21 2" xfId="1138"/>
    <cellStyle name="20% - Akzent1 22" xfId="1139"/>
    <cellStyle name="20% - Akzent1 22 2" xfId="1140"/>
    <cellStyle name="20% - Akzent1 23" xfId="1141"/>
    <cellStyle name="20% - Akzent1 23 2" xfId="1142"/>
    <cellStyle name="20% - Akzent1 24" xfId="1143"/>
    <cellStyle name="20% - Akzent1 24 2" xfId="1144"/>
    <cellStyle name="20% - Akzent1 25" xfId="1145"/>
    <cellStyle name="20% - Akzent1 25 2" xfId="1146"/>
    <cellStyle name="20% - Akzent1 26" xfId="1147"/>
    <cellStyle name="20% - Akzent1 26 2" xfId="1148"/>
    <cellStyle name="20% - Akzent1 27" xfId="1149"/>
    <cellStyle name="20% - Akzent1 27 2" xfId="1150"/>
    <cellStyle name="20% - Akzent1 28" xfId="1151"/>
    <cellStyle name="20% - Akzent1 28 2" xfId="1152"/>
    <cellStyle name="20% - Akzent1 29" xfId="1153"/>
    <cellStyle name="20% - Akzent1 29 2" xfId="1154"/>
    <cellStyle name="20% - Akzent1 3" xfId="1155"/>
    <cellStyle name="20% - Akzent1 3 2" xfId="1156"/>
    <cellStyle name="20% - Akzent1 3 3" xfId="1157"/>
    <cellStyle name="20% - Akzent1 3 4" xfId="1158"/>
    <cellStyle name="20% - Akzent1 3 4 2" xfId="1159"/>
    <cellStyle name="20% - Akzent1 3 5" xfId="1160"/>
    <cellStyle name="20% - Akzent1 30" xfId="1161"/>
    <cellStyle name="20% - Akzent1 30 2" xfId="1162"/>
    <cellStyle name="20% - Akzent1 31" xfId="1163"/>
    <cellStyle name="20% - Akzent1 31 2" xfId="1164"/>
    <cellStyle name="20% - Akzent1 32" xfId="1165"/>
    <cellStyle name="20% - Akzent1 32 2" xfId="1166"/>
    <cellStyle name="20% - Akzent1 33" xfId="1167"/>
    <cellStyle name="20% - Akzent1 33 2" xfId="1168"/>
    <cellStyle name="20% - Akzent1 34" xfId="1169"/>
    <cellStyle name="20% - Akzent1 34 2" xfId="1170"/>
    <cellStyle name="20% - Akzent1 35" xfId="1171"/>
    <cellStyle name="20% - Akzent1 35 2" xfId="1172"/>
    <cellStyle name="20% - Akzent1 36" xfId="1173"/>
    <cellStyle name="20% - Akzent1 36 2" xfId="1174"/>
    <cellStyle name="20% - Akzent1 37" xfId="1175"/>
    <cellStyle name="20% - Akzent1 37 2" xfId="1176"/>
    <cellStyle name="20% - Akzent1 38" xfId="1177"/>
    <cellStyle name="20% - Akzent1 38 2" xfId="1178"/>
    <cellStyle name="20% - Akzent1 39" xfId="1179"/>
    <cellStyle name="20% - Akzent1 39 2" xfId="1180"/>
    <cellStyle name="20% - Akzent1 4" xfId="1181"/>
    <cellStyle name="20% - Akzent1 4 2" xfId="1182"/>
    <cellStyle name="20% - Akzent1 4 3" xfId="1183"/>
    <cellStyle name="20% - Akzent1 4 4" xfId="1184"/>
    <cellStyle name="20% - Akzent1 4 4 2" xfId="1185"/>
    <cellStyle name="20% - Akzent1 4 5" xfId="1186"/>
    <cellStyle name="20% - Akzent1 40" xfId="1187"/>
    <cellStyle name="20% - Akzent1 40 2" xfId="1188"/>
    <cellStyle name="20% - Akzent1 41" xfId="1189"/>
    <cellStyle name="20% - Akzent1 41 2" xfId="1190"/>
    <cellStyle name="20% - Akzent1 42" xfId="1191"/>
    <cellStyle name="20% - Akzent1 42 2" xfId="1192"/>
    <cellStyle name="20% - Akzent1 43" xfId="1193"/>
    <cellStyle name="20% - Akzent1 43 2" xfId="1194"/>
    <cellStyle name="20% - Akzent1 44" xfId="1195"/>
    <cellStyle name="20% - Akzent1 44 2" xfId="1196"/>
    <cellStyle name="20% - Akzent1 45" xfId="1197"/>
    <cellStyle name="20% - Akzent1 45 2" xfId="1198"/>
    <cellStyle name="20% - Akzent1 46" xfId="1199"/>
    <cellStyle name="20% - Akzent1 46 2" xfId="1200"/>
    <cellStyle name="20% - Akzent1 47" xfId="1201"/>
    <cellStyle name="20% - Akzent1 47 2" xfId="1202"/>
    <cellStyle name="20% - Akzent1 48" xfId="1203"/>
    <cellStyle name="20% - Akzent1 48 2" xfId="1204"/>
    <cellStyle name="20% - Akzent1 49" xfId="1205"/>
    <cellStyle name="20% - Akzent1 49 2" xfId="1206"/>
    <cellStyle name="20% - Akzent1 5" xfId="1207"/>
    <cellStyle name="20% - Akzent1 5 2" xfId="1208"/>
    <cellStyle name="20% - Akzent1 50" xfId="1209"/>
    <cellStyle name="20% - Akzent1 50 2" xfId="1210"/>
    <cellStyle name="20% - Akzent1 51" xfId="1211"/>
    <cellStyle name="20% - Akzent1 51 2" xfId="1212"/>
    <cellStyle name="20% - Akzent1 52" xfId="1213"/>
    <cellStyle name="20% - Akzent1 52 2" xfId="1214"/>
    <cellStyle name="20% - Akzent1 53" xfId="1215"/>
    <cellStyle name="20% - Akzent1 53 2" xfId="1216"/>
    <cellStyle name="20% - Akzent1 54" xfId="1217"/>
    <cellStyle name="20% - Akzent1 54 2" xfId="1218"/>
    <cellStyle name="20% - Akzent1 55" xfId="1219"/>
    <cellStyle name="20% - Akzent1 55 2" xfId="1220"/>
    <cellStyle name="20% - Akzent1 56" xfId="1221"/>
    <cellStyle name="20% - Akzent1 56 2" xfId="1222"/>
    <cellStyle name="20% - Akzent1 57" xfId="1223"/>
    <cellStyle name="20% - Akzent1 57 2" xfId="1224"/>
    <cellStyle name="20% - Akzent1 58" xfId="1225"/>
    <cellStyle name="20% - Akzent1 58 2" xfId="1226"/>
    <cellStyle name="20% - Akzent1 59" xfId="1227"/>
    <cellStyle name="20% - Akzent1 59 2" xfId="1228"/>
    <cellStyle name="20% - Akzent1 6" xfId="1229"/>
    <cellStyle name="20% - Akzent1 6 2" xfId="1230"/>
    <cellStyle name="20% - Akzent1 60" xfId="1231"/>
    <cellStyle name="20% - Akzent1 60 2" xfId="1232"/>
    <cellStyle name="20% - Akzent1 61" xfId="1233"/>
    <cellStyle name="20% - Akzent1 61 2" xfId="1234"/>
    <cellStyle name="20% - Akzent1 62" xfId="1235"/>
    <cellStyle name="20% - Akzent1 62 2" xfId="1236"/>
    <cellStyle name="20% - Akzent1 63" xfId="1237"/>
    <cellStyle name="20% - Akzent1 63 2" xfId="1238"/>
    <cellStyle name="20% - Akzent1 64" xfId="1239"/>
    <cellStyle name="20% - Akzent1 64 2" xfId="1240"/>
    <cellStyle name="20% - Akzent1 65" xfId="1241"/>
    <cellStyle name="20% - Akzent1 65 2" xfId="1242"/>
    <cellStyle name="20% - Akzent1 66" xfId="1243"/>
    <cellStyle name="20% - Akzent1 66 2" xfId="1244"/>
    <cellStyle name="20% - Akzent1 67" xfId="1245"/>
    <cellStyle name="20% - Akzent1 67 2" xfId="1246"/>
    <cellStyle name="20% - Akzent1 68" xfId="1247"/>
    <cellStyle name="20% - Akzent1 68 2" xfId="1248"/>
    <cellStyle name="20% - Akzent1 69" xfId="1249"/>
    <cellStyle name="20% - Akzent1 69 2" xfId="1250"/>
    <cellStyle name="20% - Akzent1 7" xfId="1251"/>
    <cellStyle name="20% - Akzent1 7 2" xfId="1252"/>
    <cellStyle name="20% - Akzent1 70" xfId="1253"/>
    <cellStyle name="20% - Akzent1 70 2" xfId="1254"/>
    <cellStyle name="20% - Akzent1 71" xfId="1255"/>
    <cellStyle name="20% - Akzent1 71 2" xfId="1256"/>
    <cellStyle name="20% - Akzent1 72" xfId="1257"/>
    <cellStyle name="20% - Akzent1 72 2" xfId="1258"/>
    <cellStyle name="20% - Akzent1 73" xfId="1259"/>
    <cellStyle name="20% - Akzent1 73 2" xfId="1260"/>
    <cellStyle name="20% - Akzent1 74" xfId="1261"/>
    <cellStyle name="20% - Akzent1 74 2" xfId="1262"/>
    <cellStyle name="20% - Akzent1 75" xfId="1263"/>
    <cellStyle name="20% - Akzent1 75 2" xfId="1264"/>
    <cellStyle name="20% - Akzent1 76" xfId="1265"/>
    <cellStyle name="20% - Akzent1 76 2" xfId="1266"/>
    <cellStyle name="20% - Akzent1 77" xfId="1267"/>
    <cellStyle name="20% - Akzent1 77 2" xfId="1268"/>
    <cellStyle name="20% - Akzent1 78" xfId="1269"/>
    <cellStyle name="20% - Akzent1 78 2" xfId="1270"/>
    <cellStyle name="20% - Akzent1 79" xfId="1271"/>
    <cellStyle name="20% - Akzent1 79 2" xfId="1272"/>
    <cellStyle name="20% - Akzent1 8" xfId="1273"/>
    <cellStyle name="20% - Akzent1 8 2" xfId="1274"/>
    <cellStyle name="20% - Akzent1 80" xfId="1275"/>
    <cellStyle name="20% - Akzent1 80 2" xfId="1276"/>
    <cellStyle name="20% - Akzent1 81" xfId="1277"/>
    <cellStyle name="20% - Akzent1 81 2" xfId="1278"/>
    <cellStyle name="20% - Akzent1 82" xfId="1279"/>
    <cellStyle name="20% - Akzent1 82 2" xfId="1280"/>
    <cellStyle name="20% - Akzent1 83" xfId="1281"/>
    <cellStyle name="20% - Akzent1 83 2" xfId="1282"/>
    <cellStyle name="20% - Akzent1 84" xfId="1283"/>
    <cellStyle name="20% - Akzent1 84 2" xfId="1284"/>
    <cellStyle name="20% - Akzent1 85" xfId="1285"/>
    <cellStyle name="20% - Akzent1 85 2" xfId="1286"/>
    <cellStyle name="20% - Akzent1 86" xfId="1287"/>
    <cellStyle name="20% - Akzent1 86 2" xfId="1288"/>
    <cellStyle name="20% - Akzent1 87" xfId="1289"/>
    <cellStyle name="20% - Akzent1 87 2" xfId="1290"/>
    <cellStyle name="20% - Akzent1 88" xfId="1291"/>
    <cellStyle name="20% - Akzent1 88 2" xfId="1292"/>
    <cellStyle name="20% - Akzent1 89" xfId="1293"/>
    <cellStyle name="20% - Akzent1 89 2" xfId="1294"/>
    <cellStyle name="20% - Akzent1 9" xfId="1295"/>
    <cellStyle name="20% - Akzent1 9 2" xfId="1296"/>
    <cellStyle name="20% - Akzent1 90" xfId="1297"/>
    <cellStyle name="20% - Akzent1 90 2" xfId="1298"/>
    <cellStyle name="20% - Akzent1 91" xfId="1299"/>
    <cellStyle name="20% - Akzent1 91 2" xfId="1300"/>
    <cellStyle name="20% - Akzent1 92" xfId="1301"/>
    <cellStyle name="20% - Akzent1 92 2" xfId="1302"/>
    <cellStyle name="20% - Akzent1 93" xfId="1303"/>
    <cellStyle name="20% - Akzent1 93 2" xfId="1304"/>
    <cellStyle name="20% - Akzent1 94" xfId="1305"/>
    <cellStyle name="20% - Akzent1 94 2" xfId="1306"/>
    <cellStyle name="20% - Akzent1 95" xfId="1307"/>
    <cellStyle name="20% - Akzent1 95 2" xfId="1308"/>
    <cellStyle name="20% - Akzent1 96" xfId="1309"/>
    <cellStyle name="20% - Akzent1 96 2" xfId="1310"/>
    <cellStyle name="20% - Akzent1 97" xfId="1311"/>
    <cellStyle name="20% - Akzent1 97 2" xfId="1312"/>
    <cellStyle name="20% - Akzent1 98" xfId="1313"/>
    <cellStyle name="20% - Akzent1 98 2" xfId="1314"/>
    <cellStyle name="20% - Akzent1 99" xfId="1315"/>
    <cellStyle name="20% - Akzent1 99 2" xfId="1316"/>
    <cellStyle name="20% - Akzent2 10" xfId="1317"/>
    <cellStyle name="20% - Akzent2 10 2" xfId="1318"/>
    <cellStyle name="20% - Akzent2 100" xfId="1319"/>
    <cellStyle name="20% - Akzent2 100 2" xfId="1320"/>
    <cellStyle name="20% - Akzent2 101" xfId="1321"/>
    <cellStyle name="20% - Akzent2 101 2" xfId="1322"/>
    <cellStyle name="20% - Akzent2 102" xfId="1323"/>
    <cellStyle name="20% - Akzent2 102 2" xfId="1324"/>
    <cellStyle name="20% - Akzent2 103" xfId="1325"/>
    <cellStyle name="20% - Akzent2 103 2" xfId="1326"/>
    <cellStyle name="20% - Akzent2 104" xfId="1327"/>
    <cellStyle name="20% - Akzent2 104 2" xfId="1328"/>
    <cellStyle name="20% - Akzent2 105" xfId="1329"/>
    <cellStyle name="20% - Akzent2 105 2" xfId="1330"/>
    <cellStyle name="20% - Akzent2 106" xfId="1331"/>
    <cellStyle name="20% - Akzent2 106 2" xfId="1332"/>
    <cellStyle name="20% - Akzent2 107" xfId="1333"/>
    <cellStyle name="20% - Akzent2 107 2" xfId="1334"/>
    <cellStyle name="20% - Akzent2 108" xfId="1335"/>
    <cellStyle name="20% - Akzent2 108 2" xfId="1336"/>
    <cellStyle name="20% - Akzent2 109" xfId="1337"/>
    <cellStyle name="20% - Akzent2 109 2" xfId="1338"/>
    <cellStyle name="20% - Akzent2 11" xfId="1339"/>
    <cellStyle name="20% - Akzent2 11 2" xfId="1340"/>
    <cellStyle name="20% - Akzent2 110" xfId="1341"/>
    <cellStyle name="20% - Akzent2 110 2" xfId="1342"/>
    <cellStyle name="20% - Akzent2 111" xfId="1343"/>
    <cellStyle name="20% - Akzent2 111 2" xfId="1344"/>
    <cellStyle name="20% - Akzent2 112" xfId="1345"/>
    <cellStyle name="20% - Akzent2 112 2" xfId="1346"/>
    <cellStyle name="20% - Akzent2 113" xfId="1347"/>
    <cellStyle name="20% - Akzent2 113 2" xfId="1348"/>
    <cellStyle name="20% - Akzent2 114" xfId="1349"/>
    <cellStyle name="20% - Akzent2 114 2" xfId="1350"/>
    <cellStyle name="20% - Akzent2 115" xfId="1351"/>
    <cellStyle name="20% - Akzent2 115 2" xfId="1352"/>
    <cellStyle name="20% - Akzent2 116" xfId="1353"/>
    <cellStyle name="20% - Akzent2 116 2" xfId="1354"/>
    <cellStyle name="20% - Akzent2 117" xfId="1355"/>
    <cellStyle name="20% - Akzent2 117 2" xfId="1356"/>
    <cellStyle name="20% - Akzent2 118" xfId="1357"/>
    <cellStyle name="20% - Akzent2 118 2" xfId="1358"/>
    <cellStyle name="20% - Akzent2 119" xfId="1359"/>
    <cellStyle name="20% - Akzent2 119 2" xfId="1360"/>
    <cellStyle name="20% - Akzent2 12" xfId="1361"/>
    <cellStyle name="20% - Akzent2 12 2" xfId="1362"/>
    <cellStyle name="20% - Akzent2 120" xfId="1363"/>
    <cellStyle name="20% - Akzent2 120 2" xfId="1364"/>
    <cellStyle name="20% - Akzent2 121" xfId="1365"/>
    <cellStyle name="20% - Akzent2 121 2" xfId="1366"/>
    <cellStyle name="20% - Akzent2 122" xfId="1367"/>
    <cellStyle name="20% - Akzent2 122 2" xfId="1368"/>
    <cellStyle name="20% - Akzent2 123" xfId="1369"/>
    <cellStyle name="20% - Akzent2 123 2" xfId="1370"/>
    <cellStyle name="20% - Akzent2 124" xfId="1371"/>
    <cellStyle name="20% - Akzent2 124 2" xfId="1372"/>
    <cellStyle name="20% - Akzent2 125" xfId="1373"/>
    <cellStyle name="20% - Akzent2 125 2" xfId="1374"/>
    <cellStyle name="20% - Akzent2 126" xfId="1375"/>
    <cellStyle name="20% - Akzent2 126 2" xfId="1376"/>
    <cellStyle name="20% - Akzent2 127" xfId="1377"/>
    <cellStyle name="20% - Akzent2 127 2" xfId="1378"/>
    <cellStyle name="20% - Akzent2 128" xfId="1379"/>
    <cellStyle name="20% - Akzent2 128 2" xfId="1380"/>
    <cellStyle name="20% - Akzent2 129" xfId="1381"/>
    <cellStyle name="20% - Akzent2 129 2" xfId="1382"/>
    <cellStyle name="20% - Akzent2 13" xfId="1383"/>
    <cellStyle name="20% - Akzent2 13 2" xfId="1384"/>
    <cellStyle name="20% - Akzent2 130" xfId="1385"/>
    <cellStyle name="20% - Akzent2 130 2" xfId="1386"/>
    <cellStyle name="20% - Akzent2 131" xfId="1387"/>
    <cellStyle name="20% - Akzent2 131 2" xfId="1388"/>
    <cellStyle name="20% - Akzent2 132" xfId="1389"/>
    <cellStyle name="20% - Akzent2 132 2" xfId="1390"/>
    <cellStyle name="20% - Akzent2 133" xfId="1391"/>
    <cellStyle name="20% - Akzent2 133 2" xfId="1392"/>
    <cellStyle name="20% - Akzent2 134" xfId="1393"/>
    <cellStyle name="20% - Akzent2 134 2" xfId="1394"/>
    <cellStyle name="20% - Akzent2 135" xfId="1395"/>
    <cellStyle name="20% - Akzent2 135 2" xfId="1396"/>
    <cellStyle name="20% - Akzent2 136" xfId="1397"/>
    <cellStyle name="20% - Akzent2 136 2" xfId="1398"/>
    <cellStyle name="20% - Akzent2 137" xfId="1399"/>
    <cellStyle name="20% - Akzent2 137 2" xfId="1400"/>
    <cellStyle name="20% - Akzent2 138" xfId="1401"/>
    <cellStyle name="20% - Akzent2 138 2" xfId="1402"/>
    <cellStyle name="20% - Akzent2 139" xfId="1403"/>
    <cellStyle name="20% - Akzent2 139 2" xfId="1404"/>
    <cellStyle name="20% - Akzent2 14" xfId="1405"/>
    <cellStyle name="20% - Akzent2 14 2" xfId="1406"/>
    <cellStyle name="20% - Akzent2 140" xfId="1407"/>
    <cellStyle name="20% - Akzent2 140 2" xfId="1408"/>
    <cellStyle name="20% - Akzent2 141" xfId="1409"/>
    <cellStyle name="20% - Akzent2 141 2" xfId="1410"/>
    <cellStyle name="20% - Akzent2 142" xfId="1411"/>
    <cellStyle name="20% - Akzent2 142 2" xfId="1412"/>
    <cellStyle name="20% - Akzent2 143" xfId="1413"/>
    <cellStyle name="20% - Akzent2 143 2" xfId="1414"/>
    <cellStyle name="20% - Akzent2 144" xfId="1415"/>
    <cellStyle name="20% - Akzent2 144 2" xfId="1416"/>
    <cellStyle name="20% - Akzent2 145" xfId="1417"/>
    <cellStyle name="20% - Akzent2 145 2" xfId="1418"/>
    <cellStyle name="20% - Akzent2 146" xfId="1419"/>
    <cellStyle name="20% - Akzent2 146 2" xfId="1420"/>
    <cellStyle name="20% - Akzent2 147" xfId="1421"/>
    <cellStyle name="20% - Akzent2 147 2" xfId="1422"/>
    <cellStyle name="20% - Akzent2 148" xfId="1423"/>
    <cellStyle name="20% - Akzent2 148 2" xfId="1424"/>
    <cellStyle name="20% - Akzent2 149" xfId="1425"/>
    <cellStyle name="20% - Akzent2 149 2" xfId="1426"/>
    <cellStyle name="20% - Akzent2 15" xfId="1427"/>
    <cellStyle name="20% - Akzent2 15 2" xfId="1428"/>
    <cellStyle name="20% - Akzent2 150" xfId="1429"/>
    <cellStyle name="20% - Akzent2 150 2" xfId="1430"/>
    <cellStyle name="20% - Akzent2 151" xfId="1431"/>
    <cellStyle name="20% - Akzent2 151 2" xfId="1432"/>
    <cellStyle name="20% - Akzent2 16" xfId="1433"/>
    <cellStyle name="20% - Akzent2 16 2" xfId="1434"/>
    <cellStyle name="20% - Akzent2 17" xfId="1435"/>
    <cellStyle name="20% - Akzent2 17 2" xfId="1436"/>
    <cellStyle name="20% - Akzent2 18" xfId="1437"/>
    <cellStyle name="20% - Akzent2 18 2" xfId="1438"/>
    <cellStyle name="20% - Akzent2 19" xfId="1439"/>
    <cellStyle name="20% - Akzent2 19 2" xfId="1440"/>
    <cellStyle name="20% - Akzent2 2" xfId="1441"/>
    <cellStyle name="20% - Akzent2 2 2" xfId="1442"/>
    <cellStyle name="20% - Akzent2 2 3" xfId="1443"/>
    <cellStyle name="20% - Akzent2 2 4" xfId="1444"/>
    <cellStyle name="20% - Akzent2 2 4 2" xfId="1445"/>
    <cellStyle name="20% - Akzent2 2 5" xfId="1446"/>
    <cellStyle name="20% - Akzent2 20" xfId="1447"/>
    <cellStyle name="20% - Akzent2 20 2" xfId="1448"/>
    <cellStyle name="20% - Akzent2 21" xfId="1449"/>
    <cellStyle name="20% - Akzent2 21 2" xfId="1450"/>
    <cellStyle name="20% - Akzent2 22" xfId="1451"/>
    <cellStyle name="20% - Akzent2 22 2" xfId="1452"/>
    <cellStyle name="20% - Akzent2 23" xfId="1453"/>
    <cellStyle name="20% - Akzent2 23 2" xfId="1454"/>
    <cellStyle name="20% - Akzent2 24" xfId="1455"/>
    <cellStyle name="20% - Akzent2 24 2" xfId="1456"/>
    <cellStyle name="20% - Akzent2 25" xfId="1457"/>
    <cellStyle name="20% - Akzent2 25 2" xfId="1458"/>
    <cellStyle name="20% - Akzent2 26" xfId="1459"/>
    <cellStyle name="20% - Akzent2 26 2" xfId="1460"/>
    <cellStyle name="20% - Akzent2 27" xfId="1461"/>
    <cellStyle name="20% - Akzent2 27 2" xfId="1462"/>
    <cellStyle name="20% - Akzent2 28" xfId="1463"/>
    <cellStyle name="20% - Akzent2 28 2" xfId="1464"/>
    <cellStyle name="20% - Akzent2 29" xfId="1465"/>
    <cellStyle name="20% - Akzent2 29 2" xfId="1466"/>
    <cellStyle name="20% - Akzent2 3" xfId="1467"/>
    <cellStyle name="20% - Akzent2 3 2" xfId="1468"/>
    <cellStyle name="20% - Akzent2 3 3" xfId="1469"/>
    <cellStyle name="20% - Akzent2 3 4" xfId="1470"/>
    <cellStyle name="20% - Akzent2 3 4 2" xfId="1471"/>
    <cellStyle name="20% - Akzent2 3 5" xfId="1472"/>
    <cellStyle name="20% - Akzent2 30" xfId="1473"/>
    <cellStyle name="20% - Akzent2 30 2" xfId="1474"/>
    <cellStyle name="20% - Akzent2 31" xfId="1475"/>
    <cellStyle name="20% - Akzent2 31 2" xfId="1476"/>
    <cellStyle name="20% - Akzent2 32" xfId="1477"/>
    <cellStyle name="20% - Akzent2 32 2" xfId="1478"/>
    <cellStyle name="20% - Akzent2 33" xfId="1479"/>
    <cellStyle name="20% - Akzent2 33 2" xfId="1480"/>
    <cellStyle name="20% - Akzent2 34" xfId="1481"/>
    <cellStyle name="20% - Akzent2 34 2" xfId="1482"/>
    <cellStyle name="20% - Akzent2 35" xfId="1483"/>
    <cellStyle name="20% - Akzent2 35 2" xfId="1484"/>
    <cellStyle name="20% - Akzent2 36" xfId="1485"/>
    <cellStyle name="20% - Akzent2 36 2" xfId="1486"/>
    <cellStyle name="20% - Akzent2 37" xfId="1487"/>
    <cellStyle name="20% - Akzent2 37 2" xfId="1488"/>
    <cellStyle name="20% - Akzent2 38" xfId="1489"/>
    <cellStyle name="20% - Akzent2 38 2" xfId="1490"/>
    <cellStyle name="20% - Akzent2 39" xfId="1491"/>
    <cellStyle name="20% - Akzent2 39 2" xfId="1492"/>
    <cellStyle name="20% - Akzent2 4" xfId="1493"/>
    <cellStyle name="20% - Akzent2 4 2" xfId="1494"/>
    <cellStyle name="20% - Akzent2 4 3" xfId="1495"/>
    <cellStyle name="20% - Akzent2 4 4" xfId="1496"/>
    <cellStyle name="20% - Akzent2 4 4 2" xfId="1497"/>
    <cellStyle name="20% - Akzent2 4 5" xfId="1498"/>
    <cellStyle name="20% - Akzent2 40" xfId="1499"/>
    <cellStyle name="20% - Akzent2 40 2" xfId="1500"/>
    <cellStyle name="20% - Akzent2 41" xfId="1501"/>
    <cellStyle name="20% - Akzent2 41 2" xfId="1502"/>
    <cellStyle name="20% - Akzent2 42" xfId="1503"/>
    <cellStyle name="20% - Akzent2 42 2" xfId="1504"/>
    <cellStyle name="20% - Akzent2 43" xfId="1505"/>
    <cellStyle name="20% - Akzent2 43 2" xfId="1506"/>
    <cellStyle name="20% - Akzent2 44" xfId="1507"/>
    <cellStyle name="20% - Akzent2 44 2" xfId="1508"/>
    <cellStyle name="20% - Akzent2 45" xfId="1509"/>
    <cellStyle name="20% - Akzent2 45 2" xfId="1510"/>
    <cellStyle name="20% - Akzent2 46" xfId="1511"/>
    <cellStyle name="20% - Akzent2 46 2" xfId="1512"/>
    <cellStyle name="20% - Akzent2 47" xfId="1513"/>
    <cellStyle name="20% - Akzent2 47 2" xfId="1514"/>
    <cellStyle name="20% - Akzent2 48" xfId="1515"/>
    <cellStyle name="20% - Akzent2 48 2" xfId="1516"/>
    <cellStyle name="20% - Akzent2 49" xfId="1517"/>
    <cellStyle name="20% - Akzent2 49 2" xfId="1518"/>
    <cellStyle name="20% - Akzent2 5" xfId="1519"/>
    <cellStyle name="20% - Akzent2 5 2" xfId="1520"/>
    <cellStyle name="20% - Akzent2 50" xfId="1521"/>
    <cellStyle name="20% - Akzent2 50 2" xfId="1522"/>
    <cellStyle name="20% - Akzent2 51" xfId="1523"/>
    <cellStyle name="20% - Akzent2 51 2" xfId="1524"/>
    <cellStyle name="20% - Akzent2 52" xfId="1525"/>
    <cellStyle name="20% - Akzent2 52 2" xfId="1526"/>
    <cellStyle name="20% - Akzent2 53" xfId="1527"/>
    <cellStyle name="20% - Akzent2 53 2" xfId="1528"/>
    <cellStyle name="20% - Akzent2 54" xfId="1529"/>
    <cellStyle name="20% - Akzent2 54 2" xfId="1530"/>
    <cellStyle name="20% - Akzent2 55" xfId="1531"/>
    <cellStyle name="20% - Akzent2 55 2" xfId="1532"/>
    <cellStyle name="20% - Akzent2 56" xfId="1533"/>
    <cellStyle name="20% - Akzent2 56 2" xfId="1534"/>
    <cellStyle name="20% - Akzent2 57" xfId="1535"/>
    <cellStyle name="20% - Akzent2 57 2" xfId="1536"/>
    <cellStyle name="20% - Akzent2 58" xfId="1537"/>
    <cellStyle name="20% - Akzent2 58 2" xfId="1538"/>
    <cellStyle name="20% - Akzent2 59" xfId="1539"/>
    <cellStyle name="20% - Akzent2 59 2" xfId="1540"/>
    <cellStyle name="20% - Akzent2 6" xfId="1541"/>
    <cellStyle name="20% - Akzent2 6 2" xfId="1542"/>
    <cellStyle name="20% - Akzent2 60" xfId="1543"/>
    <cellStyle name="20% - Akzent2 60 2" xfId="1544"/>
    <cellStyle name="20% - Akzent2 61" xfId="1545"/>
    <cellStyle name="20% - Akzent2 61 2" xfId="1546"/>
    <cellStyle name="20% - Akzent2 62" xfId="1547"/>
    <cellStyle name="20% - Akzent2 62 2" xfId="1548"/>
    <cellStyle name="20% - Akzent2 63" xfId="1549"/>
    <cellStyle name="20% - Akzent2 63 2" xfId="1550"/>
    <cellStyle name="20% - Akzent2 64" xfId="1551"/>
    <cellStyle name="20% - Akzent2 64 2" xfId="1552"/>
    <cellStyle name="20% - Akzent2 65" xfId="1553"/>
    <cellStyle name="20% - Akzent2 65 2" xfId="1554"/>
    <cellStyle name="20% - Akzent2 66" xfId="1555"/>
    <cellStyle name="20% - Akzent2 66 2" xfId="1556"/>
    <cellStyle name="20% - Akzent2 67" xfId="1557"/>
    <cellStyle name="20% - Akzent2 67 2" xfId="1558"/>
    <cellStyle name="20% - Akzent2 68" xfId="1559"/>
    <cellStyle name="20% - Akzent2 68 2" xfId="1560"/>
    <cellStyle name="20% - Akzent2 69" xfId="1561"/>
    <cellStyle name="20% - Akzent2 69 2" xfId="1562"/>
    <cellStyle name="20% - Akzent2 7" xfId="1563"/>
    <cellStyle name="20% - Akzent2 7 2" xfId="1564"/>
    <cellStyle name="20% - Akzent2 70" xfId="1565"/>
    <cellStyle name="20% - Akzent2 70 2" xfId="1566"/>
    <cellStyle name="20% - Akzent2 71" xfId="1567"/>
    <cellStyle name="20% - Akzent2 71 2" xfId="1568"/>
    <cellStyle name="20% - Akzent2 72" xfId="1569"/>
    <cellStyle name="20% - Akzent2 72 2" xfId="1570"/>
    <cellStyle name="20% - Akzent2 73" xfId="1571"/>
    <cellStyle name="20% - Akzent2 73 2" xfId="1572"/>
    <cellStyle name="20% - Akzent2 74" xfId="1573"/>
    <cellStyle name="20% - Akzent2 74 2" xfId="1574"/>
    <cellStyle name="20% - Akzent2 75" xfId="1575"/>
    <cellStyle name="20% - Akzent2 75 2" xfId="1576"/>
    <cellStyle name="20% - Akzent2 76" xfId="1577"/>
    <cellStyle name="20% - Akzent2 76 2" xfId="1578"/>
    <cellStyle name="20% - Akzent2 77" xfId="1579"/>
    <cellStyle name="20% - Akzent2 77 2" xfId="1580"/>
    <cellStyle name="20% - Akzent2 78" xfId="1581"/>
    <cellStyle name="20% - Akzent2 78 2" xfId="1582"/>
    <cellStyle name="20% - Akzent2 79" xfId="1583"/>
    <cellStyle name="20% - Akzent2 79 2" xfId="1584"/>
    <cellStyle name="20% - Akzent2 8" xfId="1585"/>
    <cellStyle name="20% - Akzent2 8 2" xfId="1586"/>
    <cellStyle name="20% - Akzent2 80" xfId="1587"/>
    <cellStyle name="20% - Akzent2 80 2" xfId="1588"/>
    <cellStyle name="20% - Akzent2 81" xfId="1589"/>
    <cellStyle name="20% - Akzent2 81 2" xfId="1590"/>
    <cellStyle name="20% - Akzent2 82" xfId="1591"/>
    <cellStyle name="20% - Akzent2 82 2" xfId="1592"/>
    <cellStyle name="20% - Akzent2 83" xfId="1593"/>
    <cellStyle name="20% - Akzent2 83 2" xfId="1594"/>
    <cellStyle name="20% - Akzent2 84" xfId="1595"/>
    <cellStyle name="20% - Akzent2 84 2" xfId="1596"/>
    <cellStyle name="20% - Akzent2 85" xfId="1597"/>
    <cellStyle name="20% - Akzent2 85 2" xfId="1598"/>
    <cellStyle name="20% - Akzent2 86" xfId="1599"/>
    <cellStyle name="20% - Akzent2 86 2" xfId="1600"/>
    <cellStyle name="20% - Akzent2 87" xfId="1601"/>
    <cellStyle name="20% - Akzent2 87 2" xfId="1602"/>
    <cellStyle name="20% - Akzent2 88" xfId="1603"/>
    <cellStyle name="20% - Akzent2 88 2" xfId="1604"/>
    <cellStyle name="20% - Akzent2 89" xfId="1605"/>
    <cellStyle name="20% - Akzent2 89 2" xfId="1606"/>
    <cellStyle name="20% - Akzent2 9" xfId="1607"/>
    <cellStyle name="20% - Akzent2 9 2" xfId="1608"/>
    <cellStyle name="20% - Akzent2 90" xfId="1609"/>
    <cellStyle name="20% - Akzent2 90 2" xfId="1610"/>
    <cellStyle name="20% - Akzent2 91" xfId="1611"/>
    <cellStyle name="20% - Akzent2 91 2" xfId="1612"/>
    <cellStyle name="20% - Akzent2 92" xfId="1613"/>
    <cellStyle name="20% - Akzent2 92 2" xfId="1614"/>
    <cellStyle name="20% - Akzent2 93" xfId="1615"/>
    <cellStyle name="20% - Akzent2 93 2" xfId="1616"/>
    <cellStyle name="20% - Akzent2 94" xfId="1617"/>
    <cellStyle name="20% - Akzent2 94 2" xfId="1618"/>
    <cellStyle name="20% - Akzent2 95" xfId="1619"/>
    <cellStyle name="20% - Akzent2 95 2" xfId="1620"/>
    <cellStyle name="20% - Akzent2 96" xfId="1621"/>
    <cellStyle name="20% - Akzent2 96 2" xfId="1622"/>
    <cellStyle name="20% - Akzent2 97" xfId="1623"/>
    <cellStyle name="20% - Akzent2 97 2" xfId="1624"/>
    <cellStyle name="20% - Akzent2 98" xfId="1625"/>
    <cellStyle name="20% - Akzent2 98 2" xfId="1626"/>
    <cellStyle name="20% - Akzent2 99" xfId="1627"/>
    <cellStyle name="20% - Akzent2 99 2" xfId="1628"/>
    <cellStyle name="20% - Akzent3 10" xfId="1629"/>
    <cellStyle name="20% - Akzent3 10 2" xfId="1630"/>
    <cellStyle name="20% - Akzent3 100" xfId="1631"/>
    <cellStyle name="20% - Akzent3 100 2" xfId="1632"/>
    <cellStyle name="20% - Akzent3 101" xfId="1633"/>
    <cellStyle name="20% - Akzent3 101 2" xfId="1634"/>
    <cellStyle name="20% - Akzent3 102" xfId="1635"/>
    <cellStyle name="20% - Akzent3 102 2" xfId="1636"/>
    <cellStyle name="20% - Akzent3 103" xfId="1637"/>
    <cellStyle name="20% - Akzent3 103 2" xfId="1638"/>
    <cellStyle name="20% - Akzent3 104" xfId="1639"/>
    <cellStyle name="20% - Akzent3 104 2" xfId="1640"/>
    <cellStyle name="20% - Akzent3 105" xfId="1641"/>
    <cellStyle name="20% - Akzent3 105 2" xfId="1642"/>
    <cellStyle name="20% - Akzent3 106" xfId="1643"/>
    <cellStyle name="20% - Akzent3 106 2" xfId="1644"/>
    <cellStyle name="20% - Akzent3 107" xfId="1645"/>
    <cellStyle name="20% - Akzent3 107 2" xfId="1646"/>
    <cellStyle name="20% - Akzent3 108" xfId="1647"/>
    <cellStyle name="20% - Akzent3 108 2" xfId="1648"/>
    <cellStyle name="20% - Akzent3 109" xfId="1649"/>
    <cellStyle name="20% - Akzent3 109 2" xfId="1650"/>
    <cellStyle name="20% - Akzent3 11" xfId="1651"/>
    <cellStyle name="20% - Akzent3 11 2" xfId="1652"/>
    <cellStyle name="20% - Akzent3 110" xfId="1653"/>
    <cellStyle name="20% - Akzent3 110 2" xfId="1654"/>
    <cellStyle name="20% - Akzent3 111" xfId="1655"/>
    <cellStyle name="20% - Akzent3 111 2" xfId="1656"/>
    <cellStyle name="20% - Akzent3 112" xfId="1657"/>
    <cellStyle name="20% - Akzent3 112 2" xfId="1658"/>
    <cellStyle name="20% - Akzent3 113" xfId="1659"/>
    <cellStyle name="20% - Akzent3 113 2" xfId="1660"/>
    <cellStyle name="20% - Akzent3 114" xfId="1661"/>
    <cellStyle name="20% - Akzent3 114 2" xfId="1662"/>
    <cellStyle name="20% - Akzent3 115" xfId="1663"/>
    <cellStyle name="20% - Akzent3 115 2" xfId="1664"/>
    <cellStyle name="20% - Akzent3 116" xfId="1665"/>
    <cellStyle name="20% - Akzent3 116 2" xfId="1666"/>
    <cellStyle name="20% - Akzent3 117" xfId="1667"/>
    <cellStyle name="20% - Akzent3 117 2" xfId="1668"/>
    <cellStyle name="20% - Akzent3 118" xfId="1669"/>
    <cellStyle name="20% - Akzent3 118 2" xfId="1670"/>
    <cellStyle name="20% - Akzent3 119" xfId="1671"/>
    <cellStyle name="20% - Akzent3 119 2" xfId="1672"/>
    <cellStyle name="20% - Akzent3 12" xfId="1673"/>
    <cellStyle name="20% - Akzent3 12 2" xfId="1674"/>
    <cellStyle name="20% - Akzent3 120" xfId="1675"/>
    <cellStyle name="20% - Akzent3 120 2" xfId="1676"/>
    <cellStyle name="20% - Akzent3 121" xfId="1677"/>
    <cellStyle name="20% - Akzent3 121 2" xfId="1678"/>
    <cellStyle name="20% - Akzent3 122" xfId="1679"/>
    <cellStyle name="20% - Akzent3 122 2" xfId="1680"/>
    <cellStyle name="20% - Akzent3 123" xfId="1681"/>
    <cellStyle name="20% - Akzent3 123 2" xfId="1682"/>
    <cellStyle name="20% - Akzent3 124" xfId="1683"/>
    <cellStyle name="20% - Akzent3 124 2" xfId="1684"/>
    <cellStyle name="20% - Akzent3 125" xfId="1685"/>
    <cellStyle name="20% - Akzent3 125 2" xfId="1686"/>
    <cellStyle name="20% - Akzent3 126" xfId="1687"/>
    <cellStyle name="20% - Akzent3 126 2" xfId="1688"/>
    <cellStyle name="20% - Akzent3 127" xfId="1689"/>
    <cellStyle name="20% - Akzent3 127 2" xfId="1690"/>
    <cellStyle name="20% - Akzent3 128" xfId="1691"/>
    <cellStyle name="20% - Akzent3 128 2" xfId="1692"/>
    <cellStyle name="20% - Akzent3 129" xfId="1693"/>
    <cellStyle name="20% - Akzent3 129 2" xfId="1694"/>
    <cellStyle name="20% - Akzent3 13" xfId="1695"/>
    <cellStyle name="20% - Akzent3 13 2" xfId="1696"/>
    <cellStyle name="20% - Akzent3 130" xfId="1697"/>
    <cellStyle name="20% - Akzent3 130 2" xfId="1698"/>
    <cellStyle name="20% - Akzent3 131" xfId="1699"/>
    <cellStyle name="20% - Akzent3 131 2" xfId="1700"/>
    <cellStyle name="20% - Akzent3 132" xfId="1701"/>
    <cellStyle name="20% - Akzent3 132 2" xfId="1702"/>
    <cellStyle name="20% - Akzent3 133" xfId="1703"/>
    <cellStyle name="20% - Akzent3 133 2" xfId="1704"/>
    <cellStyle name="20% - Akzent3 134" xfId="1705"/>
    <cellStyle name="20% - Akzent3 134 2" xfId="1706"/>
    <cellStyle name="20% - Akzent3 135" xfId="1707"/>
    <cellStyle name="20% - Akzent3 135 2" xfId="1708"/>
    <cellStyle name="20% - Akzent3 136" xfId="1709"/>
    <cellStyle name="20% - Akzent3 136 2" xfId="1710"/>
    <cellStyle name="20% - Akzent3 137" xfId="1711"/>
    <cellStyle name="20% - Akzent3 137 2" xfId="1712"/>
    <cellStyle name="20% - Akzent3 138" xfId="1713"/>
    <cellStyle name="20% - Akzent3 138 2" xfId="1714"/>
    <cellStyle name="20% - Akzent3 139" xfId="1715"/>
    <cellStyle name="20% - Akzent3 139 2" xfId="1716"/>
    <cellStyle name="20% - Akzent3 14" xfId="1717"/>
    <cellStyle name="20% - Akzent3 14 2" xfId="1718"/>
    <cellStyle name="20% - Akzent3 140" xfId="1719"/>
    <cellStyle name="20% - Akzent3 140 2" xfId="1720"/>
    <cellStyle name="20% - Akzent3 141" xfId="1721"/>
    <cellStyle name="20% - Akzent3 141 2" xfId="1722"/>
    <cellStyle name="20% - Akzent3 142" xfId="1723"/>
    <cellStyle name="20% - Akzent3 142 2" xfId="1724"/>
    <cellStyle name="20% - Akzent3 143" xfId="1725"/>
    <cellStyle name="20% - Akzent3 143 2" xfId="1726"/>
    <cellStyle name="20% - Akzent3 144" xfId="1727"/>
    <cellStyle name="20% - Akzent3 144 2" xfId="1728"/>
    <cellStyle name="20% - Akzent3 145" xfId="1729"/>
    <cellStyle name="20% - Akzent3 145 2" xfId="1730"/>
    <cellStyle name="20% - Akzent3 146" xfId="1731"/>
    <cellStyle name="20% - Akzent3 146 2" xfId="1732"/>
    <cellStyle name="20% - Akzent3 147" xfId="1733"/>
    <cellStyle name="20% - Akzent3 147 2" xfId="1734"/>
    <cellStyle name="20% - Akzent3 148" xfId="1735"/>
    <cellStyle name="20% - Akzent3 148 2" xfId="1736"/>
    <cellStyle name="20% - Akzent3 149" xfId="1737"/>
    <cellStyle name="20% - Akzent3 149 2" xfId="1738"/>
    <cellStyle name="20% - Akzent3 15" xfId="1739"/>
    <cellStyle name="20% - Akzent3 15 2" xfId="1740"/>
    <cellStyle name="20% - Akzent3 150" xfId="1741"/>
    <cellStyle name="20% - Akzent3 150 2" xfId="1742"/>
    <cellStyle name="20% - Akzent3 151" xfId="1743"/>
    <cellStyle name="20% - Akzent3 151 2" xfId="1744"/>
    <cellStyle name="20% - Akzent3 16" xfId="1745"/>
    <cellStyle name="20% - Akzent3 16 2" xfId="1746"/>
    <cellStyle name="20% - Akzent3 17" xfId="1747"/>
    <cellStyle name="20% - Akzent3 17 2" xfId="1748"/>
    <cellStyle name="20% - Akzent3 18" xfId="1749"/>
    <cellStyle name="20% - Akzent3 18 2" xfId="1750"/>
    <cellStyle name="20% - Akzent3 19" xfId="1751"/>
    <cellStyle name="20% - Akzent3 19 2" xfId="1752"/>
    <cellStyle name="20% - Akzent3 2" xfId="1753"/>
    <cellStyle name="20% - Akzent3 2 2" xfId="1754"/>
    <cellStyle name="20% - Akzent3 2 3" xfId="1755"/>
    <cellStyle name="20% - Akzent3 2 4" xfId="1756"/>
    <cellStyle name="20% - Akzent3 2 4 2" xfId="1757"/>
    <cellStyle name="20% - Akzent3 2 5" xfId="1758"/>
    <cellStyle name="20% - Akzent3 20" xfId="1759"/>
    <cellStyle name="20% - Akzent3 20 2" xfId="1760"/>
    <cellStyle name="20% - Akzent3 21" xfId="1761"/>
    <cellStyle name="20% - Akzent3 21 2" xfId="1762"/>
    <cellStyle name="20% - Akzent3 22" xfId="1763"/>
    <cellStyle name="20% - Akzent3 22 2" xfId="1764"/>
    <cellStyle name="20% - Akzent3 23" xfId="1765"/>
    <cellStyle name="20% - Akzent3 23 2" xfId="1766"/>
    <cellStyle name="20% - Akzent3 24" xfId="1767"/>
    <cellStyle name="20% - Akzent3 24 2" xfId="1768"/>
    <cellStyle name="20% - Akzent3 25" xfId="1769"/>
    <cellStyle name="20% - Akzent3 25 2" xfId="1770"/>
    <cellStyle name="20% - Akzent3 26" xfId="1771"/>
    <cellStyle name="20% - Akzent3 26 2" xfId="1772"/>
    <cellStyle name="20% - Akzent3 27" xfId="1773"/>
    <cellStyle name="20% - Akzent3 27 2" xfId="1774"/>
    <cellStyle name="20% - Akzent3 28" xfId="1775"/>
    <cellStyle name="20% - Akzent3 28 2" xfId="1776"/>
    <cellStyle name="20% - Akzent3 29" xfId="1777"/>
    <cellStyle name="20% - Akzent3 29 2" xfId="1778"/>
    <cellStyle name="20% - Akzent3 3" xfId="1779"/>
    <cellStyle name="20% - Akzent3 3 2" xfId="1780"/>
    <cellStyle name="20% - Akzent3 3 3" xfId="1781"/>
    <cellStyle name="20% - Akzent3 3 4" xfId="1782"/>
    <cellStyle name="20% - Akzent3 3 4 2" xfId="1783"/>
    <cellStyle name="20% - Akzent3 3 5" xfId="1784"/>
    <cellStyle name="20% - Akzent3 30" xfId="1785"/>
    <cellStyle name="20% - Akzent3 30 2" xfId="1786"/>
    <cellStyle name="20% - Akzent3 31" xfId="1787"/>
    <cellStyle name="20% - Akzent3 31 2" xfId="1788"/>
    <cellStyle name="20% - Akzent3 32" xfId="1789"/>
    <cellStyle name="20% - Akzent3 32 2" xfId="1790"/>
    <cellStyle name="20% - Akzent3 33" xfId="1791"/>
    <cellStyle name="20% - Akzent3 33 2" xfId="1792"/>
    <cellStyle name="20% - Akzent3 34" xfId="1793"/>
    <cellStyle name="20% - Akzent3 34 2" xfId="1794"/>
    <cellStyle name="20% - Akzent3 35" xfId="1795"/>
    <cellStyle name="20% - Akzent3 35 2" xfId="1796"/>
    <cellStyle name="20% - Akzent3 36" xfId="1797"/>
    <cellStyle name="20% - Akzent3 36 2" xfId="1798"/>
    <cellStyle name="20% - Akzent3 37" xfId="1799"/>
    <cellStyle name="20% - Akzent3 37 2" xfId="1800"/>
    <cellStyle name="20% - Akzent3 38" xfId="1801"/>
    <cellStyle name="20% - Akzent3 38 2" xfId="1802"/>
    <cellStyle name="20% - Akzent3 39" xfId="1803"/>
    <cellStyle name="20% - Akzent3 39 2" xfId="1804"/>
    <cellStyle name="20% - Akzent3 4" xfId="1805"/>
    <cellStyle name="20% - Akzent3 4 2" xfId="1806"/>
    <cellStyle name="20% - Akzent3 4 3" xfId="1807"/>
    <cellStyle name="20% - Akzent3 4 4" xfId="1808"/>
    <cellStyle name="20% - Akzent3 4 4 2" xfId="1809"/>
    <cellStyle name="20% - Akzent3 4 5" xfId="1810"/>
    <cellStyle name="20% - Akzent3 40" xfId="1811"/>
    <cellStyle name="20% - Akzent3 40 2" xfId="1812"/>
    <cellStyle name="20% - Akzent3 41" xfId="1813"/>
    <cellStyle name="20% - Akzent3 41 2" xfId="1814"/>
    <cellStyle name="20% - Akzent3 42" xfId="1815"/>
    <cellStyle name="20% - Akzent3 42 2" xfId="1816"/>
    <cellStyle name="20% - Akzent3 43" xfId="1817"/>
    <cellStyle name="20% - Akzent3 43 2" xfId="1818"/>
    <cellStyle name="20% - Akzent3 44" xfId="1819"/>
    <cellStyle name="20% - Akzent3 44 2" xfId="1820"/>
    <cellStyle name="20% - Akzent3 45" xfId="1821"/>
    <cellStyle name="20% - Akzent3 45 2" xfId="1822"/>
    <cellStyle name="20% - Akzent3 46" xfId="1823"/>
    <cellStyle name="20% - Akzent3 46 2" xfId="1824"/>
    <cellStyle name="20% - Akzent3 47" xfId="1825"/>
    <cellStyle name="20% - Akzent3 47 2" xfId="1826"/>
    <cellStyle name="20% - Akzent3 48" xfId="1827"/>
    <cellStyle name="20% - Akzent3 48 2" xfId="1828"/>
    <cellStyle name="20% - Akzent3 49" xfId="1829"/>
    <cellStyle name="20% - Akzent3 49 2" xfId="1830"/>
    <cellStyle name="20% - Akzent3 5" xfId="1831"/>
    <cellStyle name="20% - Akzent3 5 2" xfId="1832"/>
    <cellStyle name="20% - Akzent3 50" xfId="1833"/>
    <cellStyle name="20% - Akzent3 50 2" xfId="1834"/>
    <cellStyle name="20% - Akzent3 51" xfId="1835"/>
    <cellStyle name="20% - Akzent3 51 2" xfId="1836"/>
    <cellStyle name="20% - Akzent3 52" xfId="1837"/>
    <cellStyle name="20% - Akzent3 52 2" xfId="1838"/>
    <cellStyle name="20% - Akzent3 53" xfId="1839"/>
    <cellStyle name="20% - Akzent3 53 2" xfId="1840"/>
    <cellStyle name="20% - Akzent3 54" xfId="1841"/>
    <cellStyle name="20% - Akzent3 54 2" xfId="1842"/>
    <cellStyle name="20% - Akzent3 55" xfId="1843"/>
    <cellStyle name="20% - Akzent3 55 2" xfId="1844"/>
    <cellStyle name="20% - Akzent3 56" xfId="1845"/>
    <cellStyle name="20% - Akzent3 56 2" xfId="1846"/>
    <cellStyle name="20% - Akzent3 57" xfId="1847"/>
    <cellStyle name="20% - Akzent3 57 2" xfId="1848"/>
    <cellStyle name="20% - Akzent3 58" xfId="1849"/>
    <cellStyle name="20% - Akzent3 58 2" xfId="1850"/>
    <cellStyle name="20% - Akzent3 59" xfId="1851"/>
    <cellStyle name="20% - Akzent3 59 2" xfId="1852"/>
    <cellStyle name="20% - Akzent3 6" xfId="1853"/>
    <cellStyle name="20% - Akzent3 6 2" xfId="1854"/>
    <cellStyle name="20% - Akzent3 60" xfId="1855"/>
    <cellStyle name="20% - Akzent3 60 2" xfId="1856"/>
    <cellStyle name="20% - Akzent3 61" xfId="1857"/>
    <cellStyle name="20% - Akzent3 61 2" xfId="1858"/>
    <cellStyle name="20% - Akzent3 62" xfId="1859"/>
    <cellStyle name="20% - Akzent3 62 2" xfId="1860"/>
    <cellStyle name="20% - Akzent3 63" xfId="1861"/>
    <cellStyle name="20% - Akzent3 63 2" xfId="1862"/>
    <cellStyle name="20% - Akzent3 64" xfId="1863"/>
    <cellStyle name="20% - Akzent3 64 2" xfId="1864"/>
    <cellStyle name="20% - Akzent3 65" xfId="1865"/>
    <cellStyle name="20% - Akzent3 65 2" xfId="1866"/>
    <cellStyle name="20% - Akzent3 66" xfId="1867"/>
    <cellStyle name="20% - Akzent3 66 2" xfId="1868"/>
    <cellStyle name="20% - Akzent3 67" xfId="1869"/>
    <cellStyle name="20% - Akzent3 67 2" xfId="1870"/>
    <cellStyle name="20% - Akzent3 68" xfId="1871"/>
    <cellStyle name="20% - Akzent3 68 2" xfId="1872"/>
    <cellStyle name="20% - Akzent3 69" xfId="1873"/>
    <cellStyle name="20% - Akzent3 69 2" xfId="1874"/>
    <cellStyle name="20% - Akzent3 7" xfId="1875"/>
    <cellStyle name="20% - Akzent3 7 2" xfId="1876"/>
    <cellStyle name="20% - Akzent3 70" xfId="1877"/>
    <cellStyle name="20% - Akzent3 70 2" xfId="1878"/>
    <cellStyle name="20% - Akzent3 71" xfId="1879"/>
    <cellStyle name="20% - Akzent3 71 2" xfId="1880"/>
    <cellStyle name="20% - Akzent3 72" xfId="1881"/>
    <cellStyle name="20% - Akzent3 72 2" xfId="1882"/>
    <cellStyle name="20% - Akzent3 73" xfId="1883"/>
    <cellStyle name="20% - Akzent3 73 2" xfId="1884"/>
    <cellStyle name="20% - Akzent3 74" xfId="1885"/>
    <cellStyle name="20% - Akzent3 74 2" xfId="1886"/>
    <cellStyle name="20% - Akzent3 75" xfId="1887"/>
    <cellStyle name="20% - Akzent3 75 2" xfId="1888"/>
    <cellStyle name="20% - Akzent3 76" xfId="1889"/>
    <cellStyle name="20% - Akzent3 76 2" xfId="1890"/>
    <cellStyle name="20% - Akzent3 77" xfId="1891"/>
    <cellStyle name="20% - Akzent3 77 2" xfId="1892"/>
    <cellStyle name="20% - Akzent3 78" xfId="1893"/>
    <cellStyle name="20% - Akzent3 78 2" xfId="1894"/>
    <cellStyle name="20% - Akzent3 79" xfId="1895"/>
    <cellStyle name="20% - Akzent3 79 2" xfId="1896"/>
    <cellStyle name="20% - Akzent3 8" xfId="1897"/>
    <cellStyle name="20% - Akzent3 8 2" xfId="1898"/>
    <cellStyle name="20% - Akzent3 80" xfId="1899"/>
    <cellStyle name="20% - Akzent3 80 2" xfId="1900"/>
    <cellStyle name="20% - Akzent3 81" xfId="1901"/>
    <cellStyle name="20% - Akzent3 81 2" xfId="1902"/>
    <cellStyle name="20% - Akzent3 82" xfId="1903"/>
    <cellStyle name="20% - Akzent3 82 2" xfId="1904"/>
    <cellStyle name="20% - Akzent3 83" xfId="1905"/>
    <cellStyle name="20% - Akzent3 83 2" xfId="1906"/>
    <cellStyle name="20% - Akzent3 84" xfId="1907"/>
    <cellStyle name="20% - Akzent3 84 2" xfId="1908"/>
    <cellStyle name="20% - Akzent3 85" xfId="1909"/>
    <cellStyle name="20% - Akzent3 85 2" xfId="1910"/>
    <cellStyle name="20% - Akzent3 86" xfId="1911"/>
    <cellStyle name="20% - Akzent3 86 2" xfId="1912"/>
    <cellStyle name="20% - Akzent3 87" xfId="1913"/>
    <cellStyle name="20% - Akzent3 87 2" xfId="1914"/>
    <cellStyle name="20% - Akzent3 88" xfId="1915"/>
    <cellStyle name="20% - Akzent3 88 2" xfId="1916"/>
    <cellStyle name="20% - Akzent3 89" xfId="1917"/>
    <cellStyle name="20% - Akzent3 89 2" xfId="1918"/>
    <cellStyle name="20% - Akzent3 9" xfId="1919"/>
    <cellStyle name="20% - Akzent3 9 2" xfId="1920"/>
    <cellStyle name="20% - Akzent3 90" xfId="1921"/>
    <cellStyle name="20% - Akzent3 90 2" xfId="1922"/>
    <cellStyle name="20% - Akzent3 91" xfId="1923"/>
    <cellStyle name="20% - Akzent3 91 2" xfId="1924"/>
    <cellStyle name="20% - Akzent3 92" xfId="1925"/>
    <cellStyle name="20% - Akzent3 92 2" xfId="1926"/>
    <cellStyle name="20% - Akzent3 93" xfId="1927"/>
    <cellStyle name="20% - Akzent3 93 2" xfId="1928"/>
    <cellStyle name="20% - Akzent3 94" xfId="1929"/>
    <cellStyle name="20% - Akzent3 94 2" xfId="1930"/>
    <cellStyle name="20% - Akzent3 95" xfId="1931"/>
    <cellStyle name="20% - Akzent3 95 2" xfId="1932"/>
    <cellStyle name="20% - Akzent3 96" xfId="1933"/>
    <cellStyle name="20% - Akzent3 96 2" xfId="1934"/>
    <cellStyle name="20% - Akzent3 97" xfId="1935"/>
    <cellStyle name="20% - Akzent3 97 2" xfId="1936"/>
    <cellStyle name="20% - Akzent3 98" xfId="1937"/>
    <cellStyle name="20% - Akzent3 98 2" xfId="1938"/>
    <cellStyle name="20% - Akzent3 99" xfId="1939"/>
    <cellStyle name="20% - Akzent3 99 2" xfId="1940"/>
    <cellStyle name="20% - Akzent4 10" xfId="1941"/>
    <cellStyle name="20% - Akzent4 10 2" xfId="1942"/>
    <cellStyle name="20% - Akzent4 100" xfId="1943"/>
    <cellStyle name="20% - Akzent4 100 2" xfId="1944"/>
    <cellStyle name="20% - Akzent4 101" xfId="1945"/>
    <cellStyle name="20% - Akzent4 101 2" xfId="1946"/>
    <cellStyle name="20% - Akzent4 102" xfId="1947"/>
    <cellStyle name="20% - Akzent4 102 2" xfId="1948"/>
    <cellStyle name="20% - Akzent4 103" xfId="1949"/>
    <cellStyle name="20% - Akzent4 103 2" xfId="1950"/>
    <cellStyle name="20% - Akzent4 104" xfId="1951"/>
    <cellStyle name="20% - Akzent4 104 2" xfId="1952"/>
    <cellStyle name="20% - Akzent4 105" xfId="1953"/>
    <cellStyle name="20% - Akzent4 105 2" xfId="1954"/>
    <cellStyle name="20% - Akzent4 106" xfId="1955"/>
    <cellStyle name="20% - Akzent4 106 2" xfId="1956"/>
    <cellStyle name="20% - Akzent4 107" xfId="1957"/>
    <cellStyle name="20% - Akzent4 107 2" xfId="1958"/>
    <cellStyle name="20% - Akzent4 108" xfId="1959"/>
    <cellStyle name="20% - Akzent4 108 2" xfId="1960"/>
    <cellStyle name="20% - Akzent4 109" xfId="1961"/>
    <cellStyle name="20% - Akzent4 109 2" xfId="1962"/>
    <cellStyle name="20% - Akzent4 11" xfId="1963"/>
    <cellStyle name="20% - Akzent4 11 2" xfId="1964"/>
    <cellStyle name="20% - Akzent4 110" xfId="1965"/>
    <cellStyle name="20% - Akzent4 110 2" xfId="1966"/>
    <cellStyle name="20% - Akzent4 111" xfId="1967"/>
    <cellStyle name="20% - Akzent4 111 2" xfId="1968"/>
    <cellStyle name="20% - Akzent4 112" xfId="1969"/>
    <cellStyle name="20% - Akzent4 112 2" xfId="1970"/>
    <cellStyle name="20% - Akzent4 113" xfId="1971"/>
    <cellStyle name="20% - Akzent4 113 2" xfId="1972"/>
    <cellStyle name="20% - Akzent4 114" xfId="1973"/>
    <cellStyle name="20% - Akzent4 114 2" xfId="1974"/>
    <cellStyle name="20% - Akzent4 115" xfId="1975"/>
    <cellStyle name="20% - Akzent4 115 2" xfId="1976"/>
    <cellStyle name="20% - Akzent4 116" xfId="1977"/>
    <cellStyle name="20% - Akzent4 116 2" xfId="1978"/>
    <cellStyle name="20% - Akzent4 117" xfId="1979"/>
    <cellStyle name="20% - Akzent4 117 2" xfId="1980"/>
    <cellStyle name="20% - Akzent4 118" xfId="1981"/>
    <cellStyle name="20% - Akzent4 118 2" xfId="1982"/>
    <cellStyle name="20% - Akzent4 119" xfId="1983"/>
    <cellStyle name="20% - Akzent4 119 2" xfId="1984"/>
    <cellStyle name="20% - Akzent4 12" xfId="1985"/>
    <cellStyle name="20% - Akzent4 12 2" xfId="1986"/>
    <cellStyle name="20% - Akzent4 120" xfId="1987"/>
    <cellStyle name="20% - Akzent4 120 2" xfId="1988"/>
    <cellStyle name="20% - Akzent4 121" xfId="1989"/>
    <cellStyle name="20% - Akzent4 121 2" xfId="1990"/>
    <cellStyle name="20% - Akzent4 122" xfId="1991"/>
    <cellStyle name="20% - Akzent4 122 2" xfId="1992"/>
    <cellStyle name="20% - Akzent4 123" xfId="1993"/>
    <cellStyle name="20% - Akzent4 123 2" xfId="1994"/>
    <cellStyle name="20% - Akzent4 124" xfId="1995"/>
    <cellStyle name="20% - Akzent4 124 2" xfId="1996"/>
    <cellStyle name="20% - Akzent4 125" xfId="1997"/>
    <cellStyle name="20% - Akzent4 125 2" xfId="1998"/>
    <cellStyle name="20% - Akzent4 126" xfId="1999"/>
    <cellStyle name="20% - Akzent4 126 2" xfId="2000"/>
    <cellStyle name="20% - Akzent4 127" xfId="2001"/>
    <cellStyle name="20% - Akzent4 127 2" xfId="2002"/>
    <cellStyle name="20% - Akzent4 128" xfId="2003"/>
    <cellStyle name="20% - Akzent4 128 2" xfId="2004"/>
    <cellStyle name="20% - Akzent4 129" xfId="2005"/>
    <cellStyle name="20% - Akzent4 129 2" xfId="2006"/>
    <cellStyle name="20% - Akzent4 13" xfId="2007"/>
    <cellStyle name="20% - Akzent4 13 2" xfId="2008"/>
    <cellStyle name="20% - Akzent4 130" xfId="2009"/>
    <cellStyle name="20% - Akzent4 130 2" xfId="2010"/>
    <cellStyle name="20% - Akzent4 131" xfId="2011"/>
    <cellStyle name="20% - Akzent4 131 2" xfId="2012"/>
    <cellStyle name="20% - Akzent4 132" xfId="2013"/>
    <cellStyle name="20% - Akzent4 132 2" xfId="2014"/>
    <cellStyle name="20% - Akzent4 133" xfId="2015"/>
    <cellStyle name="20% - Akzent4 133 2" xfId="2016"/>
    <cellStyle name="20% - Akzent4 134" xfId="2017"/>
    <cellStyle name="20% - Akzent4 134 2" xfId="2018"/>
    <cellStyle name="20% - Akzent4 135" xfId="2019"/>
    <cellStyle name="20% - Akzent4 135 2" xfId="2020"/>
    <cellStyle name="20% - Akzent4 136" xfId="2021"/>
    <cellStyle name="20% - Akzent4 136 2" xfId="2022"/>
    <cellStyle name="20% - Akzent4 137" xfId="2023"/>
    <cellStyle name="20% - Akzent4 137 2" xfId="2024"/>
    <cellStyle name="20% - Akzent4 138" xfId="2025"/>
    <cellStyle name="20% - Akzent4 138 2" xfId="2026"/>
    <cellStyle name="20% - Akzent4 139" xfId="2027"/>
    <cellStyle name="20% - Akzent4 139 2" xfId="2028"/>
    <cellStyle name="20% - Akzent4 14" xfId="2029"/>
    <cellStyle name="20% - Akzent4 14 2" xfId="2030"/>
    <cellStyle name="20% - Akzent4 140" xfId="2031"/>
    <cellStyle name="20% - Akzent4 140 2" xfId="2032"/>
    <cellStyle name="20% - Akzent4 141" xfId="2033"/>
    <cellStyle name="20% - Akzent4 141 2" xfId="2034"/>
    <cellStyle name="20% - Akzent4 142" xfId="2035"/>
    <cellStyle name="20% - Akzent4 142 2" xfId="2036"/>
    <cellStyle name="20% - Akzent4 143" xfId="2037"/>
    <cellStyle name="20% - Akzent4 143 2" xfId="2038"/>
    <cellStyle name="20% - Akzent4 144" xfId="2039"/>
    <cellStyle name="20% - Akzent4 144 2" xfId="2040"/>
    <cellStyle name="20% - Akzent4 145" xfId="2041"/>
    <cellStyle name="20% - Akzent4 145 2" xfId="2042"/>
    <cellStyle name="20% - Akzent4 146" xfId="2043"/>
    <cellStyle name="20% - Akzent4 146 2" xfId="2044"/>
    <cellStyle name="20% - Akzent4 147" xfId="2045"/>
    <cellStyle name="20% - Akzent4 147 2" xfId="2046"/>
    <cellStyle name="20% - Akzent4 148" xfId="2047"/>
    <cellStyle name="20% - Akzent4 148 2" xfId="2048"/>
    <cellStyle name="20% - Akzent4 149" xfId="2049"/>
    <cellStyle name="20% - Akzent4 149 2" xfId="2050"/>
    <cellStyle name="20% - Akzent4 15" xfId="2051"/>
    <cellStyle name="20% - Akzent4 15 2" xfId="2052"/>
    <cellStyle name="20% - Akzent4 150" xfId="2053"/>
    <cellStyle name="20% - Akzent4 150 2" xfId="2054"/>
    <cellStyle name="20% - Akzent4 151" xfId="2055"/>
    <cellStyle name="20% - Akzent4 151 2" xfId="2056"/>
    <cellStyle name="20% - Akzent4 16" xfId="2057"/>
    <cellStyle name="20% - Akzent4 16 2" xfId="2058"/>
    <cellStyle name="20% - Akzent4 17" xfId="2059"/>
    <cellStyle name="20% - Akzent4 17 2" xfId="2060"/>
    <cellStyle name="20% - Akzent4 18" xfId="2061"/>
    <cellStyle name="20% - Akzent4 18 2" xfId="2062"/>
    <cellStyle name="20% - Akzent4 19" xfId="2063"/>
    <cellStyle name="20% - Akzent4 19 2" xfId="2064"/>
    <cellStyle name="20% - Akzent4 2" xfId="2065"/>
    <cellStyle name="20% - Akzent4 2 2" xfId="2066"/>
    <cellStyle name="20% - Akzent4 2 3" xfId="2067"/>
    <cellStyle name="20% - Akzent4 2 4" xfId="2068"/>
    <cellStyle name="20% - Akzent4 2 4 2" xfId="2069"/>
    <cellStyle name="20% - Akzent4 2 5" xfId="2070"/>
    <cellStyle name="20% - Akzent4 20" xfId="2071"/>
    <cellStyle name="20% - Akzent4 20 2" xfId="2072"/>
    <cellStyle name="20% - Akzent4 21" xfId="2073"/>
    <cellStyle name="20% - Akzent4 21 2" xfId="2074"/>
    <cellStyle name="20% - Akzent4 22" xfId="2075"/>
    <cellStyle name="20% - Akzent4 22 2" xfId="2076"/>
    <cellStyle name="20% - Akzent4 23" xfId="2077"/>
    <cellStyle name="20% - Akzent4 23 2" xfId="2078"/>
    <cellStyle name="20% - Akzent4 24" xfId="2079"/>
    <cellStyle name="20% - Akzent4 24 2" xfId="2080"/>
    <cellStyle name="20% - Akzent4 25" xfId="2081"/>
    <cellStyle name="20% - Akzent4 25 2" xfId="2082"/>
    <cellStyle name="20% - Akzent4 26" xfId="2083"/>
    <cellStyle name="20% - Akzent4 26 2" xfId="2084"/>
    <cellStyle name="20% - Akzent4 27" xfId="2085"/>
    <cellStyle name="20% - Akzent4 27 2" xfId="2086"/>
    <cellStyle name="20% - Akzent4 28" xfId="2087"/>
    <cellStyle name="20% - Akzent4 28 2" xfId="2088"/>
    <cellStyle name="20% - Akzent4 29" xfId="2089"/>
    <cellStyle name="20% - Akzent4 29 2" xfId="2090"/>
    <cellStyle name="20% - Akzent4 3" xfId="2091"/>
    <cellStyle name="20% - Akzent4 3 2" xfId="2092"/>
    <cellStyle name="20% - Akzent4 3 3" xfId="2093"/>
    <cellStyle name="20% - Akzent4 3 4" xfId="2094"/>
    <cellStyle name="20% - Akzent4 3 4 2" xfId="2095"/>
    <cellStyle name="20% - Akzent4 3 5" xfId="2096"/>
    <cellStyle name="20% - Akzent4 30" xfId="2097"/>
    <cellStyle name="20% - Akzent4 30 2" xfId="2098"/>
    <cellStyle name="20% - Akzent4 31" xfId="2099"/>
    <cellStyle name="20% - Akzent4 31 2" xfId="2100"/>
    <cellStyle name="20% - Akzent4 32" xfId="2101"/>
    <cellStyle name="20% - Akzent4 32 2" xfId="2102"/>
    <cellStyle name="20% - Akzent4 33" xfId="2103"/>
    <cellStyle name="20% - Akzent4 33 2" xfId="2104"/>
    <cellStyle name="20% - Akzent4 34" xfId="2105"/>
    <cellStyle name="20% - Akzent4 34 2" xfId="2106"/>
    <cellStyle name="20% - Akzent4 35" xfId="2107"/>
    <cellStyle name="20% - Akzent4 35 2" xfId="2108"/>
    <cellStyle name="20% - Akzent4 36" xfId="2109"/>
    <cellStyle name="20% - Akzent4 36 2" xfId="2110"/>
    <cellStyle name="20% - Akzent4 37" xfId="2111"/>
    <cellStyle name="20% - Akzent4 37 2" xfId="2112"/>
    <cellStyle name="20% - Akzent4 38" xfId="2113"/>
    <cellStyle name="20% - Akzent4 38 2" xfId="2114"/>
    <cellStyle name="20% - Akzent4 39" xfId="2115"/>
    <cellStyle name="20% - Akzent4 39 2" xfId="2116"/>
    <cellStyle name="20% - Akzent4 4" xfId="2117"/>
    <cellStyle name="20% - Akzent4 4 2" xfId="2118"/>
    <cellStyle name="20% - Akzent4 4 3" xfId="2119"/>
    <cellStyle name="20% - Akzent4 4 4" xfId="2120"/>
    <cellStyle name="20% - Akzent4 4 4 2" xfId="2121"/>
    <cellStyle name="20% - Akzent4 4 5" xfId="2122"/>
    <cellStyle name="20% - Akzent4 40" xfId="2123"/>
    <cellStyle name="20% - Akzent4 40 2" xfId="2124"/>
    <cellStyle name="20% - Akzent4 41" xfId="2125"/>
    <cellStyle name="20% - Akzent4 41 2" xfId="2126"/>
    <cellStyle name="20% - Akzent4 42" xfId="2127"/>
    <cellStyle name="20% - Akzent4 42 2" xfId="2128"/>
    <cellStyle name="20% - Akzent4 43" xfId="2129"/>
    <cellStyle name="20% - Akzent4 43 2" xfId="2130"/>
    <cellStyle name="20% - Akzent4 44" xfId="2131"/>
    <cellStyle name="20% - Akzent4 44 2" xfId="2132"/>
    <cellStyle name="20% - Akzent4 45" xfId="2133"/>
    <cellStyle name="20% - Akzent4 45 2" xfId="2134"/>
    <cellStyle name="20% - Akzent4 46" xfId="2135"/>
    <cellStyle name="20% - Akzent4 46 2" xfId="2136"/>
    <cellStyle name="20% - Akzent4 47" xfId="2137"/>
    <cellStyle name="20% - Akzent4 47 2" xfId="2138"/>
    <cellStyle name="20% - Akzent4 48" xfId="2139"/>
    <cellStyle name="20% - Akzent4 48 2" xfId="2140"/>
    <cellStyle name="20% - Akzent4 49" xfId="2141"/>
    <cellStyle name="20% - Akzent4 49 2" xfId="2142"/>
    <cellStyle name="20% - Akzent4 5" xfId="2143"/>
    <cellStyle name="20% - Akzent4 5 2" xfId="2144"/>
    <cellStyle name="20% - Akzent4 50" xfId="2145"/>
    <cellStyle name="20% - Akzent4 50 2" xfId="2146"/>
    <cellStyle name="20% - Akzent4 51" xfId="2147"/>
    <cellStyle name="20% - Akzent4 51 2" xfId="2148"/>
    <cellStyle name="20% - Akzent4 52" xfId="2149"/>
    <cellStyle name="20% - Akzent4 52 2" xfId="2150"/>
    <cellStyle name="20% - Akzent4 53" xfId="2151"/>
    <cellStyle name="20% - Akzent4 53 2" xfId="2152"/>
    <cellStyle name="20% - Akzent4 54" xfId="2153"/>
    <cellStyle name="20% - Akzent4 54 2" xfId="2154"/>
    <cellStyle name="20% - Akzent4 55" xfId="2155"/>
    <cellStyle name="20% - Akzent4 55 2" xfId="2156"/>
    <cellStyle name="20% - Akzent4 56" xfId="2157"/>
    <cellStyle name="20% - Akzent4 56 2" xfId="2158"/>
    <cellStyle name="20% - Akzent4 57" xfId="2159"/>
    <cellStyle name="20% - Akzent4 57 2" xfId="2160"/>
    <cellStyle name="20% - Akzent4 58" xfId="2161"/>
    <cellStyle name="20% - Akzent4 58 2" xfId="2162"/>
    <cellStyle name="20% - Akzent4 59" xfId="2163"/>
    <cellStyle name="20% - Akzent4 59 2" xfId="2164"/>
    <cellStyle name="20% - Akzent4 6" xfId="2165"/>
    <cellStyle name="20% - Akzent4 6 2" xfId="2166"/>
    <cellStyle name="20% - Akzent4 60" xfId="2167"/>
    <cellStyle name="20% - Akzent4 60 2" xfId="2168"/>
    <cellStyle name="20% - Akzent4 61" xfId="2169"/>
    <cellStyle name="20% - Akzent4 61 2" xfId="2170"/>
    <cellStyle name="20% - Akzent4 62" xfId="2171"/>
    <cellStyle name="20% - Akzent4 62 2" xfId="2172"/>
    <cellStyle name="20% - Akzent4 63" xfId="2173"/>
    <cellStyle name="20% - Akzent4 63 2" xfId="2174"/>
    <cellStyle name="20% - Akzent4 64" xfId="2175"/>
    <cellStyle name="20% - Akzent4 64 2" xfId="2176"/>
    <cellStyle name="20% - Akzent4 65" xfId="2177"/>
    <cellStyle name="20% - Akzent4 65 2" xfId="2178"/>
    <cellStyle name="20% - Akzent4 66" xfId="2179"/>
    <cellStyle name="20% - Akzent4 66 2" xfId="2180"/>
    <cellStyle name="20% - Akzent4 67" xfId="2181"/>
    <cellStyle name="20% - Akzent4 67 2" xfId="2182"/>
    <cellStyle name="20% - Akzent4 68" xfId="2183"/>
    <cellStyle name="20% - Akzent4 68 2" xfId="2184"/>
    <cellStyle name="20% - Akzent4 69" xfId="2185"/>
    <cellStyle name="20% - Akzent4 69 2" xfId="2186"/>
    <cellStyle name="20% - Akzent4 7" xfId="2187"/>
    <cellStyle name="20% - Akzent4 7 2" xfId="2188"/>
    <cellStyle name="20% - Akzent4 70" xfId="2189"/>
    <cellStyle name="20% - Akzent4 70 2" xfId="2190"/>
    <cellStyle name="20% - Akzent4 71" xfId="2191"/>
    <cellStyle name="20% - Akzent4 71 2" xfId="2192"/>
    <cellStyle name="20% - Akzent4 72" xfId="2193"/>
    <cellStyle name="20% - Akzent4 72 2" xfId="2194"/>
    <cellStyle name="20% - Akzent4 73" xfId="2195"/>
    <cellStyle name="20% - Akzent4 73 2" xfId="2196"/>
    <cellStyle name="20% - Akzent4 74" xfId="2197"/>
    <cellStyle name="20% - Akzent4 74 2" xfId="2198"/>
    <cellStyle name="20% - Akzent4 75" xfId="2199"/>
    <cellStyle name="20% - Akzent4 75 2" xfId="2200"/>
    <cellStyle name="20% - Akzent4 76" xfId="2201"/>
    <cellStyle name="20% - Akzent4 76 2" xfId="2202"/>
    <cellStyle name="20% - Akzent4 77" xfId="2203"/>
    <cellStyle name="20% - Akzent4 77 2" xfId="2204"/>
    <cellStyle name="20% - Akzent4 78" xfId="2205"/>
    <cellStyle name="20% - Akzent4 78 2" xfId="2206"/>
    <cellStyle name="20% - Akzent4 79" xfId="2207"/>
    <cellStyle name="20% - Akzent4 79 2" xfId="2208"/>
    <cellStyle name="20% - Akzent4 8" xfId="2209"/>
    <cellStyle name="20% - Akzent4 8 2" xfId="2210"/>
    <cellStyle name="20% - Akzent4 80" xfId="2211"/>
    <cellStyle name="20% - Akzent4 80 2" xfId="2212"/>
    <cellStyle name="20% - Akzent4 81" xfId="2213"/>
    <cellStyle name="20% - Akzent4 81 2" xfId="2214"/>
    <cellStyle name="20% - Akzent4 82" xfId="2215"/>
    <cellStyle name="20% - Akzent4 82 2" xfId="2216"/>
    <cellStyle name="20% - Akzent4 83" xfId="2217"/>
    <cellStyle name="20% - Akzent4 83 2" xfId="2218"/>
    <cellStyle name="20% - Akzent4 84" xfId="2219"/>
    <cellStyle name="20% - Akzent4 84 2" xfId="2220"/>
    <cellStyle name="20% - Akzent4 85" xfId="2221"/>
    <cellStyle name="20% - Akzent4 85 2" xfId="2222"/>
    <cellStyle name="20% - Akzent4 86" xfId="2223"/>
    <cellStyle name="20% - Akzent4 86 2" xfId="2224"/>
    <cellStyle name="20% - Akzent4 87" xfId="2225"/>
    <cellStyle name="20% - Akzent4 87 2" xfId="2226"/>
    <cellStyle name="20% - Akzent4 88" xfId="2227"/>
    <cellStyle name="20% - Akzent4 88 2" xfId="2228"/>
    <cellStyle name="20% - Akzent4 89" xfId="2229"/>
    <cellStyle name="20% - Akzent4 89 2" xfId="2230"/>
    <cellStyle name="20% - Akzent4 9" xfId="2231"/>
    <cellStyle name="20% - Akzent4 9 2" xfId="2232"/>
    <cellStyle name="20% - Akzent4 90" xfId="2233"/>
    <cellStyle name="20% - Akzent4 90 2" xfId="2234"/>
    <cellStyle name="20% - Akzent4 91" xfId="2235"/>
    <cellStyle name="20% - Akzent4 91 2" xfId="2236"/>
    <cellStyle name="20% - Akzent4 92" xfId="2237"/>
    <cellStyle name="20% - Akzent4 92 2" xfId="2238"/>
    <cellStyle name="20% - Akzent4 93" xfId="2239"/>
    <cellStyle name="20% - Akzent4 93 2" xfId="2240"/>
    <cellStyle name="20% - Akzent4 94" xfId="2241"/>
    <cellStyle name="20% - Akzent4 94 2" xfId="2242"/>
    <cellStyle name="20% - Akzent4 95" xfId="2243"/>
    <cellStyle name="20% - Akzent4 95 2" xfId="2244"/>
    <cellStyle name="20% - Akzent4 96" xfId="2245"/>
    <cellStyle name="20% - Akzent4 96 2" xfId="2246"/>
    <cellStyle name="20% - Akzent4 97" xfId="2247"/>
    <cellStyle name="20% - Akzent4 97 2" xfId="2248"/>
    <cellStyle name="20% - Akzent4 98" xfId="2249"/>
    <cellStyle name="20% - Akzent4 98 2" xfId="2250"/>
    <cellStyle name="20% - Akzent4 99" xfId="2251"/>
    <cellStyle name="20% - Akzent4 99 2" xfId="2252"/>
    <cellStyle name="20% - Akzent5 10" xfId="2253"/>
    <cellStyle name="20% - Akzent5 100" xfId="2254"/>
    <cellStyle name="20% - Akzent5 101" xfId="2255"/>
    <cellStyle name="20% - Akzent5 102" xfId="2256"/>
    <cellStyle name="20% - Akzent5 103" xfId="2257"/>
    <cellStyle name="20% - Akzent5 104" xfId="2258"/>
    <cellStyle name="20% - Akzent5 105" xfId="2259"/>
    <cellStyle name="20% - Akzent5 106" xfId="2260"/>
    <cellStyle name="20% - Akzent5 107" xfId="2261"/>
    <cellStyle name="20% - Akzent5 11" xfId="2262"/>
    <cellStyle name="20% - Akzent5 12" xfId="2263"/>
    <cellStyle name="20% - Akzent5 13" xfId="2264"/>
    <cellStyle name="20% - Akzent5 14" xfId="2265"/>
    <cellStyle name="20% - Akzent5 15" xfId="2266"/>
    <cellStyle name="20% - Akzent5 16" xfId="2267"/>
    <cellStyle name="20% - Akzent5 17" xfId="2268"/>
    <cellStyle name="20% - Akzent5 18" xfId="2269"/>
    <cellStyle name="20% - Akzent5 19" xfId="2270"/>
    <cellStyle name="20% - Akzent5 2" xfId="2271"/>
    <cellStyle name="20% - Akzent5 2 2" xfId="2272"/>
    <cellStyle name="20% - Akzent5 2 3" xfId="2273"/>
    <cellStyle name="20% - Akzent5 2 4" xfId="2274"/>
    <cellStyle name="20% - Akzent5 2 4 2" xfId="2275"/>
    <cellStyle name="20% - Akzent5 2 5" xfId="2276"/>
    <cellStyle name="20% - Akzent5 20" xfId="2277"/>
    <cellStyle name="20% - Akzent5 21" xfId="2278"/>
    <cellStyle name="20% - Akzent5 22" xfId="2279"/>
    <cellStyle name="20% - Akzent5 23" xfId="2280"/>
    <cellStyle name="20% - Akzent5 24" xfId="2281"/>
    <cellStyle name="20% - Akzent5 25" xfId="2282"/>
    <cellStyle name="20% - Akzent5 26" xfId="2283"/>
    <cellStyle name="20% - Akzent5 27" xfId="2284"/>
    <cellStyle name="20% - Akzent5 28" xfId="2285"/>
    <cellStyle name="20% - Akzent5 29" xfId="2286"/>
    <cellStyle name="20% - Akzent5 3" xfId="2287"/>
    <cellStyle name="20% - Akzent5 3 2" xfId="2288"/>
    <cellStyle name="20% - Akzent5 3 3" xfId="2289"/>
    <cellStyle name="20% - Akzent5 3 4" xfId="2290"/>
    <cellStyle name="20% - Akzent5 3 4 2" xfId="2291"/>
    <cellStyle name="20% - Akzent5 3 5" xfId="2292"/>
    <cellStyle name="20% - Akzent5 30" xfId="2293"/>
    <cellStyle name="20% - Akzent5 31" xfId="2294"/>
    <cellStyle name="20% - Akzent5 32" xfId="2295"/>
    <cellStyle name="20% - Akzent5 33" xfId="2296"/>
    <cellStyle name="20% - Akzent5 34" xfId="2297"/>
    <cellStyle name="20% - Akzent5 35" xfId="2298"/>
    <cellStyle name="20% - Akzent5 36" xfId="2299"/>
    <cellStyle name="20% - Akzent5 37" xfId="2300"/>
    <cellStyle name="20% - Akzent5 38" xfId="2301"/>
    <cellStyle name="20% - Akzent5 39" xfId="2302"/>
    <cellStyle name="20% - Akzent5 4" xfId="2303"/>
    <cellStyle name="20% - Akzent5 4 2" xfId="2304"/>
    <cellStyle name="20% - Akzent5 4 3" xfId="2305"/>
    <cellStyle name="20% - Akzent5 4 4" xfId="2306"/>
    <cellStyle name="20% - Akzent5 4 4 2" xfId="2307"/>
    <cellStyle name="20% - Akzent5 4 5" xfId="2308"/>
    <cellStyle name="20% - Akzent5 40" xfId="2309"/>
    <cellStyle name="20% - Akzent5 41" xfId="2310"/>
    <cellStyle name="20% - Akzent5 42" xfId="2311"/>
    <cellStyle name="20% - Akzent5 43" xfId="2312"/>
    <cellStyle name="20% - Akzent5 44" xfId="2313"/>
    <cellStyle name="20% - Akzent5 45" xfId="2314"/>
    <cellStyle name="20% - Akzent5 46" xfId="2315"/>
    <cellStyle name="20% - Akzent5 47" xfId="2316"/>
    <cellStyle name="20% - Akzent5 48" xfId="2317"/>
    <cellStyle name="20% - Akzent5 49" xfId="2318"/>
    <cellStyle name="20% - Akzent5 5" xfId="2319"/>
    <cellStyle name="20% - Akzent5 50" xfId="2320"/>
    <cellStyle name="20% - Akzent5 51" xfId="2321"/>
    <cellStyle name="20% - Akzent5 52" xfId="2322"/>
    <cellStyle name="20% - Akzent5 53" xfId="2323"/>
    <cellStyle name="20% - Akzent5 54" xfId="2324"/>
    <cellStyle name="20% - Akzent5 55" xfId="2325"/>
    <cellStyle name="20% - Akzent5 56" xfId="2326"/>
    <cellStyle name="20% - Akzent5 57" xfId="2327"/>
    <cellStyle name="20% - Akzent5 58" xfId="2328"/>
    <cellStyle name="20% - Akzent5 59" xfId="2329"/>
    <cellStyle name="20% - Akzent5 6" xfId="2330"/>
    <cellStyle name="20% - Akzent5 60" xfId="2331"/>
    <cellStyle name="20% - Akzent5 61" xfId="2332"/>
    <cellStyle name="20% - Akzent5 62" xfId="2333"/>
    <cellStyle name="20% - Akzent5 63" xfId="2334"/>
    <cellStyle name="20% - Akzent5 64" xfId="2335"/>
    <cellStyle name="20% - Akzent5 65" xfId="2336"/>
    <cellStyle name="20% - Akzent5 66" xfId="2337"/>
    <cellStyle name="20% - Akzent5 67" xfId="2338"/>
    <cellStyle name="20% - Akzent5 68" xfId="2339"/>
    <cellStyle name="20% - Akzent5 69" xfId="2340"/>
    <cellStyle name="20% - Akzent5 7" xfId="2341"/>
    <cellStyle name="20% - Akzent5 70" xfId="2342"/>
    <cellStyle name="20% - Akzent5 71" xfId="2343"/>
    <cellStyle name="20% - Akzent5 72" xfId="2344"/>
    <cellStyle name="20% - Akzent5 73" xfId="2345"/>
    <cellStyle name="20% - Akzent5 74" xfId="2346"/>
    <cellStyle name="20% - Akzent5 75" xfId="2347"/>
    <cellStyle name="20% - Akzent5 76" xfId="2348"/>
    <cellStyle name="20% - Akzent5 77" xfId="2349"/>
    <cellStyle name="20% - Akzent5 78" xfId="2350"/>
    <cellStyle name="20% - Akzent5 79" xfId="2351"/>
    <cellStyle name="20% - Akzent5 8" xfId="2352"/>
    <cellStyle name="20% - Akzent5 80" xfId="2353"/>
    <cellStyle name="20% - Akzent5 81" xfId="2354"/>
    <cellStyle name="20% - Akzent5 82" xfId="2355"/>
    <cellStyle name="20% - Akzent5 83" xfId="2356"/>
    <cellStyle name="20% - Akzent5 84" xfId="2357"/>
    <cellStyle name="20% - Akzent5 85" xfId="2358"/>
    <cellStyle name="20% - Akzent5 86" xfId="2359"/>
    <cellStyle name="20% - Akzent5 87" xfId="2360"/>
    <cellStyle name="20% - Akzent5 88" xfId="2361"/>
    <cellStyle name="20% - Akzent5 89" xfId="2362"/>
    <cellStyle name="20% - Akzent5 9" xfId="2363"/>
    <cellStyle name="20% - Akzent5 90" xfId="2364"/>
    <cellStyle name="20% - Akzent5 91" xfId="2365"/>
    <cellStyle name="20% - Akzent5 92" xfId="2366"/>
    <cellStyle name="20% - Akzent5 93" xfId="2367"/>
    <cellStyle name="20% - Akzent5 94" xfId="2368"/>
    <cellStyle name="20% - Akzent5 95" xfId="2369"/>
    <cellStyle name="20% - Akzent5 96" xfId="2370"/>
    <cellStyle name="20% - Akzent5 97" xfId="2371"/>
    <cellStyle name="20% - Akzent5 98" xfId="2372"/>
    <cellStyle name="20% - Akzent5 99" xfId="2373"/>
    <cellStyle name="20% - Akzent6 10" xfId="2374"/>
    <cellStyle name="20% - Akzent6 10 2" xfId="2375"/>
    <cellStyle name="20% - Akzent6 100" xfId="2376"/>
    <cellStyle name="20% - Akzent6 100 2" xfId="2377"/>
    <cellStyle name="20% - Akzent6 101" xfId="2378"/>
    <cellStyle name="20% - Akzent6 101 2" xfId="2379"/>
    <cellStyle name="20% - Akzent6 102" xfId="2380"/>
    <cellStyle name="20% - Akzent6 102 2" xfId="2381"/>
    <cellStyle name="20% - Akzent6 103" xfId="2382"/>
    <cellStyle name="20% - Akzent6 103 2" xfId="2383"/>
    <cellStyle name="20% - Akzent6 104" xfId="2384"/>
    <cellStyle name="20% - Akzent6 104 2" xfId="2385"/>
    <cellStyle name="20% - Akzent6 105" xfId="2386"/>
    <cellStyle name="20% - Akzent6 105 2" xfId="2387"/>
    <cellStyle name="20% - Akzent6 106" xfId="2388"/>
    <cellStyle name="20% - Akzent6 106 2" xfId="2389"/>
    <cellStyle name="20% - Akzent6 107" xfId="2390"/>
    <cellStyle name="20% - Akzent6 107 2" xfId="2391"/>
    <cellStyle name="20% - Akzent6 108" xfId="2392"/>
    <cellStyle name="20% - Akzent6 108 2" xfId="2393"/>
    <cellStyle name="20% - Akzent6 109" xfId="2394"/>
    <cellStyle name="20% - Akzent6 109 2" xfId="2395"/>
    <cellStyle name="20% - Akzent6 11" xfId="2396"/>
    <cellStyle name="20% - Akzent6 11 2" xfId="2397"/>
    <cellStyle name="20% - Akzent6 110" xfId="2398"/>
    <cellStyle name="20% - Akzent6 110 2" xfId="2399"/>
    <cellStyle name="20% - Akzent6 111" xfId="2400"/>
    <cellStyle name="20% - Akzent6 111 2" xfId="2401"/>
    <cellStyle name="20% - Akzent6 112" xfId="2402"/>
    <cellStyle name="20% - Akzent6 112 2" xfId="2403"/>
    <cellStyle name="20% - Akzent6 113" xfId="2404"/>
    <cellStyle name="20% - Akzent6 113 2" xfId="2405"/>
    <cellStyle name="20% - Akzent6 114" xfId="2406"/>
    <cellStyle name="20% - Akzent6 114 2" xfId="2407"/>
    <cellStyle name="20% - Akzent6 115" xfId="2408"/>
    <cellStyle name="20% - Akzent6 115 2" xfId="2409"/>
    <cellStyle name="20% - Akzent6 116" xfId="2410"/>
    <cellStyle name="20% - Akzent6 116 2" xfId="2411"/>
    <cellStyle name="20% - Akzent6 117" xfId="2412"/>
    <cellStyle name="20% - Akzent6 117 2" xfId="2413"/>
    <cellStyle name="20% - Akzent6 118" xfId="2414"/>
    <cellStyle name="20% - Akzent6 118 2" xfId="2415"/>
    <cellStyle name="20% - Akzent6 119" xfId="2416"/>
    <cellStyle name="20% - Akzent6 119 2" xfId="2417"/>
    <cellStyle name="20% - Akzent6 12" xfId="2418"/>
    <cellStyle name="20% - Akzent6 12 2" xfId="2419"/>
    <cellStyle name="20% - Akzent6 120" xfId="2420"/>
    <cellStyle name="20% - Akzent6 120 2" xfId="2421"/>
    <cellStyle name="20% - Akzent6 121" xfId="2422"/>
    <cellStyle name="20% - Akzent6 121 2" xfId="2423"/>
    <cellStyle name="20% - Akzent6 122" xfId="2424"/>
    <cellStyle name="20% - Akzent6 122 2" xfId="2425"/>
    <cellStyle name="20% - Akzent6 123" xfId="2426"/>
    <cellStyle name="20% - Akzent6 123 2" xfId="2427"/>
    <cellStyle name="20% - Akzent6 124" xfId="2428"/>
    <cellStyle name="20% - Akzent6 124 2" xfId="2429"/>
    <cellStyle name="20% - Akzent6 125" xfId="2430"/>
    <cellStyle name="20% - Akzent6 125 2" xfId="2431"/>
    <cellStyle name="20% - Akzent6 126" xfId="2432"/>
    <cellStyle name="20% - Akzent6 126 2" xfId="2433"/>
    <cellStyle name="20% - Akzent6 127" xfId="2434"/>
    <cellStyle name="20% - Akzent6 127 2" xfId="2435"/>
    <cellStyle name="20% - Akzent6 128" xfId="2436"/>
    <cellStyle name="20% - Akzent6 128 2" xfId="2437"/>
    <cellStyle name="20% - Akzent6 129" xfId="2438"/>
    <cellStyle name="20% - Akzent6 129 2" xfId="2439"/>
    <cellStyle name="20% - Akzent6 13" xfId="2440"/>
    <cellStyle name="20% - Akzent6 13 2" xfId="2441"/>
    <cellStyle name="20% - Akzent6 130" xfId="2442"/>
    <cellStyle name="20% - Akzent6 130 2" xfId="2443"/>
    <cellStyle name="20% - Akzent6 131" xfId="2444"/>
    <cellStyle name="20% - Akzent6 131 2" xfId="2445"/>
    <cellStyle name="20% - Akzent6 132" xfId="2446"/>
    <cellStyle name="20% - Akzent6 132 2" xfId="2447"/>
    <cellStyle name="20% - Akzent6 133" xfId="2448"/>
    <cellStyle name="20% - Akzent6 133 2" xfId="2449"/>
    <cellStyle name="20% - Akzent6 134" xfId="2450"/>
    <cellStyle name="20% - Akzent6 134 2" xfId="2451"/>
    <cellStyle name="20% - Akzent6 135" xfId="2452"/>
    <cellStyle name="20% - Akzent6 135 2" xfId="2453"/>
    <cellStyle name="20% - Akzent6 136" xfId="2454"/>
    <cellStyle name="20% - Akzent6 136 2" xfId="2455"/>
    <cellStyle name="20% - Akzent6 137" xfId="2456"/>
    <cellStyle name="20% - Akzent6 137 2" xfId="2457"/>
    <cellStyle name="20% - Akzent6 138" xfId="2458"/>
    <cellStyle name="20% - Akzent6 138 2" xfId="2459"/>
    <cellStyle name="20% - Akzent6 139" xfId="2460"/>
    <cellStyle name="20% - Akzent6 139 2" xfId="2461"/>
    <cellStyle name="20% - Akzent6 14" xfId="2462"/>
    <cellStyle name="20% - Akzent6 14 2" xfId="2463"/>
    <cellStyle name="20% - Akzent6 140" xfId="2464"/>
    <cellStyle name="20% - Akzent6 140 2" xfId="2465"/>
    <cellStyle name="20% - Akzent6 141" xfId="2466"/>
    <cellStyle name="20% - Akzent6 141 2" xfId="2467"/>
    <cellStyle name="20% - Akzent6 142" xfId="2468"/>
    <cellStyle name="20% - Akzent6 142 2" xfId="2469"/>
    <cellStyle name="20% - Akzent6 143" xfId="2470"/>
    <cellStyle name="20% - Akzent6 143 2" xfId="2471"/>
    <cellStyle name="20% - Akzent6 144" xfId="2472"/>
    <cellStyle name="20% - Akzent6 144 2" xfId="2473"/>
    <cellStyle name="20% - Akzent6 145" xfId="2474"/>
    <cellStyle name="20% - Akzent6 145 2" xfId="2475"/>
    <cellStyle name="20% - Akzent6 146" xfId="2476"/>
    <cellStyle name="20% - Akzent6 146 2" xfId="2477"/>
    <cellStyle name="20% - Akzent6 147" xfId="2478"/>
    <cellStyle name="20% - Akzent6 147 2" xfId="2479"/>
    <cellStyle name="20% - Akzent6 148" xfId="2480"/>
    <cellStyle name="20% - Akzent6 148 2" xfId="2481"/>
    <cellStyle name="20% - Akzent6 149" xfId="2482"/>
    <cellStyle name="20% - Akzent6 149 2" xfId="2483"/>
    <cellStyle name="20% - Akzent6 15" xfId="2484"/>
    <cellStyle name="20% - Akzent6 15 2" xfId="2485"/>
    <cellStyle name="20% - Akzent6 150" xfId="2486"/>
    <cellStyle name="20% - Akzent6 150 2" xfId="2487"/>
    <cellStyle name="20% - Akzent6 151" xfId="2488"/>
    <cellStyle name="20% - Akzent6 151 2" xfId="2489"/>
    <cellStyle name="20% - Akzent6 16" xfId="2490"/>
    <cellStyle name="20% - Akzent6 16 2" xfId="2491"/>
    <cellStyle name="20% - Akzent6 17" xfId="2492"/>
    <cellStyle name="20% - Akzent6 17 2" xfId="2493"/>
    <cellStyle name="20% - Akzent6 18" xfId="2494"/>
    <cellStyle name="20% - Akzent6 18 2" xfId="2495"/>
    <cellStyle name="20% - Akzent6 19" xfId="2496"/>
    <cellStyle name="20% - Akzent6 19 2" xfId="2497"/>
    <cellStyle name="20% - Akzent6 2" xfId="2498"/>
    <cellStyle name="20% - Akzent6 2 2" xfId="2499"/>
    <cellStyle name="20% - Akzent6 2 3" xfId="2500"/>
    <cellStyle name="20% - Akzent6 2 4" xfId="2501"/>
    <cellStyle name="20% - Akzent6 2 4 2" xfId="2502"/>
    <cellStyle name="20% - Akzent6 2 5" xfId="2503"/>
    <cellStyle name="20% - Akzent6 20" xfId="2504"/>
    <cellStyle name="20% - Akzent6 20 2" xfId="2505"/>
    <cellStyle name="20% - Akzent6 21" xfId="2506"/>
    <cellStyle name="20% - Akzent6 21 2" xfId="2507"/>
    <cellStyle name="20% - Akzent6 22" xfId="2508"/>
    <cellStyle name="20% - Akzent6 22 2" xfId="2509"/>
    <cellStyle name="20% - Akzent6 23" xfId="2510"/>
    <cellStyle name="20% - Akzent6 23 2" xfId="2511"/>
    <cellStyle name="20% - Akzent6 24" xfId="2512"/>
    <cellStyle name="20% - Akzent6 24 2" xfId="2513"/>
    <cellStyle name="20% - Akzent6 25" xfId="2514"/>
    <cellStyle name="20% - Akzent6 25 2" xfId="2515"/>
    <cellStyle name="20% - Akzent6 26" xfId="2516"/>
    <cellStyle name="20% - Akzent6 26 2" xfId="2517"/>
    <cellStyle name="20% - Akzent6 27" xfId="2518"/>
    <cellStyle name="20% - Akzent6 27 2" xfId="2519"/>
    <cellStyle name="20% - Akzent6 28" xfId="2520"/>
    <cellStyle name="20% - Akzent6 28 2" xfId="2521"/>
    <cellStyle name="20% - Akzent6 29" xfId="2522"/>
    <cellStyle name="20% - Akzent6 29 2" xfId="2523"/>
    <cellStyle name="20% - Akzent6 3" xfId="2524"/>
    <cellStyle name="20% - Akzent6 3 2" xfId="2525"/>
    <cellStyle name="20% - Akzent6 3 3" xfId="2526"/>
    <cellStyle name="20% - Akzent6 3 4" xfId="2527"/>
    <cellStyle name="20% - Akzent6 3 4 2" xfId="2528"/>
    <cellStyle name="20% - Akzent6 3 5" xfId="2529"/>
    <cellStyle name="20% - Akzent6 30" xfId="2530"/>
    <cellStyle name="20% - Akzent6 30 2" xfId="2531"/>
    <cellStyle name="20% - Akzent6 31" xfId="2532"/>
    <cellStyle name="20% - Akzent6 31 2" xfId="2533"/>
    <cellStyle name="20% - Akzent6 32" xfId="2534"/>
    <cellStyle name="20% - Akzent6 32 2" xfId="2535"/>
    <cellStyle name="20% - Akzent6 33" xfId="2536"/>
    <cellStyle name="20% - Akzent6 33 2" xfId="2537"/>
    <cellStyle name="20% - Akzent6 34" xfId="2538"/>
    <cellStyle name="20% - Akzent6 34 2" xfId="2539"/>
    <cellStyle name="20% - Akzent6 35" xfId="2540"/>
    <cellStyle name="20% - Akzent6 35 2" xfId="2541"/>
    <cellStyle name="20% - Akzent6 36" xfId="2542"/>
    <cellStyle name="20% - Akzent6 36 2" xfId="2543"/>
    <cellStyle name="20% - Akzent6 37" xfId="2544"/>
    <cellStyle name="20% - Akzent6 37 2" xfId="2545"/>
    <cellStyle name="20% - Akzent6 38" xfId="2546"/>
    <cellStyle name="20% - Akzent6 38 2" xfId="2547"/>
    <cellStyle name="20% - Akzent6 39" xfId="2548"/>
    <cellStyle name="20% - Akzent6 39 2" xfId="2549"/>
    <cellStyle name="20% - Akzent6 4" xfId="2550"/>
    <cellStyle name="20% - Akzent6 4 2" xfId="2551"/>
    <cellStyle name="20% - Akzent6 4 3" xfId="2552"/>
    <cellStyle name="20% - Akzent6 4 4" xfId="2553"/>
    <cellStyle name="20% - Akzent6 4 4 2" xfId="2554"/>
    <cellStyle name="20% - Akzent6 4 5" xfId="2555"/>
    <cellStyle name="20% - Akzent6 40" xfId="2556"/>
    <cellStyle name="20% - Akzent6 40 2" xfId="2557"/>
    <cellStyle name="20% - Akzent6 41" xfId="2558"/>
    <cellStyle name="20% - Akzent6 41 2" xfId="2559"/>
    <cellStyle name="20% - Akzent6 42" xfId="2560"/>
    <cellStyle name="20% - Akzent6 42 2" xfId="2561"/>
    <cellStyle name="20% - Akzent6 43" xfId="2562"/>
    <cellStyle name="20% - Akzent6 43 2" xfId="2563"/>
    <cellStyle name="20% - Akzent6 44" xfId="2564"/>
    <cellStyle name="20% - Akzent6 44 2" xfId="2565"/>
    <cellStyle name="20% - Akzent6 45" xfId="2566"/>
    <cellStyle name="20% - Akzent6 45 2" xfId="2567"/>
    <cellStyle name="20% - Akzent6 46" xfId="2568"/>
    <cellStyle name="20% - Akzent6 46 2" xfId="2569"/>
    <cellStyle name="20% - Akzent6 47" xfId="2570"/>
    <cellStyle name="20% - Akzent6 47 2" xfId="2571"/>
    <cellStyle name="20% - Akzent6 48" xfId="2572"/>
    <cellStyle name="20% - Akzent6 48 2" xfId="2573"/>
    <cellStyle name="20% - Akzent6 49" xfId="2574"/>
    <cellStyle name="20% - Akzent6 49 2" xfId="2575"/>
    <cellStyle name="20% - Akzent6 5" xfId="2576"/>
    <cellStyle name="20% - Akzent6 5 2" xfId="2577"/>
    <cellStyle name="20% - Akzent6 50" xfId="2578"/>
    <cellStyle name="20% - Akzent6 50 2" xfId="2579"/>
    <cellStyle name="20% - Akzent6 51" xfId="2580"/>
    <cellStyle name="20% - Akzent6 51 2" xfId="2581"/>
    <cellStyle name="20% - Akzent6 52" xfId="2582"/>
    <cellStyle name="20% - Akzent6 52 2" xfId="2583"/>
    <cellStyle name="20% - Akzent6 53" xfId="2584"/>
    <cellStyle name="20% - Akzent6 53 2" xfId="2585"/>
    <cellStyle name="20% - Akzent6 54" xfId="2586"/>
    <cellStyle name="20% - Akzent6 54 2" xfId="2587"/>
    <cellStyle name="20% - Akzent6 55" xfId="2588"/>
    <cellStyle name="20% - Akzent6 55 2" xfId="2589"/>
    <cellStyle name="20% - Akzent6 56" xfId="2590"/>
    <cellStyle name="20% - Akzent6 56 2" xfId="2591"/>
    <cellStyle name="20% - Akzent6 57" xfId="2592"/>
    <cellStyle name="20% - Akzent6 57 2" xfId="2593"/>
    <cellStyle name="20% - Akzent6 58" xfId="2594"/>
    <cellStyle name="20% - Akzent6 58 2" xfId="2595"/>
    <cellStyle name="20% - Akzent6 59" xfId="2596"/>
    <cellStyle name="20% - Akzent6 59 2" xfId="2597"/>
    <cellStyle name="20% - Akzent6 6" xfId="2598"/>
    <cellStyle name="20% - Akzent6 6 2" xfId="2599"/>
    <cellStyle name="20% - Akzent6 60" xfId="2600"/>
    <cellStyle name="20% - Akzent6 60 2" xfId="2601"/>
    <cellStyle name="20% - Akzent6 61" xfId="2602"/>
    <cellStyle name="20% - Akzent6 61 2" xfId="2603"/>
    <cellStyle name="20% - Akzent6 62" xfId="2604"/>
    <cellStyle name="20% - Akzent6 62 2" xfId="2605"/>
    <cellStyle name="20% - Akzent6 63" xfId="2606"/>
    <cellStyle name="20% - Akzent6 63 2" xfId="2607"/>
    <cellStyle name="20% - Akzent6 64" xfId="2608"/>
    <cellStyle name="20% - Akzent6 64 2" xfId="2609"/>
    <cellStyle name="20% - Akzent6 65" xfId="2610"/>
    <cellStyle name="20% - Akzent6 65 2" xfId="2611"/>
    <cellStyle name="20% - Akzent6 66" xfId="2612"/>
    <cellStyle name="20% - Akzent6 66 2" xfId="2613"/>
    <cellStyle name="20% - Akzent6 67" xfId="2614"/>
    <cellStyle name="20% - Akzent6 67 2" xfId="2615"/>
    <cellStyle name="20% - Akzent6 68" xfId="2616"/>
    <cellStyle name="20% - Akzent6 68 2" xfId="2617"/>
    <cellStyle name="20% - Akzent6 69" xfId="2618"/>
    <cellStyle name="20% - Akzent6 69 2" xfId="2619"/>
    <cellStyle name="20% - Akzent6 7" xfId="2620"/>
    <cellStyle name="20% - Akzent6 7 2" xfId="2621"/>
    <cellStyle name="20% - Akzent6 70" xfId="2622"/>
    <cellStyle name="20% - Akzent6 70 2" xfId="2623"/>
    <cellStyle name="20% - Akzent6 71" xfId="2624"/>
    <cellStyle name="20% - Akzent6 71 2" xfId="2625"/>
    <cellStyle name="20% - Akzent6 72" xfId="2626"/>
    <cellStyle name="20% - Akzent6 72 2" xfId="2627"/>
    <cellStyle name="20% - Akzent6 73" xfId="2628"/>
    <cellStyle name="20% - Akzent6 73 2" xfId="2629"/>
    <cellStyle name="20% - Akzent6 74" xfId="2630"/>
    <cellStyle name="20% - Akzent6 74 2" xfId="2631"/>
    <cellStyle name="20% - Akzent6 75" xfId="2632"/>
    <cellStyle name="20% - Akzent6 75 2" xfId="2633"/>
    <cellStyle name="20% - Akzent6 76" xfId="2634"/>
    <cellStyle name="20% - Akzent6 76 2" xfId="2635"/>
    <cellStyle name="20% - Akzent6 77" xfId="2636"/>
    <cellStyle name="20% - Akzent6 77 2" xfId="2637"/>
    <cellStyle name="20% - Akzent6 78" xfId="2638"/>
    <cellStyle name="20% - Akzent6 78 2" xfId="2639"/>
    <cellStyle name="20% - Akzent6 79" xfId="2640"/>
    <cellStyle name="20% - Akzent6 79 2" xfId="2641"/>
    <cellStyle name="20% - Akzent6 8" xfId="2642"/>
    <cellStyle name="20% - Akzent6 8 2" xfId="2643"/>
    <cellStyle name="20% - Akzent6 80" xfId="2644"/>
    <cellStyle name="20% - Akzent6 80 2" xfId="2645"/>
    <cellStyle name="20% - Akzent6 81" xfId="2646"/>
    <cellStyle name="20% - Akzent6 81 2" xfId="2647"/>
    <cellStyle name="20% - Akzent6 82" xfId="2648"/>
    <cellStyle name="20% - Akzent6 82 2" xfId="2649"/>
    <cellStyle name="20% - Akzent6 83" xfId="2650"/>
    <cellStyle name="20% - Akzent6 83 2" xfId="2651"/>
    <cellStyle name="20% - Akzent6 84" xfId="2652"/>
    <cellStyle name="20% - Akzent6 84 2" xfId="2653"/>
    <cellStyle name="20% - Akzent6 85" xfId="2654"/>
    <cellStyle name="20% - Akzent6 85 2" xfId="2655"/>
    <cellStyle name="20% - Akzent6 86" xfId="2656"/>
    <cellStyle name="20% - Akzent6 86 2" xfId="2657"/>
    <cellStyle name="20% - Akzent6 87" xfId="2658"/>
    <cellStyle name="20% - Akzent6 87 2" xfId="2659"/>
    <cellStyle name="20% - Akzent6 88" xfId="2660"/>
    <cellStyle name="20% - Akzent6 88 2" xfId="2661"/>
    <cellStyle name="20% - Akzent6 89" xfId="2662"/>
    <cellStyle name="20% - Akzent6 89 2" xfId="2663"/>
    <cellStyle name="20% - Akzent6 9" xfId="2664"/>
    <cellStyle name="20% - Akzent6 9 2" xfId="2665"/>
    <cellStyle name="20% - Akzent6 90" xfId="2666"/>
    <cellStyle name="20% - Akzent6 90 2" xfId="2667"/>
    <cellStyle name="20% - Akzent6 91" xfId="2668"/>
    <cellStyle name="20% - Akzent6 91 2" xfId="2669"/>
    <cellStyle name="20% - Akzent6 92" xfId="2670"/>
    <cellStyle name="20% - Akzent6 92 2" xfId="2671"/>
    <cellStyle name="20% - Akzent6 93" xfId="2672"/>
    <cellStyle name="20% - Akzent6 93 2" xfId="2673"/>
    <cellStyle name="20% - Akzent6 94" xfId="2674"/>
    <cellStyle name="20% - Akzent6 94 2" xfId="2675"/>
    <cellStyle name="20% - Akzent6 95" xfId="2676"/>
    <cellStyle name="20% - Akzent6 95 2" xfId="2677"/>
    <cellStyle name="20% - Akzent6 96" xfId="2678"/>
    <cellStyle name="20% - Akzent6 96 2" xfId="2679"/>
    <cellStyle name="20% - Akzent6 97" xfId="2680"/>
    <cellStyle name="20% - Akzent6 97 2" xfId="2681"/>
    <cellStyle name="20% - Akzent6 98" xfId="2682"/>
    <cellStyle name="20% - Akzent6 98 2" xfId="2683"/>
    <cellStyle name="20% - Akzent6 99" xfId="2684"/>
    <cellStyle name="20% - Akzent6 99 2" xfId="2685"/>
    <cellStyle name="40 % - Akzent1" xfId="2686"/>
    <cellStyle name="40 % - Akzent1 2" xfId="2687"/>
    <cellStyle name="40 % - Akzent1 2 2" xfId="2688"/>
    <cellStyle name="40 % - Akzent1 3" xfId="2689"/>
    <cellStyle name="40 % - Akzent2" xfId="2690"/>
    <cellStyle name="40 % - Akzent2 2" xfId="2691"/>
    <cellStyle name="40 % - Akzent2 2 2" xfId="2692"/>
    <cellStyle name="40 % - Akzent2 3" xfId="2693"/>
    <cellStyle name="40 % - Akzent3" xfId="2694"/>
    <cellStyle name="40 % - Akzent3 2" xfId="2695"/>
    <cellStyle name="40 % - Akzent3 2 2" xfId="2696"/>
    <cellStyle name="40 % - Akzent3 3" xfId="2697"/>
    <cellStyle name="40 % - Akzent4" xfId="2698"/>
    <cellStyle name="40 % - Akzent4 2" xfId="2699"/>
    <cellStyle name="40 % - Akzent4 2 2" xfId="2700"/>
    <cellStyle name="40 % - Akzent4 3" xfId="2701"/>
    <cellStyle name="40 % - Akzent5" xfId="2702"/>
    <cellStyle name="40 % - Akzent5 2" xfId="2703"/>
    <cellStyle name="40 % - Akzent5 2 2" xfId="2704"/>
    <cellStyle name="40 % - Akzent5 3" xfId="2705"/>
    <cellStyle name="40 % - Akzent6" xfId="2706"/>
    <cellStyle name="40 % - Akzent6 2" xfId="2707"/>
    <cellStyle name="40 % - Akzent6 2 2" xfId="2708"/>
    <cellStyle name="40 % - Akzent6 3" xfId="2709"/>
    <cellStyle name="40% - Accent1 10" xfId="2710"/>
    <cellStyle name="40% - Accent1 10 2" xfId="2711"/>
    <cellStyle name="40% - Accent1 11" xfId="2712"/>
    <cellStyle name="40% - Accent1 11 2" xfId="2713"/>
    <cellStyle name="40% - Accent1 12" xfId="2714"/>
    <cellStyle name="40% - Accent1 12 2" xfId="2715"/>
    <cellStyle name="40% - Accent1 13" xfId="2716"/>
    <cellStyle name="40% - Accent1 13 2" xfId="2717"/>
    <cellStyle name="40% - Accent1 14" xfId="2718"/>
    <cellStyle name="40% - Accent1 14 2" xfId="2719"/>
    <cellStyle name="40% - Accent1 15" xfId="2720"/>
    <cellStyle name="40% - Accent1 15 2" xfId="2721"/>
    <cellStyle name="40% - Accent1 16" xfId="2722"/>
    <cellStyle name="40% - Accent1 16 2" xfId="2723"/>
    <cellStyle name="40% - Accent1 17" xfId="2724"/>
    <cellStyle name="40% - Accent1 17 2" xfId="2725"/>
    <cellStyle name="40% - Accent1 18" xfId="2726"/>
    <cellStyle name="40% - Accent1 18 2" xfId="2727"/>
    <cellStyle name="40% - Accent1 19" xfId="2728"/>
    <cellStyle name="40% - Accent1 19 2" xfId="2729"/>
    <cellStyle name="40% - Accent1 2" xfId="2730"/>
    <cellStyle name="40% - Accent1 2 2" xfId="2731"/>
    <cellStyle name="40% - Accent1 2 2 2" xfId="2732"/>
    <cellStyle name="40% - Accent1 2 2 2 2" xfId="2733"/>
    <cellStyle name="40% - Accent1 2 2 3" xfId="2734"/>
    <cellStyle name="40% - Accent1 2 3" xfId="2735"/>
    <cellStyle name="40% - Accent1 2 3 2" xfId="2736"/>
    <cellStyle name="40% - Accent1 2 4" xfId="2737"/>
    <cellStyle name="40% - Accent1 2_AE_FC_QuoteMaster" xfId="2738"/>
    <cellStyle name="40% - Accent1 20" xfId="2739"/>
    <cellStyle name="40% - Accent1 20 2" xfId="2740"/>
    <cellStyle name="40% - Accent1 21" xfId="2741"/>
    <cellStyle name="40% - Accent1 21 2" xfId="2742"/>
    <cellStyle name="40% - Accent1 22" xfId="2743"/>
    <cellStyle name="40% - Accent1 22 2" xfId="2744"/>
    <cellStyle name="40% - Accent1 23" xfId="2745"/>
    <cellStyle name="40% - Accent1 23 2" xfId="2746"/>
    <cellStyle name="40% - Accent1 24" xfId="2747"/>
    <cellStyle name="40% - Accent1 24 2" xfId="2748"/>
    <cellStyle name="40% - Accent1 25" xfId="2749"/>
    <cellStyle name="40% - Accent1 25 2" xfId="2750"/>
    <cellStyle name="40% - Accent1 26" xfId="2751"/>
    <cellStyle name="40% - Accent1 26 2" xfId="2752"/>
    <cellStyle name="40% - Accent1 27" xfId="2753"/>
    <cellStyle name="40% - Accent1 27 2" xfId="2754"/>
    <cellStyle name="40% - Accent1 28" xfId="2755"/>
    <cellStyle name="40% - Accent1 28 2" xfId="2756"/>
    <cellStyle name="40% - Accent1 29" xfId="2757"/>
    <cellStyle name="40% - Accent1 29 2" xfId="2758"/>
    <cellStyle name="40% - Accent1 3" xfId="2759"/>
    <cellStyle name="40% - Accent1 3 2" xfId="2760"/>
    <cellStyle name="40% - Accent1 3 2 2" xfId="2761"/>
    <cellStyle name="40% - Accent1 3 2 2 2" xfId="2762"/>
    <cellStyle name="40% - Accent1 3 2 3" xfId="2763"/>
    <cellStyle name="40% - Accent1 3 3" xfId="2764"/>
    <cellStyle name="40% - Accent1 3 3 2" xfId="2765"/>
    <cellStyle name="40% - Accent1 3 4" xfId="2766"/>
    <cellStyle name="40% - Accent1 30" xfId="2767"/>
    <cellStyle name="40% - Accent1 30 2" xfId="2768"/>
    <cellStyle name="40% - Accent1 31" xfId="2769"/>
    <cellStyle name="40% - Accent1 31 2" xfId="2770"/>
    <cellStyle name="40% - Accent1 32" xfId="2771"/>
    <cellStyle name="40% - Accent1 32 2" xfId="2772"/>
    <cellStyle name="40% - Accent1 33" xfId="2773"/>
    <cellStyle name="40% - Accent1 33 2" xfId="2774"/>
    <cellStyle name="40% - Accent1 34" xfId="2775"/>
    <cellStyle name="40% - Accent1 34 2" xfId="2776"/>
    <cellStyle name="40% - Accent1 35" xfId="2777"/>
    <cellStyle name="40% - Accent1 35 2" xfId="2778"/>
    <cellStyle name="40% - Accent1 36" xfId="2779"/>
    <cellStyle name="40% - Accent1 36 2" xfId="2780"/>
    <cellStyle name="40% - Accent1 37" xfId="2781"/>
    <cellStyle name="40% - Accent1 37 2" xfId="2782"/>
    <cellStyle name="40% - Accent1 38" xfId="2783"/>
    <cellStyle name="40% - Accent1 38 2" xfId="2784"/>
    <cellStyle name="40% - Accent1 39" xfId="2785"/>
    <cellStyle name="40% - Accent1 39 2" xfId="2786"/>
    <cellStyle name="40% - Accent1 4" xfId="2787"/>
    <cellStyle name="40% - Accent1 4 2" xfId="2788"/>
    <cellStyle name="40% - Accent1 4 2 2" xfId="2789"/>
    <cellStyle name="40% - Accent1 4 3" xfId="2790"/>
    <cellStyle name="40% - Accent1 40" xfId="2791"/>
    <cellStyle name="40% - Accent1 40 2" xfId="2792"/>
    <cellStyle name="40% - Accent1 41" xfId="2793"/>
    <cellStyle name="40% - Accent1 41 2" xfId="2794"/>
    <cellStyle name="40% - Accent1 42" xfId="2795"/>
    <cellStyle name="40% - Accent1 42 2" xfId="2796"/>
    <cellStyle name="40% - Accent1 43" xfId="2797"/>
    <cellStyle name="40% - Accent1 43 2" xfId="2798"/>
    <cellStyle name="40% - Accent1 44" xfId="2799"/>
    <cellStyle name="40% - Accent1 44 2" xfId="2800"/>
    <cellStyle name="40% - Accent1 45" xfId="2801"/>
    <cellStyle name="40% - Accent1 45 2" xfId="2802"/>
    <cellStyle name="40% - Accent1 46" xfId="2803"/>
    <cellStyle name="40% - Accent1 46 2" xfId="2804"/>
    <cellStyle name="40% - Accent1 47" xfId="2805"/>
    <cellStyle name="40% - Accent1 47 2" xfId="2806"/>
    <cellStyle name="40% - Accent1 48" xfId="2807"/>
    <cellStyle name="40% - Accent1 48 2" xfId="2808"/>
    <cellStyle name="40% - Accent1 49" xfId="2809"/>
    <cellStyle name="40% - Accent1 49 2" xfId="2810"/>
    <cellStyle name="40% - Accent1 5" xfId="2811"/>
    <cellStyle name="40% - Accent1 5 2" xfId="2812"/>
    <cellStyle name="40% - Accent1 50" xfId="2813"/>
    <cellStyle name="40% - Accent1 50 2" xfId="2814"/>
    <cellStyle name="40% - Accent1 51" xfId="2815"/>
    <cellStyle name="40% - Accent1 51 2" xfId="2816"/>
    <cellStyle name="40% - Accent1 52" xfId="2817"/>
    <cellStyle name="40% - Accent1 52 2" xfId="2818"/>
    <cellStyle name="40% - Accent1 53" xfId="2819"/>
    <cellStyle name="40% - Accent1 53 2" xfId="2820"/>
    <cellStyle name="40% - Accent1 54" xfId="2821"/>
    <cellStyle name="40% - Accent1 54 2" xfId="2822"/>
    <cellStyle name="40% - Accent1 55" xfId="2823"/>
    <cellStyle name="40% - Accent1 55 2" xfId="2824"/>
    <cellStyle name="40% - Accent1 56" xfId="2825"/>
    <cellStyle name="40% - Accent1 56 2" xfId="2826"/>
    <cellStyle name="40% - Accent1 57" xfId="2827"/>
    <cellStyle name="40% - Accent1 57 2" xfId="2828"/>
    <cellStyle name="40% - Accent1 58" xfId="2829"/>
    <cellStyle name="40% - Accent1 58 2" xfId="2830"/>
    <cellStyle name="40% - Accent1 59" xfId="2831"/>
    <cellStyle name="40% - Accent1 59 2" xfId="2832"/>
    <cellStyle name="40% - Accent1 6" xfId="2833"/>
    <cellStyle name="40% - Accent1 6 2" xfId="2834"/>
    <cellStyle name="40% - Accent1 60" xfId="2835"/>
    <cellStyle name="40% - Accent1 60 2" xfId="2836"/>
    <cellStyle name="40% - Accent1 61" xfId="2837"/>
    <cellStyle name="40% - Accent1 61 2" xfId="2838"/>
    <cellStyle name="40% - Accent1 62" xfId="2839"/>
    <cellStyle name="40% - Accent1 62 2" xfId="2840"/>
    <cellStyle name="40% - Accent1 63" xfId="2841"/>
    <cellStyle name="40% - Accent1 63 2" xfId="2842"/>
    <cellStyle name="40% - Accent1 64" xfId="2843"/>
    <cellStyle name="40% - Accent1 64 2" xfId="2844"/>
    <cellStyle name="40% - Accent1 65" xfId="2845"/>
    <cellStyle name="40% - Accent1 65 2" xfId="2846"/>
    <cellStyle name="40% - Accent1 66" xfId="2847"/>
    <cellStyle name="40% - Accent1 66 2" xfId="2848"/>
    <cellStyle name="40% - Accent1 67" xfId="2849"/>
    <cellStyle name="40% - Accent1 67 2" xfId="2850"/>
    <cellStyle name="40% - Accent1 68" xfId="2851"/>
    <cellStyle name="40% - Accent1 68 2" xfId="2852"/>
    <cellStyle name="40% - Accent1 69" xfId="2853"/>
    <cellStyle name="40% - Accent1 69 2" xfId="2854"/>
    <cellStyle name="40% - Accent1 7" xfId="2855"/>
    <cellStyle name="40% - Accent1 7 2" xfId="2856"/>
    <cellStyle name="40% - Accent1 70" xfId="2857"/>
    <cellStyle name="40% - Accent1 70 2" xfId="2858"/>
    <cellStyle name="40% - Accent1 8" xfId="2859"/>
    <cellStyle name="40% - Accent1 8 2" xfId="2860"/>
    <cellStyle name="40% - Accent1 9" xfId="2861"/>
    <cellStyle name="40% - Accent1 9 2" xfId="2862"/>
    <cellStyle name="40% - Accent2 10" xfId="2863"/>
    <cellStyle name="40% - Accent2 10 2" xfId="2864"/>
    <cellStyle name="40% - Accent2 11" xfId="2865"/>
    <cellStyle name="40% - Accent2 11 2" xfId="2866"/>
    <cellStyle name="40% - Accent2 12" xfId="2867"/>
    <cellStyle name="40% - Accent2 12 2" xfId="2868"/>
    <cellStyle name="40% - Accent2 13" xfId="2869"/>
    <cellStyle name="40% - Accent2 13 2" xfId="2870"/>
    <cellStyle name="40% - Accent2 14" xfId="2871"/>
    <cellStyle name="40% - Accent2 14 2" xfId="2872"/>
    <cellStyle name="40% - Accent2 15" xfId="2873"/>
    <cellStyle name="40% - Accent2 15 2" xfId="2874"/>
    <cellStyle name="40% - Accent2 16" xfId="2875"/>
    <cellStyle name="40% - Accent2 16 2" xfId="2876"/>
    <cellStyle name="40% - Accent2 17" xfId="2877"/>
    <cellStyle name="40% - Accent2 17 2" xfId="2878"/>
    <cellStyle name="40% - Accent2 18" xfId="2879"/>
    <cellStyle name="40% - Accent2 18 2" xfId="2880"/>
    <cellStyle name="40% - Accent2 19" xfId="2881"/>
    <cellStyle name="40% - Accent2 19 2" xfId="2882"/>
    <cellStyle name="40% - Accent2 2" xfId="2883"/>
    <cellStyle name="40% - Accent2 2 2" xfId="2884"/>
    <cellStyle name="40% - Accent2 2 2 2" xfId="2885"/>
    <cellStyle name="40% - Accent2 2 2 2 2" xfId="2886"/>
    <cellStyle name="40% - Accent2 2 2 3" xfId="2887"/>
    <cellStyle name="40% - Accent2 2 3" xfId="2888"/>
    <cellStyle name="40% - Accent2 2 3 2" xfId="2889"/>
    <cellStyle name="40% - Accent2 2 4" xfId="2890"/>
    <cellStyle name="40% - Accent2 2_AE_FC_QuoteMaster" xfId="2891"/>
    <cellStyle name="40% - Accent2 20" xfId="2892"/>
    <cellStyle name="40% - Accent2 20 2" xfId="2893"/>
    <cellStyle name="40% - Accent2 21" xfId="2894"/>
    <cellStyle name="40% - Accent2 21 2" xfId="2895"/>
    <cellStyle name="40% - Accent2 22" xfId="2896"/>
    <cellStyle name="40% - Accent2 22 2" xfId="2897"/>
    <cellStyle name="40% - Accent2 23" xfId="2898"/>
    <cellStyle name="40% - Accent2 23 2" xfId="2899"/>
    <cellStyle name="40% - Accent2 24" xfId="2900"/>
    <cellStyle name="40% - Accent2 24 2" xfId="2901"/>
    <cellStyle name="40% - Accent2 25" xfId="2902"/>
    <cellStyle name="40% - Accent2 25 2" xfId="2903"/>
    <cellStyle name="40% - Accent2 26" xfId="2904"/>
    <cellStyle name="40% - Accent2 26 2" xfId="2905"/>
    <cellStyle name="40% - Accent2 27" xfId="2906"/>
    <cellStyle name="40% - Accent2 27 2" xfId="2907"/>
    <cellStyle name="40% - Accent2 28" xfId="2908"/>
    <cellStyle name="40% - Accent2 28 2" xfId="2909"/>
    <cellStyle name="40% - Accent2 29" xfId="2910"/>
    <cellStyle name="40% - Accent2 29 2" xfId="2911"/>
    <cellStyle name="40% - Accent2 3" xfId="2912"/>
    <cellStyle name="40% - Accent2 3 2" xfId="2913"/>
    <cellStyle name="40% - Accent2 3 2 2" xfId="2914"/>
    <cellStyle name="40% - Accent2 3 2 2 2" xfId="2915"/>
    <cellStyle name="40% - Accent2 3 2 3" xfId="2916"/>
    <cellStyle name="40% - Accent2 3 3" xfId="2917"/>
    <cellStyle name="40% - Accent2 3 3 2" xfId="2918"/>
    <cellStyle name="40% - Accent2 3 4" xfId="2919"/>
    <cellStyle name="40% - Accent2 30" xfId="2920"/>
    <cellStyle name="40% - Accent2 30 2" xfId="2921"/>
    <cellStyle name="40% - Accent2 31" xfId="2922"/>
    <cellStyle name="40% - Accent2 31 2" xfId="2923"/>
    <cellStyle name="40% - Accent2 32" xfId="2924"/>
    <cellStyle name="40% - Accent2 32 2" xfId="2925"/>
    <cellStyle name="40% - Accent2 33" xfId="2926"/>
    <cellStyle name="40% - Accent2 33 2" xfId="2927"/>
    <cellStyle name="40% - Accent2 34" xfId="2928"/>
    <cellStyle name="40% - Accent2 34 2" xfId="2929"/>
    <cellStyle name="40% - Accent2 35" xfId="2930"/>
    <cellStyle name="40% - Accent2 35 2" xfId="2931"/>
    <cellStyle name="40% - Accent2 36" xfId="2932"/>
    <cellStyle name="40% - Accent2 36 2" xfId="2933"/>
    <cellStyle name="40% - Accent2 37" xfId="2934"/>
    <cellStyle name="40% - Accent2 37 2" xfId="2935"/>
    <cellStyle name="40% - Accent2 38" xfId="2936"/>
    <cellStyle name="40% - Accent2 38 2" xfId="2937"/>
    <cellStyle name="40% - Accent2 39" xfId="2938"/>
    <cellStyle name="40% - Accent2 39 2" xfId="2939"/>
    <cellStyle name="40% - Accent2 4" xfId="2940"/>
    <cellStyle name="40% - Accent2 4 2" xfId="2941"/>
    <cellStyle name="40% - Accent2 4 2 2" xfId="2942"/>
    <cellStyle name="40% - Accent2 4 3" xfId="2943"/>
    <cellStyle name="40% - Accent2 40" xfId="2944"/>
    <cellStyle name="40% - Accent2 40 2" xfId="2945"/>
    <cellStyle name="40% - Accent2 41" xfId="2946"/>
    <cellStyle name="40% - Accent2 41 2" xfId="2947"/>
    <cellStyle name="40% - Accent2 42" xfId="2948"/>
    <cellStyle name="40% - Accent2 42 2" xfId="2949"/>
    <cellStyle name="40% - Accent2 43" xfId="2950"/>
    <cellStyle name="40% - Accent2 43 2" xfId="2951"/>
    <cellStyle name="40% - Accent2 44" xfId="2952"/>
    <cellStyle name="40% - Accent2 44 2" xfId="2953"/>
    <cellStyle name="40% - Accent2 45" xfId="2954"/>
    <cellStyle name="40% - Accent2 45 2" xfId="2955"/>
    <cellStyle name="40% - Accent2 46" xfId="2956"/>
    <cellStyle name="40% - Accent2 46 2" xfId="2957"/>
    <cellStyle name="40% - Accent2 47" xfId="2958"/>
    <cellStyle name="40% - Accent2 47 2" xfId="2959"/>
    <cellStyle name="40% - Accent2 48" xfId="2960"/>
    <cellStyle name="40% - Accent2 48 2" xfId="2961"/>
    <cellStyle name="40% - Accent2 49" xfId="2962"/>
    <cellStyle name="40% - Accent2 49 2" xfId="2963"/>
    <cellStyle name="40% - Accent2 5" xfId="2964"/>
    <cellStyle name="40% - Accent2 5 2" xfId="2965"/>
    <cellStyle name="40% - Accent2 50" xfId="2966"/>
    <cellStyle name="40% - Accent2 50 2" xfId="2967"/>
    <cellStyle name="40% - Accent2 51" xfId="2968"/>
    <cellStyle name="40% - Accent2 51 2" xfId="2969"/>
    <cellStyle name="40% - Accent2 52" xfId="2970"/>
    <cellStyle name="40% - Accent2 52 2" xfId="2971"/>
    <cellStyle name="40% - Accent2 53" xfId="2972"/>
    <cellStyle name="40% - Accent2 53 2" xfId="2973"/>
    <cellStyle name="40% - Accent2 54" xfId="2974"/>
    <cellStyle name="40% - Accent2 54 2" xfId="2975"/>
    <cellStyle name="40% - Accent2 55" xfId="2976"/>
    <cellStyle name="40% - Accent2 55 2" xfId="2977"/>
    <cellStyle name="40% - Accent2 56" xfId="2978"/>
    <cellStyle name="40% - Accent2 56 2" xfId="2979"/>
    <cellStyle name="40% - Accent2 57" xfId="2980"/>
    <cellStyle name="40% - Accent2 57 2" xfId="2981"/>
    <cellStyle name="40% - Accent2 58" xfId="2982"/>
    <cellStyle name="40% - Accent2 58 2" xfId="2983"/>
    <cellStyle name="40% - Accent2 59" xfId="2984"/>
    <cellStyle name="40% - Accent2 59 2" xfId="2985"/>
    <cellStyle name="40% - Accent2 6" xfId="2986"/>
    <cellStyle name="40% - Accent2 6 2" xfId="2987"/>
    <cellStyle name="40% - Accent2 60" xfId="2988"/>
    <cellStyle name="40% - Accent2 60 2" xfId="2989"/>
    <cellStyle name="40% - Accent2 61" xfId="2990"/>
    <cellStyle name="40% - Accent2 61 2" xfId="2991"/>
    <cellStyle name="40% - Accent2 62" xfId="2992"/>
    <cellStyle name="40% - Accent2 62 2" xfId="2993"/>
    <cellStyle name="40% - Accent2 63" xfId="2994"/>
    <cellStyle name="40% - Accent2 63 2" xfId="2995"/>
    <cellStyle name="40% - Accent2 64" xfId="2996"/>
    <cellStyle name="40% - Accent2 64 2" xfId="2997"/>
    <cellStyle name="40% - Accent2 65" xfId="2998"/>
    <cellStyle name="40% - Accent2 65 2" xfId="2999"/>
    <cellStyle name="40% - Accent2 66" xfId="3000"/>
    <cellStyle name="40% - Accent2 66 2" xfId="3001"/>
    <cellStyle name="40% - Accent2 67" xfId="3002"/>
    <cellStyle name="40% - Accent2 67 2" xfId="3003"/>
    <cellStyle name="40% - Accent2 68" xfId="3004"/>
    <cellStyle name="40% - Accent2 68 2" xfId="3005"/>
    <cellStyle name="40% - Accent2 69" xfId="3006"/>
    <cellStyle name="40% - Accent2 69 2" xfId="3007"/>
    <cellStyle name="40% - Accent2 7" xfId="3008"/>
    <cellStyle name="40% - Accent2 7 2" xfId="3009"/>
    <cellStyle name="40% - Accent2 70" xfId="3010"/>
    <cellStyle name="40% - Accent2 70 2" xfId="3011"/>
    <cellStyle name="40% - Accent2 8" xfId="3012"/>
    <cellStyle name="40% - Accent2 8 2" xfId="3013"/>
    <cellStyle name="40% - Accent2 9" xfId="3014"/>
    <cellStyle name="40% - Accent2 9 2" xfId="3015"/>
    <cellStyle name="40% - Accent3 10" xfId="3016"/>
    <cellStyle name="40% - Accent3 10 2" xfId="3017"/>
    <cellStyle name="40% - Accent3 11" xfId="3018"/>
    <cellStyle name="40% - Accent3 11 2" xfId="3019"/>
    <cellStyle name="40% - Accent3 12" xfId="3020"/>
    <cellStyle name="40% - Accent3 12 2" xfId="3021"/>
    <cellStyle name="40% - Accent3 13" xfId="3022"/>
    <cellStyle name="40% - Accent3 13 2" xfId="3023"/>
    <cellStyle name="40% - Accent3 14" xfId="3024"/>
    <cellStyle name="40% - Accent3 14 2" xfId="3025"/>
    <cellStyle name="40% - Accent3 15" xfId="3026"/>
    <cellStyle name="40% - Accent3 15 2" xfId="3027"/>
    <cellStyle name="40% - Accent3 16" xfId="3028"/>
    <cellStyle name="40% - Accent3 16 2" xfId="3029"/>
    <cellStyle name="40% - Accent3 17" xfId="3030"/>
    <cellStyle name="40% - Accent3 17 2" xfId="3031"/>
    <cellStyle name="40% - Accent3 18" xfId="3032"/>
    <cellStyle name="40% - Accent3 18 2" xfId="3033"/>
    <cellStyle name="40% - Accent3 19" xfId="3034"/>
    <cellStyle name="40% - Accent3 19 2" xfId="3035"/>
    <cellStyle name="40% - Accent3 2" xfId="3036"/>
    <cellStyle name="40% - Accent3 2 2" xfId="3037"/>
    <cellStyle name="40% - Accent3 2 2 2" xfId="3038"/>
    <cellStyle name="40% - Accent3 2 2 2 2" xfId="3039"/>
    <cellStyle name="40% - Accent3 2 2 3" xfId="3040"/>
    <cellStyle name="40% - Accent3 2 3" xfId="3041"/>
    <cellStyle name="40% - Accent3 2 3 2" xfId="3042"/>
    <cellStyle name="40% - Accent3 2 4" xfId="3043"/>
    <cellStyle name="40% - Accent3 2_AE_FC_QuoteMaster" xfId="3044"/>
    <cellStyle name="40% - Accent3 20" xfId="3045"/>
    <cellStyle name="40% - Accent3 20 2" xfId="3046"/>
    <cellStyle name="40% - Accent3 21" xfId="3047"/>
    <cellStyle name="40% - Accent3 21 2" xfId="3048"/>
    <cellStyle name="40% - Accent3 22" xfId="3049"/>
    <cellStyle name="40% - Accent3 22 2" xfId="3050"/>
    <cellStyle name="40% - Accent3 23" xfId="3051"/>
    <cellStyle name="40% - Accent3 23 2" xfId="3052"/>
    <cellStyle name="40% - Accent3 24" xfId="3053"/>
    <cellStyle name="40% - Accent3 24 2" xfId="3054"/>
    <cellStyle name="40% - Accent3 25" xfId="3055"/>
    <cellStyle name="40% - Accent3 25 2" xfId="3056"/>
    <cellStyle name="40% - Accent3 26" xfId="3057"/>
    <cellStyle name="40% - Accent3 26 2" xfId="3058"/>
    <cellStyle name="40% - Accent3 27" xfId="3059"/>
    <cellStyle name="40% - Accent3 27 2" xfId="3060"/>
    <cellStyle name="40% - Accent3 28" xfId="3061"/>
    <cellStyle name="40% - Accent3 28 2" xfId="3062"/>
    <cellStyle name="40% - Accent3 29" xfId="3063"/>
    <cellStyle name="40% - Accent3 29 2" xfId="3064"/>
    <cellStyle name="40% - Accent3 3" xfId="3065"/>
    <cellStyle name="40% - Accent3 3 2" xfId="3066"/>
    <cellStyle name="40% - Accent3 3 2 2" xfId="3067"/>
    <cellStyle name="40% - Accent3 3 2 2 2" xfId="3068"/>
    <cellStyle name="40% - Accent3 3 2 3" xfId="3069"/>
    <cellStyle name="40% - Accent3 3 3" xfId="3070"/>
    <cellStyle name="40% - Accent3 3 3 2" xfId="3071"/>
    <cellStyle name="40% - Accent3 3 4" xfId="3072"/>
    <cellStyle name="40% - Accent3 3_AE_FC_QuoteMaster" xfId="3073"/>
    <cellStyle name="40% - Accent3 30" xfId="3074"/>
    <cellStyle name="40% - Accent3 30 2" xfId="3075"/>
    <cellStyle name="40% - Accent3 31" xfId="3076"/>
    <cellStyle name="40% - Accent3 31 2" xfId="3077"/>
    <cellStyle name="40% - Accent3 32" xfId="3078"/>
    <cellStyle name="40% - Accent3 32 2" xfId="3079"/>
    <cellStyle name="40% - Accent3 33" xfId="3080"/>
    <cellStyle name="40% - Accent3 33 2" xfId="3081"/>
    <cellStyle name="40% - Accent3 34" xfId="3082"/>
    <cellStyle name="40% - Accent3 34 2" xfId="3083"/>
    <cellStyle name="40% - Accent3 35" xfId="3084"/>
    <cellStyle name="40% - Accent3 35 2" xfId="3085"/>
    <cellStyle name="40% - Accent3 36" xfId="3086"/>
    <cellStyle name="40% - Accent3 36 2" xfId="3087"/>
    <cellStyle name="40% - Accent3 37" xfId="3088"/>
    <cellStyle name="40% - Accent3 37 2" xfId="3089"/>
    <cellStyle name="40% - Accent3 38" xfId="3090"/>
    <cellStyle name="40% - Accent3 38 2" xfId="3091"/>
    <cellStyle name="40% - Accent3 39" xfId="3092"/>
    <cellStyle name="40% - Accent3 39 2" xfId="3093"/>
    <cellStyle name="40% - Accent3 4" xfId="3094"/>
    <cellStyle name="40% - Accent3 4 2" xfId="3095"/>
    <cellStyle name="40% - Accent3 4 2 2" xfId="3096"/>
    <cellStyle name="40% - Accent3 4 3" xfId="3097"/>
    <cellStyle name="40% - Accent3 40" xfId="3098"/>
    <cellStyle name="40% - Accent3 40 2" xfId="3099"/>
    <cellStyle name="40% - Accent3 41" xfId="3100"/>
    <cellStyle name="40% - Accent3 41 2" xfId="3101"/>
    <cellStyle name="40% - Accent3 42" xfId="3102"/>
    <cellStyle name="40% - Accent3 42 2" xfId="3103"/>
    <cellStyle name="40% - Accent3 43" xfId="3104"/>
    <cellStyle name="40% - Accent3 43 2" xfId="3105"/>
    <cellStyle name="40% - Accent3 44" xfId="3106"/>
    <cellStyle name="40% - Accent3 44 2" xfId="3107"/>
    <cellStyle name="40% - Accent3 45" xfId="3108"/>
    <cellStyle name="40% - Accent3 45 2" xfId="3109"/>
    <cellStyle name="40% - Accent3 46" xfId="3110"/>
    <cellStyle name="40% - Accent3 46 2" xfId="3111"/>
    <cellStyle name="40% - Accent3 47" xfId="3112"/>
    <cellStyle name="40% - Accent3 47 2" xfId="3113"/>
    <cellStyle name="40% - Accent3 48" xfId="3114"/>
    <cellStyle name="40% - Accent3 48 2" xfId="3115"/>
    <cellStyle name="40% - Accent3 49" xfId="3116"/>
    <cellStyle name="40% - Accent3 49 2" xfId="3117"/>
    <cellStyle name="40% - Accent3 5" xfId="3118"/>
    <cellStyle name="40% - Accent3 5 2" xfId="3119"/>
    <cellStyle name="40% - Accent3 50" xfId="3120"/>
    <cellStyle name="40% - Accent3 50 2" xfId="3121"/>
    <cellStyle name="40% - Accent3 51" xfId="3122"/>
    <cellStyle name="40% - Accent3 51 2" xfId="3123"/>
    <cellStyle name="40% - Accent3 52" xfId="3124"/>
    <cellStyle name="40% - Accent3 52 2" xfId="3125"/>
    <cellStyle name="40% - Accent3 53" xfId="3126"/>
    <cellStyle name="40% - Accent3 53 2" xfId="3127"/>
    <cellStyle name="40% - Accent3 54" xfId="3128"/>
    <cellStyle name="40% - Accent3 54 2" xfId="3129"/>
    <cellStyle name="40% - Accent3 55" xfId="3130"/>
    <cellStyle name="40% - Accent3 55 2" xfId="3131"/>
    <cellStyle name="40% - Accent3 56" xfId="3132"/>
    <cellStyle name="40% - Accent3 56 2" xfId="3133"/>
    <cellStyle name="40% - Accent3 57" xfId="3134"/>
    <cellStyle name="40% - Accent3 57 2" xfId="3135"/>
    <cellStyle name="40% - Accent3 58" xfId="3136"/>
    <cellStyle name="40% - Accent3 58 2" xfId="3137"/>
    <cellStyle name="40% - Accent3 59" xfId="3138"/>
    <cellStyle name="40% - Accent3 59 2" xfId="3139"/>
    <cellStyle name="40% - Accent3 6" xfId="3140"/>
    <cellStyle name="40% - Accent3 6 2" xfId="3141"/>
    <cellStyle name="40% - Accent3 60" xfId="3142"/>
    <cellStyle name="40% - Accent3 60 2" xfId="3143"/>
    <cellStyle name="40% - Accent3 61" xfId="3144"/>
    <cellStyle name="40% - Accent3 61 2" xfId="3145"/>
    <cellStyle name="40% - Accent3 62" xfId="3146"/>
    <cellStyle name="40% - Accent3 62 2" xfId="3147"/>
    <cellStyle name="40% - Accent3 63" xfId="3148"/>
    <cellStyle name="40% - Accent3 63 2" xfId="3149"/>
    <cellStyle name="40% - Accent3 64" xfId="3150"/>
    <cellStyle name="40% - Accent3 64 2" xfId="3151"/>
    <cellStyle name="40% - Accent3 65" xfId="3152"/>
    <cellStyle name="40% - Accent3 65 2" xfId="3153"/>
    <cellStyle name="40% - Accent3 66" xfId="3154"/>
    <cellStyle name="40% - Accent3 66 2" xfId="3155"/>
    <cellStyle name="40% - Accent3 67" xfId="3156"/>
    <cellStyle name="40% - Accent3 67 2" xfId="3157"/>
    <cellStyle name="40% - Accent3 68" xfId="3158"/>
    <cellStyle name="40% - Accent3 68 2" xfId="3159"/>
    <cellStyle name="40% - Accent3 69" xfId="3160"/>
    <cellStyle name="40% - Accent3 69 2" xfId="3161"/>
    <cellStyle name="40% - Accent3 7" xfId="3162"/>
    <cellStyle name="40% - Accent3 7 2" xfId="3163"/>
    <cellStyle name="40% - Accent3 70" xfId="3164"/>
    <cellStyle name="40% - Accent3 70 2" xfId="3165"/>
    <cellStyle name="40% - Accent3 8" xfId="3166"/>
    <cellStyle name="40% - Accent3 8 2" xfId="3167"/>
    <cellStyle name="40% - Accent3 9" xfId="3168"/>
    <cellStyle name="40% - Accent3 9 2" xfId="3169"/>
    <cellStyle name="40% - Accent4 10" xfId="3170"/>
    <cellStyle name="40% - Accent4 10 2" xfId="3171"/>
    <cellStyle name="40% - Accent4 11" xfId="3172"/>
    <cellStyle name="40% - Accent4 11 2" xfId="3173"/>
    <cellStyle name="40% - Accent4 12" xfId="3174"/>
    <cellStyle name="40% - Accent4 12 2" xfId="3175"/>
    <cellStyle name="40% - Accent4 13" xfId="3176"/>
    <cellStyle name="40% - Accent4 13 2" xfId="3177"/>
    <cellStyle name="40% - Accent4 14" xfId="3178"/>
    <cellStyle name="40% - Accent4 14 2" xfId="3179"/>
    <cellStyle name="40% - Accent4 15" xfId="3180"/>
    <cellStyle name="40% - Accent4 15 2" xfId="3181"/>
    <cellStyle name="40% - Accent4 16" xfId="3182"/>
    <cellStyle name="40% - Accent4 16 2" xfId="3183"/>
    <cellStyle name="40% - Accent4 17" xfId="3184"/>
    <cellStyle name="40% - Accent4 17 2" xfId="3185"/>
    <cellStyle name="40% - Accent4 18" xfId="3186"/>
    <cellStyle name="40% - Accent4 18 2" xfId="3187"/>
    <cellStyle name="40% - Accent4 19" xfId="3188"/>
    <cellStyle name="40% - Accent4 19 2" xfId="3189"/>
    <cellStyle name="40% - Accent4 2" xfId="3190"/>
    <cellStyle name="40% - Accent4 2 2" xfId="3191"/>
    <cellStyle name="40% - Accent4 2 2 2" xfId="3192"/>
    <cellStyle name="40% - Accent4 2 2 2 2" xfId="3193"/>
    <cellStyle name="40% - Accent4 2 2 3" xfId="3194"/>
    <cellStyle name="40% - Accent4 2 3" xfId="3195"/>
    <cellStyle name="40% - Accent4 2 3 2" xfId="3196"/>
    <cellStyle name="40% - Accent4 2 4" xfId="3197"/>
    <cellStyle name="40% - Accent4 2_AE_FC_QuoteMaster" xfId="3198"/>
    <cellStyle name="40% - Accent4 20" xfId="3199"/>
    <cellStyle name="40% - Accent4 20 2" xfId="3200"/>
    <cellStyle name="40% - Accent4 21" xfId="3201"/>
    <cellStyle name="40% - Accent4 21 2" xfId="3202"/>
    <cellStyle name="40% - Accent4 22" xfId="3203"/>
    <cellStyle name="40% - Accent4 22 2" xfId="3204"/>
    <cellStyle name="40% - Accent4 23" xfId="3205"/>
    <cellStyle name="40% - Accent4 23 2" xfId="3206"/>
    <cellStyle name="40% - Accent4 24" xfId="3207"/>
    <cellStyle name="40% - Accent4 24 2" xfId="3208"/>
    <cellStyle name="40% - Accent4 25" xfId="3209"/>
    <cellStyle name="40% - Accent4 25 2" xfId="3210"/>
    <cellStyle name="40% - Accent4 26" xfId="3211"/>
    <cellStyle name="40% - Accent4 26 2" xfId="3212"/>
    <cellStyle name="40% - Accent4 27" xfId="3213"/>
    <cellStyle name="40% - Accent4 27 2" xfId="3214"/>
    <cellStyle name="40% - Accent4 28" xfId="3215"/>
    <cellStyle name="40% - Accent4 28 2" xfId="3216"/>
    <cellStyle name="40% - Accent4 29" xfId="3217"/>
    <cellStyle name="40% - Accent4 29 2" xfId="3218"/>
    <cellStyle name="40% - Accent4 3" xfId="3219"/>
    <cellStyle name="40% - Accent4 3 2" xfId="3220"/>
    <cellStyle name="40% - Accent4 3 2 2" xfId="3221"/>
    <cellStyle name="40% - Accent4 3 2 2 2" xfId="3222"/>
    <cellStyle name="40% - Accent4 3 2 3" xfId="3223"/>
    <cellStyle name="40% - Accent4 3 3" xfId="3224"/>
    <cellStyle name="40% - Accent4 3 3 2" xfId="3225"/>
    <cellStyle name="40% - Accent4 3 4" xfId="3226"/>
    <cellStyle name="40% - Accent4 30" xfId="3227"/>
    <cellStyle name="40% - Accent4 30 2" xfId="3228"/>
    <cellStyle name="40% - Accent4 31" xfId="3229"/>
    <cellStyle name="40% - Accent4 31 2" xfId="3230"/>
    <cellStyle name="40% - Accent4 32" xfId="3231"/>
    <cellStyle name="40% - Accent4 32 2" xfId="3232"/>
    <cellStyle name="40% - Accent4 33" xfId="3233"/>
    <cellStyle name="40% - Accent4 33 2" xfId="3234"/>
    <cellStyle name="40% - Accent4 34" xfId="3235"/>
    <cellStyle name="40% - Accent4 34 2" xfId="3236"/>
    <cellStyle name="40% - Accent4 35" xfId="3237"/>
    <cellStyle name="40% - Accent4 35 2" xfId="3238"/>
    <cellStyle name="40% - Accent4 36" xfId="3239"/>
    <cellStyle name="40% - Accent4 36 2" xfId="3240"/>
    <cellStyle name="40% - Accent4 37" xfId="3241"/>
    <cellStyle name="40% - Accent4 37 2" xfId="3242"/>
    <cellStyle name="40% - Accent4 38" xfId="3243"/>
    <cellStyle name="40% - Accent4 38 2" xfId="3244"/>
    <cellStyle name="40% - Accent4 39" xfId="3245"/>
    <cellStyle name="40% - Accent4 39 2" xfId="3246"/>
    <cellStyle name="40% - Accent4 4" xfId="3247"/>
    <cellStyle name="40% - Accent4 4 2" xfId="3248"/>
    <cellStyle name="40% - Accent4 4 2 2" xfId="3249"/>
    <cellStyle name="40% - Accent4 4 3" xfId="3250"/>
    <cellStyle name="40% - Accent4 40" xfId="3251"/>
    <cellStyle name="40% - Accent4 40 2" xfId="3252"/>
    <cellStyle name="40% - Accent4 41" xfId="3253"/>
    <cellStyle name="40% - Accent4 41 2" xfId="3254"/>
    <cellStyle name="40% - Accent4 42" xfId="3255"/>
    <cellStyle name="40% - Accent4 42 2" xfId="3256"/>
    <cellStyle name="40% - Accent4 43" xfId="3257"/>
    <cellStyle name="40% - Accent4 43 2" xfId="3258"/>
    <cellStyle name="40% - Accent4 44" xfId="3259"/>
    <cellStyle name="40% - Accent4 44 2" xfId="3260"/>
    <cellStyle name="40% - Accent4 45" xfId="3261"/>
    <cellStyle name="40% - Accent4 45 2" xfId="3262"/>
    <cellStyle name="40% - Accent4 46" xfId="3263"/>
    <cellStyle name="40% - Accent4 46 2" xfId="3264"/>
    <cellStyle name="40% - Accent4 47" xfId="3265"/>
    <cellStyle name="40% - Accent4 47 2" xfId="3266"/>
    <cellStyle name="40% - Accent4 48" xfId="3267"/>
    <cellStyle name="40% - Accent4 48 2" xfId="3268"/>
    <cellStyle name="40% - Accent4 49" xfId="3269"/>
    <cellStyle name="40% - Accent4 49 2" xfId="3270"/>
    <cellStyle name="40% - Accent4 5" xfId="3271"/>
    <cellStyle name="40% - Accent4 5 2" xfId="3272"/>
    <cellStyle name="40% - Accent4 50" xfId="3273"/>
    <cellStyle name="40% - Accent4 50 2" xfId="3274"/>
    <cellStyle name="40% - Accent4 51" xfId="3275"/>
    <cellStyle name="40% - Accent4 51 2" xfId="3276"/>
    <cellStyle name="40% - Accent4 52" xfId="3277"/>
    <cellStyle name="40% - Accent4 52 2" xfId="3278"/>
    <cellStyle name="40% - Accent4 53" xfId="3279"/>
    <cellStyle name="40% - Accent4 53 2" xfId="3280"/>
    <cellStyle name="40% - Accent4 54" xfId="3281"/>
    <cellStyle name="40% - Accent4 54 2" xfId="3282"/>
    <cellStyle name="40% - Accent4 55" xfId="3283"/>
    <cellStyle name="40% - Accent4 55 2" xfId="3284"/>
    <cellStyle name="40% - Accent4 56" xfId="3285"/>
    <cellStyle name="40% - Accent4 56 2" xfId="3286"/>
    <cellStyle name="40% - Accent4 57" xfId="3287"/>
    <cellStyle name="40% - Accent4 57 2" xfId="3288"/>
    <cellStyle name="40% - Accent4 58" xfId="3289"/>
    <cellStyle name="40% - Accent4 58 2" xfId="3290"/>
    <cellStyle name="40% - Accent4 59" xfId="3291"/>
    <cellStyle name="40% - Accent4 59 2" xfId="3292"/>
    <cellStyle name="40% - Accent4 6" xfId="3293"/>
    <cellStyle name="40% - Accent4 6 2" xfId="3294"/>
    <cellStyle name="40% - Accent4 60" xfId="3295"/>
    <cellStyle name="40% - Accent4 60 2" xfId="3296"/>
    <cellStyle name="40% - Accent4 61" xfId="3297"/>
    <cellStyle name="40% - Accent4 61 2" xfId="3298"/>
    <cellStyle name="40% - Accent4 62" xfId="3299"/>
    <cellStyle name="40% - Accent4 62 2" xfId="3300"/>
    <cellStyle name="40% - Accent4 63" xfId="3301"/>
    <cellStyle name="40% - Accent4 63 2" xfId="3302"/>
    <cellStyle name="40% - Accent4 64" xfId="3303"/>
    <cellStyle name="40% - Accent4 64 2" xfId="3304"/>
    <cellStyle name="40% - Accent4 65" xfId="3305"/>
    <cellStyle name="40% - Accent4 65 2" xfId="3306"/>
    <cellStyle name="40% - Accent4 66" xfId="3307"/>
    <cellStyle name="40% - Accent4 66 2" xfId="3308"/>
    <cellStyle name="40% - Accent4 67" xfId="3309"/>
    <cellStyle name="40% - Accent4 67 2" xfId="3310"/>
    <cellStyle name="40% - Accent4 68" xfId="3311"/>
    <cellStyle name="40% - Accent4 68 2" xfId="3312"/>
    <cellStyle name="40% - Accent4 69" xfId="3313"/>
    <cellStyle name="40% - Accent4 69 2" xfId="3314"/>
    <cellStyle name="40% - Accent4 7" xfId="3315"/>
    <cellStyle name="40% - Accent4 7 2" xfId="3316"/>
    <cellStyle name="40% - Accent4 70" xfId="3317"/>
    <cellStyle name="40% - Accent4 70 2" xfId="3318"/>
    <cellStyle name="40% - Accent4 8" xfId="3319"/>
    <cellStyle name="40% - Accent4 8 2" xfId="3320"/>
    <cellStyle name="40% - Accent4 9" xfId="3321"/>
    <cellStyle name="40% - Accent4 9 2" xfId="3322"/>
    <cellStyle name="40% - Accent5 10" xfId="3323"/>
    <cellStyle name="40% - Accent5 10 2" xfId="3324"/>
    <cellStyle name="40% - Accent5 11" xfId="3325"/>
    <cellStyle name="40% - Accent5 11 2" xfId="3326"/>
    <cellStyle name="40% - Accent5 12" xfId="3327"/>
    <cellStyle name="40% - Accent5 12 2" xfId="3328"/>
    <cellStyle name="40% - Accent5 13" xfId="3329"/>
    <cellStyle name="40% - Accent5 13 2" xfId="3330"/>
    <cellStyle name="40% - Accent5 14" xfId="3331"/>
    <cellStyle name="40% - Accent5 14 2" xfId="3332"/>
    <cellStyle name="40% - Accent5 15" xfId="3333"/>
    <cellStyle name="40% - Accent5 15 2" xfId="3334"/>
    <cellStyle name="40% - Accent5 16" xfId="3335"/>
    <cellStyle name="40% - Accent5 16 2" xfId="3336"/>
    <cellStyle name="40% - Accent5 17" xfId="3337"/>
    <cellStyle name="40% - Accent5 17 2" xfId="3338"/>
    <cellStyle name="40% - Accent5 18" xfId="3339"/>
    <cellStyle name="40% - Accent5 18 2" xfId="3340"/>
    <cellStyle name="40% - Accent5 19" xfId="3341"/>
    <cellStyle name="40% - Accent5 19 2" xfId="3342"/>
    <cellStyle name="40% - Accent5 2" xfId="3343"/>
    <cellStyle name="40% - Accent5 2 2" xfId="3344"/>
    <cellStyle name="40% - Accent5 2 2 2" xfId="3345"/>
    <cellStyle name="40% - Accent5 2 2 2 2" xfId="3346"/>
    <cellStyle name="40% - Accent5 2 2 3" xfId="3347"/>
    <cellStyle name="40% - Accent5 2 3" xfId="3348"/>
    <cellStyle name="40% - Accent5 2 3 2" xfId="3349"/>
    <cellStyle name="40% - Accent5 2 4" xfId="3350"/>
    <cellStyle name="40% - Accent5 2_AE_FC_QuoteMaster" xfId="3351"/>
    <cellStyle name="40% - Accent5 20" xfId="3352"/>
    <cellStyle name="40% - Accent5 20 2" xfId="3353"/>
    <cellStyle name="40% - Accent5 21" xfId="3354"/>
    <cellStyle name="40% - Accent5 21 2" xfId="3355"/>
    <cellStyle name="40% - Accent5 22" xfId="3356"/>
    <cellStyle name="40% - Accent5 22 2" xfId="3357"/>
    <cellStyle name="40% - Accent5 23" xfId="3358"/>
    <cellStyle name="40% - Accent5 23 2" xfId="3359"/>
    <cellStyle name="40% - Accent5 24" xfId="3360"/>
    <cellStyle name="40% - Accent5 24 2" xfId="3361"/>
    <cellStyle name="40% - Accent5 25" xfId="3362"/>
    <cellStyle name="40% - Accent5 25 2" xfId="3363"/>
    <cellStyle name="40% - Accent5 26" xfId="3364"/>
    <cellStyle name="40% - Accent5 26 2" xfId="3365"/>
    <cellStyle name="40% - Accent5 27" xfId="3366"/>
    <cellStyle name="40% - Accent5 27 2" xfId="3367"/>
    <cellStyle name="40% - Accent5 28" xfId="3368"/>
    <cellStyle name="40% - Accent5 28 2" xfId="3369"/>
    <cellStyle name="40% - Accent5 29" xfId="3370"/>
    <cellStyle name="40% - Accent5 29 2" xfId="3371"/>
    <cellStyle name="40% - Accent5 3" xfId="3372"/>
    <cellStyle name="40% - Accent5 3 2" xfId="3373"/>
    <cellStyle name="40% - Accent5 3 2 2" xfId="3374"/>
    <cellStyle name="40% - Accent5 3 2 2 2" xfId="3375"/>
    <cellStyle name="40% - Accent5 3 2 3" xfId="3376"/>
    <cellStyle name="40% - Accent5 3 3" xfId="3377"/>
    <cellStyle name="40% - Accent5 3 3 2" xfId="3378"/>
    <cellStyle name="40% - Accent5 3 4" xfId="3379"/>
    <cellStyle name="40% - Accent5 30" xfId="3380"/>
    <cellStyle name="40% - Accent5 30 2" xfId="3381"/>
    <cellStyle name="40% - Accent5 31" xfId="3382"/>
    <cellStyle name="40% - Accent5 31 2" xfId="3383"/>
    <cellStyle name="40% - Accent5 32" xfId="3384"/>
    <cellStyle name="40% - Accent5 32 2" xfId="3385"/>
    <cellStyle name="40% - Accent5 33" xfId="3386"/>
    <cellStyle name="40% - Accent5 33 2" xfId="3387"/>
    <cellStyle name="40% - Accent5 34" xfId="3388"/>
    <cellStyle name="40% - Accent5 34 2" xfId="3389"/>
    <cellStyle name="40% - Accent5 35" xfId="3390"/>
    <cellStyle name="40% - Accent5 35 2" xfId="3391"/>
    <cellStyle name="40% - Accent5 36" xfId="3392"/>
    <cellStyle name="40% - Accent5 36 2" xfId="3393"/>
    <cellStyle name="40% - Accent5 37" xfId="3394"/>
    <cellStyle name="40% - Accent5 37 2" xfId="3395"/>
    <cellStyle name="40% - Accent5 38" xfId="3396"/>
    <cellStyle name="40% - Accent5 38 2" xfId="3397"/>
    <cellStyle name="40% - Accent5 39" xfId="3398"/>
    <cellStyle name="40% - Accent5 39 2" xfId="3399"/>
    <cellStyle name="40% - Accent5 4" xfId="3400"/>
    <cellStyle name="40% - Accent5 4 2" xfId="3401"/>
    <cellStyle name="40% - Accent5 4 2 2" xfId="3402"/>
    <cellStyle name="40% - Accent5 4 3" xfId="3403"/>
    <cellStyle name="40% - Accent5 40" xfId="3404"/>
    <cellStyle name="40% - Accent5 40 2" xfId="3405"/>
    <cellStyle name="40% - Accent5 41" xfId="3406"/>
    <cellStyle name="40% - Accent5 41 2" xfId="3407"/>
    <cellStyle name="40% - Accent5 42" xfId="3408"/>
    <cellStyle name="40% - Accent5 42 2" xfId="3409"/>
    <cellStyle name="40% - Accent5 43" xfId="3410"/>
    <cellStyle name="40% - Accent5 43 2" xfId="3411"/>
    <cellStyle name="40% - Accent5 44" xfId="3412"/>
    <cellStyle name="40% - Accent5 44 2" xfId="3413"/>
    <cellStyle name="40% - Accent5 45" xfId="3414"/>
    <cellStyle name="40% - Accent5 45 2" xfId="3415"/>
    <cellStyle name="40% - Accent5 46" xfId="3416"/>
    <cellStyle name="40% - Accent5 46 2" xfId="3417"/>
    <cellStyle name="40% - Accent5 47" xfId="3418"/>
    <cellStyle name="40% - Accent5 47 2" xfId="3419"/>
    <cellStyle name="40% - Accent5 48" xfId="3420"/>
    <cellStyle name="40% - Accent5 48 2" xfId="3421"/>
    <cellStyle name="40% - Accent5 49" xfId="3422"/>
    <cellStyle name="40% - Accent5 49 2" xfId="3423"/>
    <cellStyle name="40% - Accent5 5" xfId="3424"/>
    <cellStyle name="40% - Accent5 5 2" xfId="3425"/>
    <cellStyle name="40% - Accent5 50" xfId="3426"/>
    <cellStyle name="40% - Accent5 50 2" xfId="3427"/>
    <cellStyle name="40% - Accent5 51" xfId="3428"/>
    <cellStyle name="40% - Accent5 51 2" xfId="3429"/>
    <cellStyle name="40% - Accent5 52" xfId="3430"/>
    <cellStyle name="40% - Accent5 52 2" xfId="3431"/>
    <cellStyle name="40% - Accent5 53" xfId="3432"/>
    <cellStyle name="40% - Accent5 53 2" xfId="3433"/>
    <cellStyle name="40% - Accent5 54" xfId="3434"/>
    <cellStyle name="40% - Accent5 54 2" xfId="3435"/>
    <cellStyle name="40% - Accent5 55" xfId="3436"/>
    <cellStyle name="40% - Accent5 55 2" xfId="3437"/>
    <cellStyle name="40% - Accent5 56" xfId="3438"/>
    <cellStyle name="40% - Accent5 56 2" xfId="3439"/>
    <cellStyle name="40% - Accent5 57" xfId="3440"/>
    <cellStyle name="40% - Accent5 57 2" xfId="3441"/>
    <cellStyle name="40% - Accent5 58" xfId="3442"/>
    <cellStyle name="40% - Accent5 58 2" xfId="3443"/>
    <cellStyle name="40% - Accent5 59" xfId="3444"/>
    <cellStyle name="40% - Accent5 59 2" xfId="3445"/>
    <cellStyle name="40% - Accent5 6" xfId="3446"/>
    <cellStyle name="40% - Accent5 6 2" xfId="3447"/>
    <cellStyle name="40% - Accent5 60" xfId="3448"/>
    <cellStyle name="40% - Accent5 60 2" xfId="3449"/>
    <cellStyle name="40% - Accent5 61" xfId="3450"/>
    <cellStyle name="40% - Accent5 61 2" xfId="3451"/>
    <cellStyle name="40% - Accent5 62" xfId="3452"/>
    <cellStyle name="40% - Accent5 62 2" xfId="3453"/>
    <cellStyle name="40% - Accent5 63" xfId="3454"/>
    <cellStyle name="40% - Accent5 63 2" xfId="3455"/>
    <cellStyle name="40% - Accent5 64" xfId="3456"/>
    <cellStyle name="40% - Accent5 64 2" xfId="3457"/>
    <cellStyle name="40% - Accent5 65" xfId="3458"/>
    <cellStyle name="40% - Accent5 65 2" xfId="3459"/>
    <cellStyle name="40% - Accent5 66" xfId="3460"/>
    <cellStyle name="40% - Accent5 66 2" xfId="3461"/>
    <cellStyle name="40% - Accent5 67" xfId="3462"/>
    <cellStyle name="40% - Accent5 67 2" xfId="3463"/>
    <cellStyle name="40% - Accent5 68" xfId="3464"/>
    <cellStyle name="40% - Accent5 68 2" xfId="3465"/>
    <cellStyle name="40% - Accent5 69" xfId="3466"/>
    <cellStyle name="40% - Accent5 69 2" xfId="3467"/>
    <cellStyle name="40% - Accent5 7" xfId="3468"/>
    <cellStyle name="40% - Accent5 7 2" xfId="3469"/>
    <cellStyle name="40% - Accent5 70" xfId="3470"/>
    <cellStyle name="40% - Accent5 70 2" xfId="3471"/>
    <cellStyle name="40% - Accent5 8" xfId="3472"/>
    <cellStyle name="40% - Accent5 8 2" xfId="3473"/>
    <cellStyle name="40% - Accent5 9" xfId="3474"/>
    <cellStyle name="40% - Accent5 9 2" xfId="3475"/>
    <cellStyle name="40% - Accent6 10" xfId="3476"/>
    <cellStyle name="40% - Accent6 10 2" xfId="3477"/>
    <cellStyle name="40% - Accent6 11" xfId="3478"/>
    <cellStyle name="40% - Accent6 11 2" xfId="3479"/>
    <cellStyle name="40% - Accent6 12" xfId="3480"/>
    <cellStyle name="40% - Accent6 12 2" xfId="3481"/>
    <cellStyle name="40% - Accent6 13" xfId="3482"/>
    <cellStyle name="40% - Accent6 13 2" xfId="3483"/>
    <cellStyle name="40% - Accent6 14" xfId="3484"/>
    <cellStyle name="40% - Accent6 14 2" xfId="3485"/>
    <cellStyle name="40% - Accent6 15" xfId="3486"/>
    <cellStyle name="40% - Accent6 15 2" xfId="3487"/>
    <cellStyle name="40% - Accent6 16" xfId="3488"/>
    <cellStyle name="40% - Accent6 16 2" xfId="3489"/>
    <cellStyle name="40% - Accent6 17" xfId="3490"/>
    <cellStyle name="40% - Accent6 17 2" xfId="3491"/>
    <cellStyle name="40% - Accent6 18" xfId="3492"/>
    <cellStyle name="40% - Accent6 18 2" xfId="3493"/>
    <cellStyle name="40% - Accent6 19" xfId="3494"/>
    <cellStyle name="40% - Accent6 19 2" xfId="3495"/>
    <cellStyle name="40% - Accent6 2" xfId="3496"/>
    <cellStyle name="40% - Accent6 2 2" xfId="3497"/>
    <cellStyle name="40% - Accent6 2 2 2" xfId="3498"/>
    <cellStyle name="40% - Accent6 2 2 2 2" xfId="3499"/>
    <cellStyle name="40% - Accent6 2 2 3" xfId="3500"/>
    <cellStyle name="40% - Accent6 2 3" xfId="3501"/>
    <cellStyle name="40% - Accent6 2 3 2" xfId="3502"/>
    <cellStyle name="40% - Accent6 2 4" xfId="3503"/>
    <cellStyle name="40% - Accent6 2_AE_FC_QuoteMaster" xfId="3504"/>
    <cellStyle name="40% - Accent6 20" xfId="3505"/>
    <cellStyle name="40% - Accent6 20 2" xfId="3506"/>
    <cellStyle name="40% - Accent6 21" xfId="3507"/>
    <cellStyle name="40% - Accent6 21 2" xfId="3508"/>
    <cellStyle name="40% - Accent6 22" xfId="3509"/>
    <cellStyle name="40% - Accent6 22 2" xfId="3510"/>
    <cellStyle name="40% - Accent6 23" xfId="3511"/>
    <cellStyle name="40% - Accent6 23 2" xfId="3512"/>
    <cellStyle name="40% - Accent6 24" xfId="3513"/>
    <cellStyle name="40% - Accent6 24 2" xfId="3514"/>
    <cellStyle name="40% - Accent6 25" xfId="3515"/>
    <cellStyle name="40% - Accent6 25 2" xfId="3516"/>
    <cellStyle name="40% - Accent6 26" xfId="3517"/>
    <cellStyle name="40% - Accent6 26 2" xfId="3518"/>
    <cellStyle name="40% - Accent6 27" xfId="3519"/>
    <cellStyle name="40% - Accent6 27 2" xfId="3520"/>
    <cellStyle name="40% - Accent6 28" xfId="3521"/>
    <cellStyle name="40% - Accent6 28 2" xfId="3522"/>
    <cellStyle name="40% - Accent6 29" xfId="3523"/>
    <cellStyle name="40% - Accent6 29 2" xfId="3524"/>
    <cellStyle name="40% - Accent6 3" xfId="3525"/>
    <cellStyle name="40% - Accent6 3 2" xfId="3526"/>
    <cellStyle name="40% - Accent6 3 2 2" xfId="3527"/>
    <cellStyle name="40% - Accent6 3 2 2 2" xfId="3528"/>
    <cellStyle name="40% - Accent6 3 2 3" xfId="3529"/>
    <cellStyle name="40% - Accent6 3 3" xfId="3530"/>
    <cellStyle name="40% - Accent6 3 3 2" xfId="3531"/>
    <cellStyle name="40% - Accent6 3 4" xfId="3532"/>
    <cellStyle name="40% - Accent6 30" xfId="3533"/>
    <cellStyle name="40% - Accent6 30 2" xfId="3534"/>
    <cellStyle name="40% - Accent6 31" xfId="3535"/>
    <cellStyle name="40% - Accent6 31 2" xfId="3536"/>
    <cellStyle name="40% - Accent6 32" xfId="3537"/>
    <cellStyle name="40% - Accent6 32 2" xfId="3538"/>
    <cellStyle name="40% - Accent6 33" xfId="3539"/>
    <cellStyle name="40% - Accent6 33 2" xfId="3540"/>
    <cellStyle name="40% - Accent6 34" xfId="3541"/>
    <cellStyle name="40% - Accent6 34 2" xfId="3542"/>
    <cellStyle name="40% - Accent6 35" xfId="3543"/>
    <cellStyle name="40% - Accent6 35 2" xfId="3544"/>
    <cellStyle name="40% - Accent6 36" xfId="3545"/>
    <cellStyle name="40% - Accent6 36 2" xfId="3546"/>
    <cellStyle name="40% - Accent6 37" xfId="3547"/>
    <cellStyle name="40% - Accent6 37 2" xfId="3548"/>
    <cellStyle name="40% - Accent6 38" xfId="3549"/>
    <cellStyle name="40% - Accent6 38 2" xfId="3550"/>
    <cellStyle name="40% - Accent6 39" xfId="3551"/>
    <cellStyle name="40% - Accent6 39 2" xfId="3552"/>
    <cellStyle name="40% - Accent6 4" xfId="3553"/>
    <cellStyle name="40% - Accent6 4 2" xfId="3554"/>
    <cellStyle name="40% - Accent6 4 2 2" xfId="3555"/>
    <cellStyle name="40% - Accent6 4 3" xfId="3556"/>
    <cellStyle name="40% - Accent6 40" xfId="3557"/>
    <cellStyle name="40% - Accent6 40 2" xfId="3558"/>
    <cellStyle name="40% - Accent6 41" xfId="3559"/>
    <cellStyle name="40% - Accent6 41 2" xfId="3560"/>
    <cellStyle name="40% - Accent6 42" xfId="3561"/>
    <cellStyle name="40% - Accent6 42 2" xfId="3562"/>
    <cellStyle name="40% - Accent6 43" xfId="3563"/>
    <cellStyle name="40% - Accent6 43 2" xfId="3564"/>
    <cellStyle name="40% - Accent6 44" xfId="3565"/>
    <cellStyle name="40% - Accent6 44 2" xfId="3566"/>
    <cellStyle name="40% - Accent6 45" xfId="3567"/>
    <cellStyle name="40% - Accent6 45 2" xfId="3568"/>
    <cellStyle name="40% - Accent6 46" xfId="3569"/>
    <cellStyle name="40% - Accent6 46 2" xfId="3570"/>
    <cellStyle name="40% - Accent6 47" xfId="3571"/>
    <cellStyle name="40% - Accent6 47 2" xfId="3572"/>
    <cellStyle name="40% - Accent6 48" xfId="3573"/>
    <cellStyle name="40% - Accent6 48 2" xfId="3574"/>
    <cellStyle name="40% - Accent6 49" xfId="3575"/>
    <cellStyle name="40% - Accent6 49 2" xfId="3576"/>
    <cellStyle name="40% - Accent6 5" xfId="3577"/>
    <cellStyle name="40% - Accent6 5 2" xfId="3578"/>
    <cellStyle name="40% - Accent6 50" xfId="3579"/>
    <cellStyle name="40% - Accent6 50 2" xfId="3580"/>
    <cellStyle name="40% - Accent6 51" xfId="3581"/>
    <cellStyle name="40% - Accent6 51 2" xfId="3582"/>
    <cellStyle name="40% - Accent6 52" xfId="3583"/>
    <cellStyle name="40% - Accent6 52 2" xfId="3584"/>
    <cellStyle name="40% - Accent6 53" xfId="3585"/>
    <cellStyle name="40% - Accent6 53 2" xfId="3586"/>
    <cellStyle name="40% - Accent6 54" xfId="3587"/>
    <cellStyle name="40% - Accent6 54 2" xfId="3588"/>
    <cellStyle name="40% - Accent6 55" xfId="3589"/>
    <cellStyle name="40% - Accent6 55 2" xfId="3590"/>
    <cellStyle name="40% - Accent6 56" xfId="3591"/>
    <cellStyle name="40% - Accent6 56 2" xfId="3592"/>
    <cellStyle name="40% - Accent6 57" xfId="3593"/>
    <cellStyle name="40% - Accent6 57 2" xfId="3594"/>
    <cellStyle name="40% - Accent6 58" xfId="3595"/>
    <cellStyle name="40% - Accent6 58 2" xfId="3596"/>
    <cellStyle name="40% - Accent6 59" xfId="3597"/>
    <cellStyle name="40% - Accent6 59 2" xfId="3598"/>
    <cellStyle name="40% - Accent6 6" xfId="3599"/>
    <cellStyle name="40% - Accent6 6 2" xfId="3600"/>
    <cellStyle name="40% - Accent6 60" xfId="3601"/>
    <cellStyle name="40% - Accent6 60 2" xfId="3602"/>
    <cellStyle name="40% - Accent6 61" xfId="3603"/>
    <cellStyle name="40% - Accent6 61 2" xfId="3604"/>
    <cellStyle name="40% - Accent6 62" xfId="3605"/>
    <cellStyle name="40% - Accent6 62 2" xfId="3606"/>
    <cellStyle name="40% - Accent6 63" xfId="3607"/>
    <cellStyle name="40% - Accent6 63 2" xfId="3608"/>
    <cellStyle name="40% - Accent6 64" xfId="3609"/>
    <cellStyle name="40% - Accent6 64 2" xfId="3610"/>
    <cellStyle name="40% - Accent6 65" xfId="3611"/>
    <cellStyle name="40% - Accent6 65 2" xfId="3612"/>
    <cellStyle name="40% - Accent6 66" xfId="3613"/>
    <cellStyle name="40% - Accent6 66 2" xfId="3614"/>
    <cellStyle name="40% - Accent6 67" xfId="3615"/>
    <cellStyle name="40% - Accent6 67 2" xfId="3616"/>
    <cellStyle name="40% - Accent6 68" xfId="3617"/>
    <cellStyle name="40% - Accent6 68 2" xfId="3618"/>
    <cellStyle name="40% - Accent6 69" xfId="3619"/>
    <cellStyle name="40% - Accent6 69 2" xfId="3620"/>
    <cellStyle name="40% - Accent6 7" xfId="3621"/>
    <cellStyle name="40% - Accent6 7 2" xfId="3622"/>
    <cellStyle name="40% - Accent6 70" xfId="3623"/>
    <cellStyle name="40% - Accent6 70 2" xfId="3624"/>
    <cellStyle name="40% - Accent6 8" xfId="3625"/>
    <cellStyle name="40% - Accent6 8 2" xfId="3626"/>
    <cellStyle name="40% - Accent6 9" xfId="3627"/>
    <cellStyle name="40% - Accent6 9 2" xfId="3628"/>
    <cellStyle name="40% - Akzent1 10" xfId="3629"/>
    <cellStyle name="40% - Akzent1 10 2" xfId="3630"/>
    <cellStyle name="40% - Akzent1 100" xfId="3631"/>
    <cellStyle name="40% - Akzent1 100 2" xfId="3632"/>
    <cellStyle name="40% - Akzent1 101" xfId="3633"/>
    <cellStyle name="40% - Akzent1 101 2" xfId="3634"/>
    <cellStyle name="40% - Akzent1 102" xfId="3635"/>
    <cellStyle name="40% - Akzent1 102 2" xfId="3636"/>
    <cellStyle name="40% - Akzent1 103" xfId="3637"/>
    <cellStyle name="40% - Akzent1 103 2" xfId="3638"/>
    <cellStyle name="40% - Akzent1 104" xfId="3639"/>
    <cellStyle name="40% - Akzent1 104 2" xfId="3640"/>
    <cellStyle name="40% - Akzent1 105" xfId="3641"/>
    <cellStyle name="40% - Akzent1 105 2" xfId="3642"/>
    <cellStyle name="40% - Akzent1 106" xfId="3643"/>
    <cellStyle name="40% - Akzent1 106 2" xfId="3644"/>
    <cellStyle name="40% - Akzent1 107" xfId="3645"/>
    <cellStyle name="40% - Akzent1 107 2" xfId="3646"/>
    <cellStyle name="40% - Akzent1 108" xfId="3647"/>
    <cellStyle name="40% - Akzent1 108 2" xfId="3648"/>
    <cellStyle name="40% - Akzent1 109" xfId="3649"/>
    <cellStyle name="40% - Akzent1 109 2" xfId="3650"/>
    <cellStyle name="40% - Akzent1 11" xfId="3651"/>
    <cellStyle name="40% - Akzent1 11 2" xfId="3652"/>
    <cellStyle name="40% - Akzent1 110" xfId="3653"/>
    <cellStyle name="40% - Akzent1 110 2" xfId="3654"/>
    <cellStyle name="40% - Akzent1 111" xfId="3655"/>
    <cellStyle name="40% - Akzent1 111 2" xfId="3656"/>
    <cellStyle name="40% - Akzent1 112" xfId="3657"/>
    <cellStyle name="40% - Akzent1 112 2" xfId="3658"/>
    <cellStyle name="40% - Akzent1 113" xfId="3659"/>
    <cellStyle name="40% - Akzent1 113 2" xfId="3660"/>
    <cellStyle name="40% - Akzent1 114" xfId="3661"/>
    <cellStyle name="40% - Akzent1 114 2" xfId="3662"/>
    <cellStyle name="40% - Akzent1 115" xfId="3663"/>
    <cellStyle name="40% - Akzent1 115 2" xfId="3664"/>
    <cellStyle name="40% - Akzent1 116" xfId="3665"/>
    <cellStyle name="40% - Akzent1 116 2" xfId="3666"/>
    <cellStyle name="40% - Akzent1 117" xfId="3667"/>
    <cellStyle name="40% - Akzent1 117 2" xfId="3668"/>
    <cellStyle name="40% - Akzent1 118" xfId="3669"/>
    <cellStyle name="40% - Akzent1 118 2" xfId="3670"/>
    <cellStyle name="40% - Akzent1 119" xfId="3671"/>
    <cellStyle name="40% - Akzent1 119 2" xfId="3672"/>
    <cellStyle name="40% - Akzent1 12" xfId="3673"/>
    <cellStyle name="40% - Akzent1 12 2" xfId="3674"/>
    <cellStyle name="40% - Akzent1 120" xfId="3675"/>
    <cellStyle name="40% - Akzent1 120 2" xfId="3676"/>
    <cellStyle name="40% - Akzent1 121" xfId="3677"/>
    <cellStyle name="40% - Akzent1 121 2" xfId="3678"/>
    <cellStyle name="40% - Akzent1 122" xfId="3679"/>
    <cellStyle name="40% - Akzent1 122 2" xfId="3680"/>
    <cellStyle name="40% - Akzent1 123" xfId="3681"/>
    <cellStyle name="40% - Akzent1 123 2" xfId="3682"/>
    <cellStyle name="40% - Akzent1 124" xfId="3683"/>
    <cellStyle name="40% - Akzent1 124 2" xfId="3684"/>
    <cellStyle name="40% - Akzent1 125" xfId="3685"/>
    <cellStyle name="40% - Akzent1 125 2" xfId="3686"/>
    <cellStyle name="40% - Akzent1 126" xfId="3687"/>
    <cellStyle name="40% - Akzent1 126 2" xfId="3688"/>
    <cellStyle name="40% - Akzent1 127" xfId="3689"/>
    <cellStyle name="40% - Akzent1 127 2" xfId="3690"/>
    <cellStyle name="40% - Akzent1 128" xfId="3691"/>
    <cellStyle name="40% - Akzent1 128 2" xfId="3692"/>
    <cellStyle name="40% - Akzent1 129" xfId="3693"/>
    <cellStyle name="40% - Akzent1 129 2" xfId="3694"/>
    <cellStyle name="40% - Akzent1 13" xfId="3695"/>
    <cellStyle name="40% - Akzent1 13 2" xfId="3696"/>
    <cellStyle name="40% - Akzent1 130" xfId="3697"/>
    <cellStyle name="40% - Akzent1 130 2" xfId="3698"/>
    <cellStyle name="40% - Akzent1 131" xfId="3699"/>
    <cellStyle name="40% - Akzent1 131 2" xfId="3700"/>
    <cellStyle name="40% - Akzent1 132" xfId="3701"/>
    <cellStyle name="40% - Akzent1 132 2" xfId="3702"/>
    <cellStyle name="40% - Akzent1 133" xfId="3703"/>
    <cellStyle name="40% - Akzent1 133 2" xfId="3704"/>
    <cellStyle name="40% - Akzent1 134" xfId="3705"/>
    <cellStyle name="40% - Akzent1 134 2" xfId="3706"/>
    <cellStyle name="40% - Akzent1 135" xfId="3707"/>
    <cellStyle name="40% - Akzent1 135 2" xfId="3708"/>
    <cellStyle name="40% - Akzent1 136" xfId="3709"/>
    <cellStyle name="40% - Akzent1 136 2" xfId="3710"/>
    <cellStyle name="40% - Akzent1 137" xfId="3711"/>
    <cellStyle name="40% - Akzent1 137 2" xfId="3712"/>
    <cellStyle name="40% - Akzent1 138" xfId="3713"/>
    <cellStyle name="40% - Akzent1 138 2" xfId="3714"/>
    <cellStyle name="40% - Akzent1 139" xfId="3715"/>
    <cellStyle name="40% - Akzent1 139 2" xfId="3716"/>
    <cellStyle name="40% - Akzent1 14" xfId="3717"/>
    <cellStyle name="40% - Akzent1 14 2" xfId="3718"/>
    <cellStyle name="40% - Akzent1 140" xfId="3719"/>
    <cellStyle name="40% - Akzent1 140 2" xfId="3720"/>
    <cellStyle name="40% - Akzent1 141" xfId="3721"/>
    <cellStyle name="40% - Akzent1 141 2" xfId="3722"/>
    <cellStyle name="40% - Akzent1 142" xfId="3723"/>
    <cellStyle name="40% - Akzent1 142 2" xfId="3724"/>
    <cellStyle name="40% - Akzent1 143" xfId="3725"/>
    <cellStyle name="40% - Akzent1 143 2" xfId="3726"/>
    <cellStyle name="40% - Akzent1 144" xfId="3727"/>
    <cellStyle name="40% - Akzent1 144 2" xfId="3728"/>
    <cellStyle name="40% - Akzent1 145" xfId="3729"/>
    <cellStyle name="40% - Akzent1 145 2" xfId="3730"/>
    <cellStyle name="40% - Akzent1 146" xfId="3731"/>
    <cellStyle name="40% - Akzent1 146 2" xfId="3732"/>
    <cellStyle name="40% - Akzent1 147" xfId="3733"/>
    <cellStyle name="40% - Akzent1 147 2" xfId="3734"/>
    <cellStyle name="40% - Akzent1 148" xfId="3735"/>
    <cellStyle name="40% - Akzent1 148 2" xfId="3736"/>
    <cellStyle name="40% - Akzent1 149" xfId="3737"/>
    <cellStyle name="40% - Akzent1 149 2" xfId="3738"/>
    <cellStyle name="40% - Akzent1 15" xfId="3739"/>
    <cellStyle name="40% - Akzent1 15 2" xfId="3740"/>
    <cellStyle name="40% - Akzent1 150" xfId="3741"/>
    <cellStyle name="40% - Akzent1 150 2" xfId="3742"/>
    <cellStyle name="40% - Akzent1 151" xfId="3743"/>
    <cellStyle name="40% - Akzent1 151 2" xfId="3744"/>
    <cellStyle name="40% - Akzent1 16" xfId="3745"/>
    <cellStyle name="40% - Akzent1 16 2" xfId="3746"/>
    <cellStyle name="40% - Akzent1 17" xfId="3747"/>
    <cellStyle name="40% - Akzent1 17 2" xfId="3748"/>
    <cellStyle name="40% - Akzent1 18" xfId="3749"/>
    <cellStyle name="40% - Akzent1 18 2" xfId="3750"/>
    <cellStyle name="40% - Akzent1 19" xfId="3751"/>
    <cellStyle name="40% - Akzent1 19 2" xfId="3752"/>
    <cellStyle name="40% - Akzent1 2" xfId="3753"/>
    <cellStyle name="40% - Akzent1 2 2" xfId="3754"/>
    <cellStyle name="40% - Akzent1 2 3" xfId="3755"/>
    <cellStyle name="40% - Akzent1 2 4" xfId="3756"/>
    <cellStyle name="40% - Akzent1 2 4 2" xfId="3757"/>
    <cellStyle name="40% - Akzent1 2 5" xfId="3758"/>
    <cellStyle name="40% - Akzent1 20" xfId="3759"/>
    <cellStyle name="40% - Akzent1 20 2" xfId="3760"/>
    <cellStyle name="40% - Akzent1 21" xfId="3761"/>
    <cellStyle name="40% - Akzent1 21 2" xfId="3762"/>
    <cellStyle name="40% - Akzent1 22" xfId="3763"/>
    <cellStyle name="40% - Akzent1 22 2" xfId="3764"/>
    <cellStyle name="40% - Akzent1 23" xfId="3765"/>
    <cellStyle name="40% - Akzent1 23 2" xfId="3766"/>
    <cellStyle name="40% - Akzent1 24" xfId="3767"/>
    <cellStyle name="40% - Akzent1 24 2" xfId="3768"/>
    <cellStyle name="40% - Akzent1 25" xfId="3769"/>
    <cellStyle name="40% - Akzent1 25 2" xfId="3770"/>
    <cellStyle name="40% - Akzent1 26" xfId="3771"/>
    <cellStyle name="40% - Akzent1 26 2" xfId="3772"/>
    <cellStyle name="40% - Akzent1 27" xfId="3773"/>
    <cellStyle name="40% - Akzent1 27 2" xfId="3774"/>
    <cellStyle name="40% - Akzent1 28" xfId="3775"/>
    <cellStyle name="40% - Akzent1 28 2" xfId="3776"/>
    <cellStyle name="40% - Akzent1 29" xfId="3777"/>
    <cellStyle name="40% - Akzent1 29 2" xfId="3778"/>
    <cellStyle name="40% - Akzent1 3" xfId="3779"/>
    <cellStyle name="40% - Akzent1 3 2" xfId="3780"/>
    <cellStyle name="40% - Akzent1 3 3" xfId="3781"/>
    <cellStyle name="40% - Akzent1 3 4" xfId="3782"/>
    <cellStyle name="40% - Akzent1 3 4 2" xfId="3783"/>
    <cellStyle name="40% - Akzent1 3 5" xfId="3784"/>
    <cellStyle name="40% - Akzent1 30" xfId="3785"/>
    <cellStyle name="40% - Akzent1 30 2" xfId="3786"/>
    <cellStyle name="40% - Akzent1 31" xfId="3787"/>
    <cellStyle name="40% - Akzent1 31 2" xfId="3788"/>
    <cellStyle name="40% - Akzent1 32" xfId="3789"/>
    <cellStyle name="40% - Akzent1 32 2" xfId="3790"/>
    <cellStyle name="40% - Akzent1 33" xfId="3791"/>
    <cellStyle name="40% - Akzent1 33 2" xfId="3792"/>
    <cellStyle name="40% - Akzent1 34" xfId="3793"/>
    <cellStyle name="40% - Akzent1 34 2" xfId="3794"/>
    <cellStyle name="40% - Akzent1 35" xfId="3795"/>
    <cellStyle name="40% - Akzent1 35 2" xfId="3796"/>
    <cellStyle name="40% - Akzent1 36" xfId="3797"/>
    <cellStyle name="40% - Akzent1 36 2" xfId="3798"/>
    <cellStyle name="40% - Akzent1 37" xfId="3799"/>
    <cellStyle name="40% - Akzent1 37 2" xfId="3800"/>
    <cellStyle name="40% - Akzent1 38" xfId="3801"/>
    <cellStyle name="40% - Akzent1 38 2" xfId="3802"/>
    <cellStyle name="40% - Akzent1 39" xfId="3803"/>
    <cellStyle name="40% - Akzent1 39 2" xfId="3804"/>
    <cellStyle name="40% - Akzent1 4" xfId="3805"/>
    <cellStyle name="40% - Akzent1 4 2" xfId="3806"/>
    <cellStyle name="40% - Akzent1 4 3" xfId="3807"/>
    <cellStyle name="40% - Akzent1 4 4" xfId="3808"/>
    <cellStyle name="40% - Akzent1 4 4 2" xfId="3809"/>
    <cellStyle name="40% - Akzent1 4 5" xfId="3810"/>
    <cellStyle name="40% - Akzent1 40" xfId="3811"/>
    <cellStyle name="40% - Akzent1 40 2" xfId="3812"/>
    <cellStyle name="40% - Akzent1 41" xfId="3813"/>
    <cellStyle name="40% - Akzent1 41 2" xfId="3814"/>
    <cellStyle name="40% - Akzent1 42" xfId="3815"/>
    <cellStyle name="40% - Akzent1 42 2" xfId="3816"/>
    <cellStyle name="40% - Akzent1 43" xfId="3817"/>
    <cellStyle name="40% - Akzent1 43 2" xfId="3818"/>
    <cellStyle name="40% - Akzent1 44" xfId="3819"/>
    <cellStyle name="40% - Akzent1 44 2" xfId="3820"/>
    <cellStyle name="40% - Akzent1 45" xfId="3821"/>
    <cellStyle name="40% - Akzent1 45 2" xfId="3822"/>
    <cellStyle name="40% - Akzent1 46" xfId="3823"/>
    <cellStyle name="40% - Akzent1 46 2" xfId="3824"/>
    <cellStyle name="40% - Akzent1 47" xfId="3825"/>
    <cellStyle name="40% - Akzent1 47 2" xfId="3826"/>
    <cellStyle name="40% - Akzent1 48" xfId="3827"/>
    <cellStyle name="40% - Akzent1 48 2" xfId="3828"/>
    <cellStyle name="40% - Akzent1 49" xfId="3829"/>
    <cellStyle name="40% - Akzent1 49 2" xfId="3830"/>
    <cellStyle name="40% - Akzent1 5" xfId="3831"/>
    <cellStyle name="40% - Akzent1 5 2" xfId="3832"/>
    <cellStyle name="40% - Akzent1 50" xfId="3833"/>
    <cellStyle name="40% - Akzent1 50 2" xfId="3834"/>
    <cellStyle name="40% - Akzent1 51" xfId="3835"/>
    <cellStyle name="40% - Akzent1 51 2" xfId="3836"/>
    <cellStyle name="40% - Akzent1 52" xfId="3837"/>
    <cellStyle name="40% - Akzent1 52 2" xfId="3838"/>
    <cellStyle name="40% - Akzent1 53" xfId="3839"/>
    <cellStyle name="40% - Akzent1 53 2" xfId="3840"/>
    <cellStyle name="40% - Akzent1 54" xfId="3841"/>
    <cellStyle name="40% - Akzent1 54 2" xfId="3842"/>
    <cellStyle name="40% - Akzent1 55" xfId="3843"/>
    <cellStyle name="40% - Akzent1 55 2" xfId="3844"/>
    <cellStyle name="40% - Akzent1 56" xfId="3845"/>
    <cellStyle name="40% - Akzent1 56 2" xfId="3846"/>
    <cellStyle name="40% - Akzent1 57" xfId="3847"/>
    <cellStyle name="40% - Akzent1 57 2" xfId="3848"/>
    <cellStyle name="40% - Akzent1 58" xfId="3849"/>
    <cellStyle name="40% - Akzent1 58 2" xfId="3850"/>
    <cellStyle name="40% - Akzent1 59" xfId="3851"/>
    <cellStyle name="40% - Akzent1 59 2" xfId="3852"/>
    <cellStyle name="40% - Akzent1 6" xfId="3853"/>
    <cellStyle name="40% - Akzent1 6 2" xfId="3854"/>
    <cellStyle name="40% - Akzent1 60" xfId="3855"/>
    <cellStyle name="40% - Akzent1 60 2" xfId="3856"/>
    <cellStyle name="40% - Akzent1 61" xfId="3857"/>
    <cellStyle name="40% - Akzent1 61 2" xfId="3858"/>
    <cellStyle name="40% - Akzent1 62" xfId="3859"/>
    <cellStyle name="40% - Akzent1 62 2" xfId="3860"/>
    <cellStyle name="40% - Akzent1 63" xfId="3861"/>
    <cellStyle name="40% - Akzent1 63 2" xfId="3862"/>
    <cellStyle name="40% - Akzent1 64" xfId="3863"/>
    <cellStyle name="40% - Akzent1 64 2" xfId="3864"/>
    <cellStyle name="40% - Akzent1 65" xfId="3865"/>
    <cellStyle name="40% - Akzent1 65 2" xfId="3866"/>
    <cellStyle name="40% - Akzent1 66" xfId="3867"/>
    <cellStyle name="40% - Akzent1 66 2" xfId="3868"/>
    <cellStyle name="40% - Akzent1 67" xfId="3869"/>
    <cellStyle name="40% - Akzent1 67 2" xfId="3870"/>
    <cellStyle name="40% - Akzent1 68" xfId="3871"/>
    <cellStyle name="40% - Akzent1 68 2" xfId="3872"/>
    <cellStyle name="40% - Akzent1 69" xfId="3873"/>
    <cellStyle name="40% - Akzent1 69 2" xfId="3874"/>
    <cellStyle name="40% - Akzent1 7" xfId="3875"/>
    <cellStyle name="40% - Akzent1 7 2" xfId="3876"/>
    <cellStyle name="40% - Akzent1 70" xfId="3877"/>
    <cellStyle name="40% - Akzent1 70 2" xfId="3878"/>
    <cellStyle name="40% - Akzent1 71" xfId="3879"/>
    <cellStyle name="40% - Akzent1 71 2" xfId="3880"/>
    <cellStyle name="40% - Akzent1 72" xfId="3881"/>
    <cellStyle name="40% - Akzent1 72 2" xfId="3882"/>
    <cellStyle name="40% - Akzent1 73" xfId="3883"/>
    <cellStyle name="40% - Akzent1 73 2" xfId="3884"/>
    <cellStyle name="40% - Akzent1 74" xfId="3885"/>
    <cellStyle name="40% - Akzent1 74 2" xfId="3886"/>
    <cellStyle name="40% - Akzent1 75" xfId="3887"/>
    <cellStyle name="40% - Akzent1 75 2" xfId="3888"/>
    <cellStyle name="40% - Akzent1 76" xfId="3889"/>
    <cellStyle name="40% - Akzent1 76 2" xfId="3890"/>
    <cellStyle name="40% - Akzent1 77" xfId="3891"/>
    <cellStyle name="40% - Akzent1 77 2" xfId="3892"/>
    <cellStyle name="40% - Akzent1 78" xfId="3893"/>
    <cellStyle name="40% - Akzent1 78 2" xfId="3894"/>
    <cellStyle name="40% - Akzent1 79" xfId="3895"/>
    <cellStyle name="40% - Akzent1 79 2" xfId="3896"/>
    <cellStyle name="40% - Akzent1 8" xfId="3897"/>
    <cellStyle name="40% - Akzent1 8 2" xfId="3898"/>
    <cellStyle name="40% - Akzent1 80" xfId="3899"/>
    <cellStyle name="40% - Akzent1 80 2" xfId="3900"/>
    <cellStyle name="40% - Akzent1 81" xfId="3901"/>
    <cellStyle name="40% - Akzent1 81 2" xfId="3902"/>
    <cellStyle name="40% - Akzent1 82" xfId="3903"/>
    <cellStyle name="40% - Akzent1 82 2" xfId="3904"/>
    <cellStyle name="40% - Akzent1 83" xfId="3905"/>
    <cellStyle name="40% - Akzent1 83 2" xfId="3906"/>
    <cellStyle name="40% - Akzent1 84" xfId="3907"/>
    <cellStyle name="40% - Akzent1 84 2" xfId="3908"/>
    <cellStyle name="40% - Akzent1 85" xfId="3909"/>
    <cellStyle name="40% - Akzent1 85 2" xfId="3910"/>
    <cellStyle name="40% - Akzent1 86" xfId="3911"/>
    <cellStyle name="40% - Akzent1 86 2" xfId="3912"/>
    <cellStyle name="40% - Akzent1 87" xfId="3913"/>
    <cellStyle name="40% - Akzent1 87 2" xfId="3914"/>
    <cellStyle name="40% - Akzent1 88" xfId="3915"/>
    <cellStyle name="40% - Akzent1 88 2" xfId="3916"/>
    <cellStyle name="40% - Akzent1 89" xfId="3917"/>
    <cellStyle name="40% - Akzent1 89 2" xfId="3918"/>
    <cellStyle name="40% - Akzent1 9" xfId="3919"/>
    <cellStyle name="40% - Akzent1 9 2" xfId="3920"/>
    <cellStyle name="40% - Akzent1 90" xfId="3921"/>
    <cellStyle name="40% - Akzent1 90 2" xfId="3922"/>
    <cellStyle name="40% - Akzent1 91" xfId="3923"/>
    <cellStyle name="40% - Akzent1 91 2" xfId="3924"/>
    <cellStyle name="40% - Akzent1 92" xfId="3925"/>
    <cellStyle name="40% - Akzent1 92 2" xfId="3926"/>
    <cellStyle name="40% - Akzent1 93" xfId="3927"/>
    <cellStyle name="40% - Akzent1 93 2" xfId="3928"/>
    <cellStyle name="40% - Akzent1 94" xfId="3929"/>
    <cellStyle name="40% - Akzent1 94 2" xfId="3930"/>
    <cellStyle name="40% - Akzent1 95" xfId="3931"/>
    <cellStyle name="40% - Akzent1 95 2" xfId="3932"/>
    <cellStyle name="40% - Akzent1 96" xfId="3933"/>
    <cellStyle name="40% - Akzent1 96 2" xfId="3934"/>
    <cellStyle name="40% - Akzent1 97" xfId="3935"/>
    <cellStyle name="40% - Akzent1 97 2" xfId="3936"/>
    <cellStyle name="40% - Akzent1 98" xfId="3937"/>
    <cellStyle name="40% - Akzent1 98 2" xfId="3938"/>
    <cellStyle name="40% - Akzent1 99" xfId="3939"/>
    <cellStyle name="40% - Akzent1 99 2" xfId="3940"/>
    <cellStyle name="40% - Akzent2 10" xfId="3941"/>
    <cellStyle name="40% - Akzent2 100" xfId="3942"/>
    <cellStyle name="40% - Akzent2 101" xfId="3943"/>
    <cellStyle name="40% - Akzent2 102" xfId="3944"/>
    <cellStyle name="40% - Akzent2 103" xfId="3945"/>
    <cellStyle name="40% - Akzent2 104" xfId="3946"/>
    <cellStyle name="40% - Akzent2 105" xfId="3947"/>
    <cellStyle name="40% - Akzent2 106" xfId="3948"/>
    <cellStyle name="40% - Akzent2 107" xfId="3949"/>
    <cellStyle name="40% - Akzent2 11" xfId="3950"/>
    <cellStyle name="40% - Akzent2 12" xfId="3951"/>
    <cellStyle name="40% - Akzent2 13" xfId="3952"/>
    <cellStyle name="40% - Akzent2 14" xfId="3953"/>
    <cellStyle name="40% - Akzent2 15" xfId="3954"/>
    <cellStyle name="40% - Akzent2 16" xfId="3955"/>
    <cellStyle name="40% - Akzent2 17" xfId="3956"/>
    <cellStyle name="40% - Akzent2 18" xfId="3957"/>
    <cellStyle name="40% - Akzent2 19" xfId="3958"/>
    <cellStyle name="40% - Akzent2 2" xfId="3959"/>
    <cellStyle name="40% - Akzent2 2 2" xfId="3960"/>
    <cellStyle name="40% - Akzent2 2 3" xfId="3961"/>
    <cellStyle name="40% - Akzent2 2 4" xfId="3962"/>
    <cellStyle name="40% - Akzent2 2 4 2" xfId="3963"/>
    <cellStyle name="40% - Akzent2 2 5" xfId="3964"/>
    <cellStyle name="40% - Akzent2 20" xfId="3965"/>
    <cellStyle name="40% - Akzent2 21" xfId="3966"/>
    <cellStyle name="40% - Akzent2 22" xfId="3967"/>
    <cellStyle name="40% - Akzent2 23" xfId="3968"/>
    <cellStyle name="40% - Akzent2 24" xfId="3969"/>
    <cellStyle name="40% - Akzent2 25" xfId="3970"/>
    <cellStyle name="40% - Akzent2 26" xfId="3971"/>
    <cellStyle name="40% - Akzent2 27" xfId="3972"/>
    <cellStyle name="40% - Akzent2 28" xfId="3973"/>
    <cellStyle name="40% - Akzent2 29" xfId="3974"/>
    <cellStyle name="40% - Akzent2 3" xfId="3975"/>
    <cellStyle name="40% - Akzent2 3 2" xfId="3976"/>
    <cellStyle name="40% - Akzent2 3 3" xfId="3977"/>
    <cellStyle name="40% - Akzent2 3 4" xfId="3978"/>
    <cellStyle name="40% - Akzent2 3 4 2" xfId="3979"/>
    <cellStyle name="40% - Akzent2 3 5" xfId="3980"/>
    <cellStyle name="40% - Akzent2 30" xfId="3981"/>
    <cellStyle name="40% - Akzent2 31" xfId="3982"/>
    <cellStyle name="40% - Akzent2 32" xfId="3983"/>
    <cellStyle name="40% - Akzent2 33" xfId="3984"/>
    <cellStyle name="40% - Akzent2 34" xfId="3985"/>
    <cellStyle name="40% - Akzent2 35" xfId="3986"/>
    <cellStyle name="40% - Akzent2 36" xfId="3987"/>
    <cellStyle name="40% - Akzent2 37" xfId="3988"/>
    <cellStyle name="40% - Akzent2 38" xfId="3989"/>
    <cellStyle name="40% - Akzent2 39" xfId="3990"/>
    <cellStyle name="40% - Akzent2 4" xfId="3991"/>
    <cellStyle name="40% - Akzent2 4 2" xfId="3992"/>
    <cellStyle name="40% - Akzent2 4 3" xfId="3993"/>
    <cellStyle name="40% - Akzent2 4 4" xfId="3994"/>
    <cellStyle name="40% - Akzent2 4 4 2" xfId="3995"/>
    <cellStyle name="40% - Akzent2 4 5" xfId="3996"/>
    <cellStyle name="40% - Akzent2 40" xfId="3997"/>
    <cellStyle name="40% - Akzent2 41" xfId="3998"/>
    <cellStyle name="40% - Akzent2 42" xfId="3999"/>
    <cellStyle name="40% - Akzent2 43" xfId="4000"/>
    <cellStyle name="40% - Akzent2 44" xfId="4001"/>
    <cellStyle name="40% - Akzent2 45" xfId="4002"/>
    <cellStyle name="40% - Akzent2 46" xfId="4003"/>
    <cellStyle name="40% - Akzent2 47" xfId="4004"/>
    <cellStyle name="40% - Akzent2 48" xfId="4005"/>
    <cellStyle name="40% - Akzent2 49" xfId="4006"/>
    <cellStyle name="40% - Akzent2 5" xfId="4007"/>
    <cellStyle name="40% - Akzent2 50" xfId="4008"/>
    <cellStyle name="40% - Akzent2 51" xfId="4009"/>
    <cellStyle name="40% - Akzent2 52" xfId="4010"/>
    <cellStyle name="40% - Akzent2 53" xfId="4011"/>
    <cellStyle name="40% - Akzent2 54" xfId="4012"/>
    <cellStyle name="40% - Akzent2 55" xfId="4013"/>
    <cellStyle name="40% - Akzent2 56" xfId="4014"/>
    <cellStyle name="40% - Akzent2 57" xfId="4015"/>
    <cellStyle name="40% - Akzent2 58" xfId="4016"/>
    <cellStyle name="40% - Akzent2 59" xfId="4017"/>
    <cellStyle name="40% - Akzent2 6" xfId="4018"/>
    <cellStyle name="40% - Akzent2 60" xfId="4019"/>
    <cellStyle name="40% - Akzent2 61" xfId="4020"/>
    <cellStyle name="40% - Akzent2 62" xfId="4021"/>
    <cellStyle name="40% - Akzent2 63" xfId="4022"/>
    <cellStyle name="40% - Akzent2 64" xfId="4023"/>
    <cellStyle name="40% - Akzent2 65" xfId="4024"/>
    <cellStyle name="40% - Akzent2 66" xfId="4025"/>
    <cellStyle name="40% - Akzent2 67" xfId="4026"/>
    <cellStyle name="40% - Akzent2 68" xfId="4027"/>
    <cellStyle name="40% - Akzent2 69" xfId="4028"/>
    <cellStyle name="40% - Akzent2 7" xfId="4029"/>
    <cellStyle name="40% - Akzent2 70" xfId="4030"/>
    <cellStyle name="40% - Akzent2 71" xfId="4031"/>
    <cellStyle name="40% - Akzent2 72" xfId="4032"/>
    <cellStyle name="40% - Akzent2 73" xfId="4033"/>
    <cellStyle name="40% - Akzent2 74" xfId="4034"/>
    <cellStyle name="40% - Akzent2 75" xfId="4035"/>
    <cellStyle name="40% - Akzent2 76" xfId="4036"/>
    <cellStyle name="40% - Akzent2 77" xfId="4037"/>
    <cellStyle name="40% - Akzent2 78" xfId="4038"/>
    <cellStyle name="40% - Akzent2 79" xfId="4039"/>
    <cellStyle name="40% - Akzent2 8" xfId="4040"/>
    <cellStyle name="40% - Akzent2 80" xfId="4041"/>
    <cellStyle name="40% - Akzent2 81" xfId="4042"/>
    <cellStyle name="40% - Akzent2 82" xfId="4043"/>
    <cellStyle name="40% - Akzent2 83" xfId="4044"/>
    <cellStyle name="40% - Akzent2 84" xfId="4045"/>
    <cellStyle name="40% - Akzent2 85" xfId="4046"/>
    <cellStyle name="40% - Akzent2 86" xfId="4047"/>
    <cellStyle name="40% - Akzent2 87" xfId="4048"/>
    <cellStyle name="40% - Akzent2 88" xfId="4049"/>
    <cellStyle name="40% - Akzent2 89" xfId="4050"/>
    <cellStyle name="40% - Akzent2 9" xfId="4051"/>
    <cellStyle name="40% - Akzent2 90" xfId="4052"/>
    <cellStyle name="40% - Akzent2 91" xfId="4053"/>
    <cellStyle name="40% - Akzent2 92" xfId="4054"/>
    <cellStyle name="40% - Akzent2 93" xfId="4055"/>
    <cellStyle name="40% - Akzent2 94" xfId="4056"/>
    <cellStyle name="40% - Akzent2 95" xfId="4057"/>
    <cellStyle name="40% - Akzent2 96" xfId="4058"/>
    <cellStyle name="40% - Akzent2 97" xfId="4059"/>
    <cellStyle name="40% - Akzent2 98" xfId="4060"/>
    <cellStyle name="40% - Akzent2 99" xfId="4061"/>
    <cellStyle name="40% - Akzent3 10" xfId="4062"/>
    <cellStyle name="40% - Akzent3 10 2" xfId="4063"/>
    <cellStyle name="40% - Akzent3 100" xfId="4064"/>
    <cellStyle name="40% - Akzent3 100 2" xfId="4065"/>
    <cellStyle name="40% - Akzent3 101" xfId="4066"/>
    <cellStyle name="40% - Akzent3 101 2" xfId="4067"/>
    <cellStyle name="40% - Akzent3 102" xfId="4068"/>
    <cellStyle name="40% - Akzent3 102 2" xfId="4069"/>
    <cellStyle name="40% - Akzent3 103" xfId="4070"/>
    <cellStyle name="40% - Akzent3 103 2" xfId="4071"/>
    <cellStyle name="40% - Akzent3 104" xfId="4072"/>
    <cellStyle name="40% - Akzent3 104 2" xfId="4073"/>
    <cellStyle name="40% - Akzent3 105" xfId="4074"/>
    <cellStyle name="40% - Akzent3 105 2" xfId="4075"/>
    <cellStyle name="40% - Akzent3 106" xfId="4076"/>
    <cellStyle name="40% - Akzent3 106 2" xfId="4077"/>
    <cellStyle name="40% - Akzent3 107" xfId="4078"/>
    <cellStyle name="40% - Akzent3 107 2" xfId="4079"/>
    <cellStyle name="40% - Akzent3 108" xfId="4080"/>
    <cellStyle name="40% - Akzent3 108 2" xfId="4081"/>
    <cellStyle name="40% - Akzent3 109" xfId="4082"/>
    <cellStyle name="40% - Akzent3 109 2" xfId="4083"/>
    <cellStyle name="40% - Akzent3 11" xfId="4084"/>
    <cellStyle name="40% - Akzent3 11 2" xfId="4085"/>
    <cellStyle name="40% - Akzent3 110" xfId="4086"/>
    <cellStyle name="40% - Akzent3 110 2" xfId="4087"/>
    <cellStyle name="40% - Akzent3 111" xfId="4088"/>
    <cellStyle name="40% - Akzent3 111 2" xfId="4089"/>
    <cellStyle name="40% - Akzent3 112" xfId="4090"/>
    <cellStyle name="40% - Akzent3 112 2" xfId="4091"/>
    <cellStyle name="40% - Akzent3 113" xfId="4092"/>
    <cellStyle name="40% - Akzent3 113 2" xfId="4093"/>
    <cellStyle name="40% - Akzent3 114" xfId="4094"/>
    <cellStyle name="40% - Akzent3 114 2" xfId="4095"/>
    <cellStyle name="40% - Akzent3 115" xfId="4096"/>
    <cellStyle name="40% - Akzent3 115 2" xfId="4097"/>
    <cellStyle name="40% - Akzent3 116" xfId="4098"/>
    <cellStyle name="40% - Akzent3 116 2" xfId="4099"/>
    <cellStyle name="40% - Akzent3 117" xfId="4100"/>
    <cellStyle name="40% - Akzent3 117 2" xfId="4101"/>
    <cellStyle name="40% - Akzent3 118" xfId="4102"/>
    <cellStyle name="40% - Akzent3 118 2" xfId="4103"/>
    <cellStyle name="40% - Akzent3 119" xfId="4104"/>
    <cellStyle name="40% - Akzent3 119 2" xfId="4105"/>
    <cellStyle name="40% - Akzent3 12" xfId="4106"/>
    <cellStyle name="40% - Akzent3 12 2" xfId="4107"/>
    <cellStyle name="40% - Akzent3 120" xfId="4108"/>
    <cellStyle name="40% - Akzent3 120 2" xfId="4109"/>
    <cellStyle name="40% - Akzent3 121" xfId="4110"/>
    <cellStyle name="40% - Akzent3 121 2" xfId="4111"/>
    <cellStyle name="40% - Akzent3 122" xfId="4112"/>
    <cellStyle name="40% - Akzent3 122 2" xfId="4113"/>
    <cellStyle name="40% - Akzent3 123" xfId="4114"/>
    <cellStyle name="40% - Akzent3 123 2" xfId="4115"/>
    <cellStyle name="40% - Akzent3 124" xfId="4116"/>
    <cellStyle name="40% - Akzent3 124 2" xfId="4117"/>
    <cellStyle name="40% - Akzent3 125" xfId="4118"/>
    <cellStyle name="40% - Akzent3 125 2" xfId="4119"/>
    <cellStyle name="40% - Akzent3 126" xfId="4120"/>
    <cellStyle name="40% - Akzent3 126 2" xfId="4121"/>
    <cellStyle name="40% - Akzent3 127" xfId="4122"/>
    <cellStyle name="40% - Akzent3 127 2" xfId="4123"/>
    <cellStyle name="40% - Akzent3 128" xfId="4124"/>
    <cellStyle name="40% - Akzent3 128 2" xfId="4125"/>
    <cellStyle name="40% - Akzent3 129" xfId="4126"/>
    <cellStyle name="40% - Akzent3 129 2" xfId="4127"/>
    <cellStyle name="40% - Akzent3 13" xfId="4128"/>
    <cellStyle name="40% - Akzent3 13 2" xfId="4129"/>
    <cellStyle name="40% - Akzent3 130" xfId="4130"/>
    <cellStyle name="40% - Akzent3 130 2" xfId="4131"/>
    <cellStyle name="40% - Akzent3 131" xfId="4132"/>
    <cellStyle name="40% - Akzent3 131 2" xfId="4133"/>
    <cellStyle name="40% - Akzent3 132" xfId="4134"/>
    <cellStyle name="40% - Akzent3 132 2" xfId="4135"/>
    <cellStyle name="40% - Akzent3 133" xfId="4136"/>
    <cellStyle name="40% - Akzent3 133 2" xfId="4137"/>
    <cellStyle name="40% - Akzent3 134" xfId="4138"/>
    <cellStyle name="40% - Akzent3 134 2" xfId="4139"/>
    <cellStyle name="40% - Akzent3 135" xfId="4140"/>
    <cellStyle name="40% - Akzent3 135 2" xfId="4141"/>
    <cellStyle name="40% - Akzent3 136" xfId="4142"/>
    <cellStyle name="40% - Akzent3 136 2" xfId="4143"/>
    <cellStyle name="40% - Akzent3 137" xfId="4144"/>
    <cellStyle name="40% - Akzent3 137 2" xfId="4145"/>
    <cellStyle name="40% - Akzent3 138" xfId="4146"/>
    <cellStyle name="40% - Akzent3 138 2" xfId="4147"/>
    <cellStyle name="40% - Akzent3 139" xfId="4148"/>
    <cellStyle name="40% - Akzent3 139 2" xfId="4149"/>
    <cellStyle name="40% - Akzent3 14" xfId="4150"/>
    <cellStyle name="40% - Akzent3 14 2" xfId="4151"/>
    <cellStyle name="40% - Akzent3 140" xfId="4152"/>
    <cellStyle name="40% - Akzent3 140 2" xfId="4153"/>
    <cellStyle name="40% - Akzent3 141" xfId="4154"/>
    <cellStyle name="40% - Akzent3 141 2" xfId="4155"/>
    <cellStyle name="40% - Akzent3 142" xfId="4156"/>
    <cellStyle name="40% - Akzent3 142 2" xfId="4157"/>
    <cellStyle name="40% - Akzent3 143" xfId="4158"/>
    <cellStyle name="40% - Akzent3 143 2" xfId="4159"/>
    <cellStyle name="40% - Akzent3 144" xfId="4160"/>
    <cellStyle name="40% - Akzent3 144 2" xfId="4161"/>
    <cellStyle name="40% - Akzent3 145" xfId="4162"/>
    <cellStyle name="40% - Akzent3 145 2" xfId="4163"/>
    <cellStyle name="40% - Akzent3 146" xfId="4164"/>
    <cellStyle name="40% - Akzent3 146 2" xfId="4165"/>
    <cellStyle name="40% - Akzent3 147" xfId="4166"/>
    <cellStyle name="40% - Akzent3 147 2" xfId="4167"/>
    <cellStyle name="40% - Akzent3 148" xfId="4168"/>
    <cellStyle name="40% - Akzent3 148 2" xfId="4169"/>
    <cellStyle name="40% - Akzent3 149" xfId="4170"/>
    <cellStyle name="40% - Akzent3 149 2" xfId="4171"/>
    <cellStyle name="40% - Akzent3 15" xfId="4172"/>
    <cellStyle name="40% - Akzent3 15 2" xfId="4173"/>
    <cellStyle name="40% - Akzent3 150" xfId="4174"/>
    <cellStyle name="40% - Akzent3 150 2" xfId="4175"/>
    <cellStyle name="40% - Akzent3 151" xfId="4176"/>
    <cellStyle name="40% - Akzent3 151 2" xfId="4177"/>
    <cellStyle name="40% - Akzent3 16" xfId="4178"/>
    <cellStyle name="40% - Akzent3 16 2" xfId="4179"/>
    <cellStyle name="40% - Akzent3 17" xfId="4180"/>
    <cellStyle name="40% - Akzent3 17 2" xfId="4181"/>
    <cellStyle name="40% - Akzent3 18" xfId="4182"/>
    <cellStyle name="40% - Akzent3 18 2" xfId="4183"/>
    <cellStyle name="40% - Akzent3 19" xfId="4184"/>
    <cellStyle name="40% - Akzent3 19 2" xfId="4185"/>
    <cellStyle name="40% - Akzent3 2" xfId="4186"/>
    <cellStyle name="40% - Akzent3 2 2" xfId="4187"/>
    <cellStyle name="40% - Akzent3 2 3" xfId="4188"/>
    <cellStyle name="40% - Akzent3 2 4" xfId="4189"/>
    <cellStyle name="40% - Akzent3 2 4 2" xfId="4190"/>
    <cellStyle name="40% - Akzent3 2 5" xfId="4191"/>
    <cellStyle name="40% - Akzent3 20" xfId="4192"/>
    <cellStyle name="40% - Akzent3 20 2" xfId="4193"/>
    <cellStyle name="40% - Akzent3 21" xfId="4194"/>
    <cellStyle name="40% - Akzent3 21 2" xfId="4195"/>
    <cellStyle name="40% - Akzent3 22" xfId="4196"/>
    <cellStyle name="40% - Akzent3 22 2" xfId="4197"/>
    <cellStyle name="40% - Akzent3 23" xfId="4198"/>
    <cellStyle name="40% - Akzent3 23 2" xfId="4199"/>
    <cellStyle name="40% - Akzent3 24" xfId="4200"/>
    <cellStyle name="40% - Akzent3 24 2" xfId="4201"/>
    <cellStyle name="40% - Akzent3 25" xfId="4202"/>
    <cellStyle name="40% - Akzent3 25 2" xfId="4203"/>
    <cellStyle name="40% - Akzent3 26" xfId="4204"/>
    <cellStyle name="40% - Akzent3 26 2" xfId="4205"/>
    <cellStyle name="40% - Akzent3 27" xfId="4206"/>
    <cellStyle name="40% - Akzent3 27 2" xfId="4207"/>
    <cellStyle name="40% - Akzent3 28" xfId="4208"/>
    <cellStyle name="40% - Akzent3 28 2" xfId="4209"/>
    <cellStyle name="40% - Akzent3 29" xfId="4210"/>
    <cellStyle name="40% - Akzent3 29 2" xfId="4211"/>
    <cellStyle name="40% - Akzent3 3" xfId="4212"/>
    <cellStyle name="40% - Akzent3 3 2" xfId="4213"/>
    <cellStyle name="40% - Akzent3 3 3" xfId="4214"/>
    <cellStyle name="40% - Akzent3 3 4" xfId="4215"/>
    <cellStyle name="40% - Akzent3 3 4 2" xfId="4216"/>
    <cellStyle name="40% - Akzent3 3 5" xfId="4217"/>
    <cellStyle name="40% - Akzent3 30" xfId="4218"/>
    <cellStyle name="40% - Akzent3 30 2" xfId="4219"/>
    <cellStyle name="40% - Akzent3 31" xfId="4220"/>
    <cellStyle name="40% - Akzent3 31 2" xfId="4221"/>
    <cellStyle name="40% - Akzent3 32" xfId="4222"/>
    <cellStyle name="40% - Akzent3 32 2" xfId="4223"/>
    <cellStyle name="40% - Akzent3 33" xfId="4224"/>
    <cellStyle name="40% - Akzent3 33 2" xfId="4225"/>
    <cellStyle name="40% - Akzent3 34" xfId="4226"/>
    <cellStyle name="40% - Akzent3 34 2" xfId="4227"/>
    <cellStyle name="40% - Akzent3 35" xfId="4228"/>
    <cellStyle name="40% - Akzent3 35 2" xfId="4229"/>
    <cellStyle name="40% - Akzent3 36" xfId="4230"/>
    <cellStyle name="40% - Akzent3 36 2" xfId="4231"/>
    <cellStyle name="40% - Akzent3 37" xfId="4232"/>
    <cellStyle name="40% - Akzent3 37 2" xfId="4233"/>
    <cellStyle name="40% - Akzent3 38" xfId="4234"/>
    <cellStyle name="40% - Akzent3 38 2" xfId="4235"/>
    <cellStyle name="40% - Akzent3 39" xfId="4236"/>
    <cellStyle name="40% - Akzent3 39 2" xfId="4237"/>
    <cellStyle name="40% - Akzent3 4" xfId="4238"/>
    <cellStyle name="40% - Akzent3 4 2" xfId="4239"/>
    <cellStyle name="40% - Akzent3 4 3" xfId="4240"/>
    <cellStyle name="40% - Akzent3 4 4" xfId="4241"/>
    <cellStyle name="40% - Akzent3 4 4 2" xfId="4242"/>
    <cellStyle name="40% - Akzent3 4 5" xfId="4243"/>
    <cellStyle name="40% - Akzent3 40" xfId="4244"/>
    <cellStyle name="40% - Akzent3 40 2" xfId="4245"/>
    <cellStyle name="40% - Akzent3 41" xfId="4246"/>
    <cellStyle name="40% - Akzent3 41 2" xfId="4247"/>
    <cellStyle name="40% - Akzent3 42" xfId="4248"/>
    <cellStyle name="40% - Akzent3 42 2" xfId="4249"/>
    <cellStyle name="40% - Akzent3 43" xfId="4250"/>
    <cellStyle name="40% - Akzent3 43 2" xfId="4251"/>
    <cellStyle name="40% - Akzent3 44" xfId="4252"/>
    <cellStyle name="40% - Akzent3 44 2" xfId="4253"/>
    <cellStyle name="40% - Akzent3 45" xfId="4254"/>
    <cellStyle name="40% - Akzent3 45 2" xfId="4255"/>
    <cellStyle name="40% - Akzent3 46" xfId="4256"/>
    <cellStyle name="40% - Akzent3 46 2" xfId="4257"/>
    <cellStyle name="40% - Akzent3 47" xfId="4258"/>
    <cellStyle name="40% - Akzent3 47 2" xfId="4259"/>
    <cellStyle name="40% - Akzent3 48" xfId="4260"/>
    <cellStyle name="40% - Akzent3 48 2" xfId="4261"/>
    <cellStyle name="40% - Akzent3 49" xfId="4262"/>
    <cellStyle name="40% - Akzent3 49 2" xfId="4263"/>
    <cellStyle name="40% - Akzent3 5" xfId="4264"/>
    <cellStyle name="40% - Akzent3 5 2" xfId="4265"/>
    <cellStyle name="40% - Akzent3 50" xfId="4266"/>
    <cellStyle name="40% - Akzent3 50 2" xfId="4267"/>
    <cellStyle name="40% - Akzent3 51" xfId="4268"/>
    <cellStyle name="40% - Akzent3 51 2" xfId="4269"/>
    <cellStyle name="40% - Akzent3 52" xfId="4270"/>
    <cellStyle name="40% - Akzent3 52 2" xfId="4271"/>
    <cellStyle name="40% - Akzent3 53" xfId="4272"/>
    <cellStyle name="40% - Akzent3 53 2" xfId="4273"/>
    <cellStyle name="40% - Akzent3 54" xfId="4274"/>
    <cellStyle name="40% - Akzent3 54 2" xfId="4275"/>
    <cellStyle name="40% - Akzent3 55" xfId="4276"/>
    <cellStyle name="40% - Akzent3 55 2" xfId="4277"/>
    <cellStyle name="40% - Akzent3 56" xfId="4278"/>
    <cellStyle name="40% - Akzent3 56 2" xfId="4279"/>
    <cellStyle name="40% - Akzent3 57" xfId="4280"/>
    <cellStyle name="40% - Akzent3 57 2" xfId="4281"/>
    <cellStyle name="40% - Akzent3 58" xfId="4282"/>
    <cellStyle name="40% - Akzent3 58 2" xfId="4283"/>
    <cellStyle name="40% - Akzent3 59" xfId="4284"/>
    <cellStyle name="40% - Akzent3 59 2" xfId="4285"/>
    <cellStyle name="40% - Akzent3 6" xfId="4286"/>
    <cellStyle name="40% - Akzent3 6 2" xfId="4287"/>
    <cellStyle name="40% - Akzent3 60" xfId="4288"/>
    <cellStyle name="40% - Akzent3 60 2" xfId="4289"/>
    <cellStyle name="40% - Akzent3 61" xfId="4290"/>
    <cellStyle name="40% - Akzent3 61 2" xfId="4291"/>
    <cellStyle name="40% - Akzent3 62" xfId="4292"/>
    <cellStyle name="40% - Akzent3 62 2" xfId="4293"/>
    <cellStyle name="40% - Akzent3 63" xfId="4294"/>
    <cellStyle name="40% - Akzent3 63 2" xfId="4295"/>
    <cellStyle name="40% - Akzent3 64" xfId="4296"/>
    <cellStyle name="40% - Akzent3 64 2" xfId="4297"/>
    <cellStyle name="40% - Akzent3 65" xfId="4298"/>
    <cellStyle name="40% - Akzent3 65 2" xfId="4299"/>
    <cellStyle name="40% - Akzent3 66" xfId="4300"/>
    <cellStyle name="40% - Akzent3 66 2" xfId="4301"/>
    <cellStyle name="40% - Akzent3 67" xfId="4302"/>
    <cellStyle name="40% - Akzent3 67 2" xfId="4303"/>
    <cellStyle name="40% - Akzent3 68" xfId="4304"/>
    <cellStyle name="40% - Akzent3 68 2" xfId="4305"/>
    <cellStyle name="40% - Akzent3 69" xfId="4306"/>
    <cellStyle name="40% - Akzent3 69 2" xfId="4307"/>
    <cellStyle name="40% - Akzent3 7" xfId="4308"/>
    <cellStyle name="40% - Akzent3 7 2" xfId="4309"/>
    <cellStyle name="40% - Akzent3 70" xfId="4310"/>
    <cellStyle name="40% - Akzent3 70 2" xfId="4311"/>
    <cellStyle name="40% - Akzent3 71" xfId="4312"/>
    <cellStyle name="40% - Akzent3 71 2" xfId="4313"/>
    <cellStyle name="40% - Akzent3 72" xfId="4314"/>
    <cellStyle name="40% - Akzent3 72 2" xfId="4315"/>
    <cellStyle name="40% - Akzent3 73" xfId="4316"/>
    <cellStyle name="40% - Akzent3 73 2" xfId="4317"/>
    <cellStyle name="40% - Akzent3 74" xfId="4318"/>
    <cellStyle name="40% - Akzent3 74 2" xfId="4319"/>
    <cellStyle name="40% - Akzent3 75" xfId="4320"/>
    <cellStyle name="40% - Akzent3 75 2" xfId="4321"/>
    <cellStyle name="40% - Akzent3 76" xfId="4322"/>
    <cellStyle name="40% - Akzent3 76 2" xfId="4323"/>
    <cellStyle name="40% - Akzent3 77" xfId="4324"/>
    <cellStyle name="40% - Akzent3 77 2" xfId="4325"/>
    <cellStyle name="40% - Akzent3 78" xfId="4326"/>
    <cellStyle name="40% - Akzent3 78 2" xfId="4327"/>
    <cellStyle name="40% - Akzent3 79" xfId="4328"/>
    <cellStyle name="40% - Akzent3 79 2" xfId="4329"/>
    <cellStyle name="40% - Akzent3 8" xfId="4330"/>
    <cellStyle name="40% - Akzent3 8 2" xfId="4331"/>
    <cellStyle name="40% - Akzent3 80" xfId="4332"/>
    <cellStyle name="40% - Akzent3 80 2" xfId="4333"/>
    <cellStyle name="40% - Akzent3 81" xfId="4334"/>
    <cellStyle name="40% - Akzent3 81 2" xfId="4335"/>
    <cellStyle name="40% - Akzent3 82" xfId="4336"/>
    <cellStyle name="40% - Akzent3 82 2" xfId="4337"/>
    <cellStyle name="40% - Akzent3 83" xfId="4338"/>
    <cellStyle name="40% - Akzent3 83 2" xfId="4339"/>
    <cellStyle name="40% - Akzent3 84" xfId="4340"/>
    <cellStyle name="40% - Akzent3 84 2" xfId="4341"/>
    <cellStyle name="40% - Akzent3 85" xfId="4342"/>
    <cellStyle name="40% - Akzent3 85 2" xfId="4343"/>
    <cellStyle name="40% - Akzent3 86" xfId="4344"/>
    <cellStyle name="40% - Akzent3 86 2" xfId="4345"/>
    <cellStyle name="40% - Akzent3 87" xfId="4346"/>
    <cellStyle name="40% - Akzent3 87 2" xfId="4347"/>
    <cellStyle name="40% - Akzent3 88" xfId="4348"/>
    <cellStyle name="40% - Akzent3 88 2" xfId="4349"/>
    <cellStyle name="40% - Akzent3 89" xfId="4350"/>
    <cellStyle name="40% - Akzent3 89 2" xfId="4351"/>
    <cellStyle name="40% - Akzent3 9" xfId="4352"/>
    <cellStyle name="40% - Akzent3 9 2" xfId="4353"/>
    <cellStyle name="40% - Akzent3 90" xfId="4354"/>
    <cellStyle name="40% - Akzent3 90 2" xfId="4355"/>
    <cellStyle name="40% - Akzent3 91" xfId="4356"/>
    <cellStyle name="40% - Akzent3 91 2" xfId="4357"/>
    <cellStyle name="40% - Akzent3 92" xfId="4358"/>
    <cellStyle name="40% - Akzent3 92 2" xfId="4359"/>
    <cellStyle name="40% - Akzent3 93" xfId="4360"/>
    <cellStyle name="40% - Akzent3 93 2" xfId="4361"/>
    <cellStyle name="40% - Akzent3 94" xfId="4362"/>
    <cellStyle name="40% - Akzent3 94 2" xfId="4363"/>
    <cellStyle name="40% - Akzent3 95" xfId="4364"/>
    <cellStyle name="40% - Akzent3 95 2" xfId="4365"/>
    <cellStyle name="40% - Akzent3 96" xfId="4366"/>
    <cellStyle name="40% - Akzent3 96 2" xfId="4367"/>
    <cellStyle name="40% - Akzent3 97" xfId="4368"/>
    <cellStyle name="40% - Akzent3 97 2" xfId="4369"/>
    <cellStyle name="40% - Akzent3 98" xfId="4370"/>
    <cellStyle name="40% - Akzent3 98 2" xfId="4371"/>
    <cellStyle name="40% - Akzent3 99" xfId="4372"/>
    <cellStyle name="40% - Akzent3 99 2" xfId="4373"/>
    <cellStyle name="40% - Akzent4 10" xfId="4374"/>
    <cellStyle name="40% - Akzent4 10 2" xfId="4375"/>
    <cellStyle name="40% - Akzent4 100" xfId="4376"/>
    <cellStyle name="40% - Akzent4 100 2" xfId="4377"/>
    <cellStyle name="40% - Akzent4 101" xfId="4378"/>
    <cellStyle name="40% - Akzent4 101 2" xfId="4379"/>
    <cellStyle name="40% - Akzent4 102" xfId="4380"/>
    <cellStyle name="40% - Akzent4 102 2" xfId="4381"/>
    <cellStyle name="40% - Akzent4 103" xfId="4382"/>
    <cellStyle name="40% - Akzent4 103 2" xfId="4383"/>
    <cellStyle name="40% - Akzent4 104" xfId="4384"/>
    <cellStyle name="40% - Akzent4 104 2" xfId="4385"/>
    <cellStyle name="40% - Akzent4 105" xfId="4386"/>
    <cellStyle name="40% - Akzent4 105 2" xfId="4387"/>
    <cellStyle name="40% - Akzent4 106" xfId="4388"/>
    <cellStyle name="40% - Akzent4 106 2" xfId="4389"/>
    <cellStyle name="40% - Akzent4 107" xfId="4390"/>
    <cellStyle name="40% - Akzent4 107 2" xfId="4391"/>
    <cellStyle name="40% - Akzent4 108" xfId="4392"/>
    <cellStyle name="40% - Akzent4 108 2" xfId="4393"/>
    <cellStyle name="40% - Akzent4 109" xfId="4394"/>
    <cellStyle name="40% - Akzent4 109 2" xfId="4395"/>
    <cellStyle name="40% - Akzent4 11" xfId="4396"/>
    <cellStyle name="40% - Akzent4 11 2" xfId="4397"/>
    <cellStyle name="40% - Akzent4 110" xfId="4398"/>
    <cellStyle name="40% - Akzent4 110 2" xfId="4399"/>
    <cellStyle name="40% - Akzent4 111" xfId="4400"/>
    <cellStyle name="40% - Akzent4 111 2" xfId="4401"/>
    <cellStyle name="40% - Akzent4 112" xfId="4402"/>
    <cellStyle name="40% - Akzent4 112 2" xfId="4403"/>
    <cellStyle name="40% - Akzent4 113" xfId="4404"/>
    <cellStyle name="40% - Akzent4 113 2" xfId="4405"/>
    <cellStyle name="40% - Akzent4 114" xfId="4406"/>
    <cellStyle name="40% - Akzent4 114 2" xfId="4407"/>
    <cellStyle name="40% - Akzent4 115" xfId="4408"/>
    <cellStyle name="40% - Akzent4 115 2" xfId="4409"/>
    <cellStyle name="40% - Akzent4 116" xfId="4410"/>
    <cellStyle name="40% - Akzent4 116 2" xfId="4411"/>
    <cellStyle name="40% - Akzent4 117" xfId="4412"/>
    <cellStyle name="40% - Akzent4 117 2" xfId="4413"/>
    <cellStyle name="40% - Akzent4 118" xfId="4414"/>
    <cellStyle name="40% - Akzent4 118 2" xfId="4415"/>
    <cellStyle name="40% - Akzent4 119" xfId="4416"/>
    <cellStyle name="40% - Akzent4 119 2" xfId="4417"/>
    <cellStyle name="40% - Akzent4 12" xfId="4418"/>
    <cellStyle name="40% - Akzent4 12 2" xfId="4419"/>
    <cellStyle name="40% - Akzent4 120" xfId="4420"/>
    <cellStyle name="40% - Akzent4 120 2" xfId="4421"/>
    <cellStyle name="40% - Akzent4 121" xfId="4422"/>
    <cellStyle name="40% - Akzent4 121 2" xfId="4423"/>
    <cellStyle name="40% - Akzent4 122" xfId="4424"/>
    <cellStyle name="40% - Akzent4 122 2" xfId="4425"/>
    <cellStyle name="40% - Akzent4 123" xfId="4426"/>
    <cellStyle name="40% - Akzent4 123 2" xfId="4427"/>
    <cellStyle name="40% - Akzent4 124" xfId="4428"/>
    <cellStyle name="40% - Akzent4 124 2" xfId="4429"/>
    <cellStyle name="40% - Akzent4 125" xfId="4430"/>
    <cellStyle name="40% - Akzent4 125 2" xfId="4431"/>
    <cellStyle name="40% - Akzent4 126" xfId="4432"/>
    <cellStyle name="40% - Akzent4 126 2" xfId="4433"/>
    <cellStyle name="40% - Akzent4 127" xfId="4434"/>
    <cellStyle name="40% - Akzent4 127 2" xfId="4435"/>
    <cellStyle name="40% - Akzent4 128" xfId="4436"/>
    <cellStyle name="40% - Akzent4 128 2" xfId="4437"/>
    <cellStyle name="40% - Akzent4 129" xfId="4438"/>
    <cellStyle name="40% - Akzent4 129 2" xfId="4439"/>
    <cellStyle name="40% - Akzent4 13" xfId="4440"/>
    <cellStyle name="40% - Akzent4 13 2" xfId="4441"/>
    <cellStyle name="40% - Akzent4 130" xfId="4442"/>
    <cellStyle name="40% - Akzent4 130 2" xfId="4443"/>
    <cellStyle name="40% - Akzent4 131" xfId="4444"/>
    <cellStyle name="40% - Akzent4 131 2" xfId="4445"/>
    <cellStyle name="40% - Akzent4 132" xfId="4446"/>
    <cellStyle name="40% - Akzent4 132 2" xfId="4447"/>
    <cellStyle name="40% - Akzent4 133" xfId="4448"/>
    <cellStyle name="40% - Akzent4 133 2" xfId="4449"/>
    <cellStyle name="40% - Akzent4 134" xfId="4450"/>
    <cellStyle name="40% - Akzent4 134 2" xfId="4451"/>
    <cellStyle name="40% - Akzent4 135" xfId="4452"/>
    <cellStyle name="40% - Akzent4 135 2" xfId="4453"/>
    <cellStyle name="40% - Akzent4 136" xfId="4454"/>
    <cellStyle name="40% - Akzent4 136 2" xfId="4455"/>
    <cellStyle name="40% - Akzent4 137" xfId="4456"/>
    <cellStyle name="40% - Akzent4 137 2" xfId="4457"/>
    <cellStyle name="40% - Akzent4 138" xfId="4458"/>
    <cellStyle name="40% - Akzent4 138 2" xfId="4459"/>
    <cellStyle name="40% - Akzent4 139" xfId="4460"/>
    <cellStyle name="40% - Akzent4 139 2" xfId="4461"/>
    <cellStyle name="40% - Akzent4 14" xfId="4462"/>
    <cellStyle name="40% - Akzent4 14 2" xfId="4463"/>
    <cellStyle name="40% - Akzent4 140" xfId="4464"/>
    <cellStyle name="40% - Akzent4 140 2" xfId="4465"/>
    <cellStyle name="40% - Akzent4 141" xfId="4466"/>
    <cellStyle name="40% - Akzent4 141 2" xfId="4467"/>
    <cellStyle name="40% - Akzent4 142" xfId="4468"/>
    <cellStyle name="40% - Akzent4 142 2" xfId="4469"/>
    <cellStyle name="40% - Akzent4 143" xfId="4470"/>
    <cellStyle name="40% - Akzent4 143 2" xfId="4471"/>
    <cellStyle name="40% - Akzent4 144" xfId="4472"/>
    <cellStyle name="40% - Akzent4 144 2" xfId="4473"/>
    <cellStyle name="40% - Akzent4 145" xfId="4474"/>
    <cellStyle name="40% - Akzent4 145 2" xfId="4475"/>
    <cellStyle name="40% - Akzent4 146" xfId="4476"/>
    <cellStyle name="40% - Akzent4 146 2" xfId="4477"/>
    <cellStyle name="40% - Akzent4 147" xfId="4478"/>
    <cellStyle name="40% - Akzent4 147 2" xfId="4479"/>
    <cellStyle name="40% - Akzent4 148" xfId="4480"/>
    <cellStyle name="40% - Akzent4 148 2" xfId="4481"/>
    <cellStyle name="40% - Akzent4 149" xfId="4482"/>
    <cellStyle name="40% - Akzent4 149 2" xfId="4483"/>
    <cellStyle name="40% - Akzent4 15" xfId="4484"/>
    <cellStyle name="40% - Akzent4 15 2" xfId="4485"/>
    <cellStyle name="40% - Akzent4 150" xfId="4486"/>
    <cellStyle name="40% - Akzent4 150 2" xfId="4487"/>
    <cellStyle name="40% - Akzent4 151" xfId="4488"/>
    <cellStyle name="40% - Akzent4 151 2" xfId="4489"/>
    <cellStyle name="40% - Akzent4 16" xfId="4490"/>
    <cellStyle name="40% - Akzent4 16 2" xfId="4491"/>
    <cellStyle name="40% - Akzent4 17" xfId="4492"/>
    <cellStyle name="40% - Akzent4 17 2" xfId="4493"/>
    <cellStyle name="40% - Akzent4 18" xfId="4494"/>
    <cellStyle name="40% - Akzent4 18 2" xfId="4495"/>
    <cellStyle name="40% - Akzent4 19" xfId="4496"/>
    <cellStyle name="40% - Akzent4 19 2" xfId="4497"/>
    <cellStyle name="40% - Akzent4 2" xfId="4498"/>
    <cellStyle name="40% - Akzent4 2 2" xfId="4499"/>
    <cellStyle name="40% - Akzent4 2 3" xfId="4500"/>
    <cellStyle name="40% - Akzent4 2 4" xfId="4501"/>
    <cellStyle name="40% - Akzent4 2 4 2" xfId="4502"/>
    <cellStyle name="40% - Akzent4 2 5" xfId="4503"/>
    <cellStyle name="40% - Akzent4 20" xfId="4504"/>
    <cellStyle name="40% - Akzent4 20 2" xfId="4505"/>
    <cellStyle name="40% - Akzent4 21" xfId="4506"/>
    <cellStyle name="40% - Akzent4 21 2" xfId="4507"/>
    <cellStyle name="40% - Akzent4 22" xfId="4508"/>
    <cellStyle name="40% - Akzent4 22 2" xfId="4509"/>
    <cellStyle name="40% - Akzent4 23" xfId="4510"/>
    <cellStyle name="40% - Akzent4 23 2" xfId="4511"/>
    <cellStyle name="40% - Akzent4 24" xfId="4512"/>
    <cellStyle name="40% - Akzent4 24 2" xfId="4513"/>
    <cellStyle name="40% - Akzent4 25" xfId="4514"/>
    <cellStyle name="40% - Akzent4 25 2" xfId="4515"/>
    <cellStyle name="40% - Akzent4 26" xfId="4516"/>
    <cellStyle name="40% - Akzent4 26 2" xfId="4517"/>
    <cellStyle name="40% - Akzent4 27" xfId="4518"/>
    <cellStyle name="40% - Akzent4 27 2" xfId="4519"/>
    <cellStyle name="40% - Akzent4 28" xfId="4520"/>
    <cellStyle name="40% - Akzent4 28 2" xfId="4521"/>
    <cellStyle name="40% - Akzent4 29" xfId="4522"/>
    <cellStyle name="40% - Akzent4 29 2" xfId="4523"/>
    <cellStyle name="40% - Akzent4 3" xfId="4524"/>
    <cellStyle name="40% - Akzent4 3 2" xfId="4525"/>
    <cellStyle name="40% - Akzent4 3 3" xfId="4526"/>
    <cellStyle name="40% - Akzent4 3 4" xfId="4527"/>
    <cellStyle name="40% - Akzent4 3 4 2" xfId="4528"/>
    <cellStyle name="40% - Akzent4 3 5" xfId="4529"/>
    <cellStyle name="40% - Akzent4 30" xfId="4530"/>
    <cellStyle name="40% - Akzent4 30 2" xfId="4531"/>
    <cellStyle name="40% - Akzent4 31" xfId="4532"/>
    <cellStyle name="40% - Akzent4 31 2" xfId="4533"/>
    <cellStyle name="40% - Akzent4 32" xfId="4534"/>
    <cellStyle name="40% - Akzent4 32 2" xfId="4535"/>
    <cellStyle name="40% - Akzent4 33" xfId="4536"/>
    <cellStyle name="40% - Akzent4 33 2" xfId="4537"/>
    <cellStyle name="40% - Akzent4 34" xfId="4538"/>
    <cellStyle name="40% - Akzent4 34 2" xfId="4539"/>
    <cellStyle name="40% - Akzent4 35" xfId="4540"/>
    <cellStyle name="40% - Akzent4 35 2" xfId="4541"/>
    <cellStyle name="40% - Akzent4 36" xfId="4542"/>
    <cellStyle name="40% - Akzent4 36 2" xfId="4543"/>
    <cellStyle name="40% - Akzent4 37" xfId="4544"/>
    <cellStyle name="40% - Akzent4 37 2" xfId="4545"/>
    <cellStyle name="40% - Akzent4 38" xfId="4546"/>
    <cellStyle name="40% - Akzent4 38 2" xfId="4547"/>
    <cellStyle name="40% - Akzent4 39" xfId="4548"/>
    <cellStyle name="40% - Akzent4 39 2" xfId="4549"/>
    <cellStyle name="40% - Akzent4 4" xfId="4550"/>
    <cellStyle name="40% - Akzent4 4 2" xfId="4551"/>
    <cellStyle name="40% - Akzent4 4 3" xfId="4552"/>
    <cellStyle name="40% - Akzent4 4 4" xfId="4553"/>
    <cellStyle name="40% - Akzent4 4 4 2" xfId="4554"/>
    <cellStyle name="40% - Akzent4 4 5" xfId="4555"/>
    <cellStyle name="40% - Akzent4 40" xfId="4556"/>
    <cellStyle name="40% - Akzent4 40 2" xfId="4557"/>
    <cellStyle name="40% - Akzent4 41" xfId="4558"/>
    <cellStyle name="40% - Akzent4 41 2" xfId="4559"/>
    <cellStyle name="40% - Akzent4 42" xfId="4560"/>
    <cellStyle name="40% - Akzent4 42 2" xfId="4561"/>
    <cellStyle name="40% - Akzent4 43" xfId="4562"/>
    <cellStyle name="40% - Akzent4 43 2" xfId="4563"/>
    <cellStyle name="40% - Akzent4 44" xfId="4564"/>
    <cellStyle name="40% - Akzent4 44 2" xfId="4565"/>
    <cellStyle name="40% - Akzent4 45" xfId="4566"/>
    <cellStyle name="40% - Akzent4 45 2" xfId="4567"/>
    <cellStyle name="40% - Akzent4 46" xfId="4568"/>
    <cellStyle name="40% - Akzent4 46 2" xfId="4569"/>
    <cellStyle name="40% - Akzent4 47" xfId="4570"/>
    <cellStyle name="40% - Akzent4 47 2" xfId="4571"/>
    <cellStyle name="40% - Akzent4 48" xfId="4572"/>
    <cellStyle name="40% - Akzent4 48 2" xfId="4573"/>
    <cellStyle name="40% - Akzent4 49" xfId="4574"/>
    <cellStyle name="40% - Akzent4 49 2" xfId="4575"/>
    <cellStyle name="40% - Akzent4 5" xfId="4576"/>
    <cellStyle name="40% - Akzent4 5 2" xfId="4577"/>
    <cellStyle name="40% - Akzent4 50" xfId="4578"/>
    <cellStyle name="40% - Akzent4 50 2" xfId="4579"/>
    <cellStyle name="40% - Akzent4 51" xfId="4580"/>
    <cellStyle name="40% - Akzent4 51 2" xfId="4581"/>
    <cellStyle name="40% - Akzent4 52" xfId="4582"/>
    <cellStyle name="40% - Akzent4 52 2" xfId="4583"/>
    <cellStyle name="40% - Akzent4 53" xfId="4584"/>
    <cellStyle name="40% - Akzent4 53 2" xfId="4585"/>
    <cellStyle name="40% - Akzent4 54" xfId="4586"/>
    <cellStyle name="40% - Akzent4 54 2" xfId="4587"/>
    <cellStyle name="40% - Akzent4 55" xfId="4588"/>
    <cellStyle name="40% - Akzent4 55 2" xfId="4589"/>
    <cellStyle name="40% - Akzent4 56" xfId="4590"/>
    <cellStyle name="40% - Akzent4 56 2" xfId="4591"/>
    <cellStyle name="40% - Akzent4 57" xfId="4592"/>
    <cellStyle name="40% - Akzent4 57 2" xfId="4593"/>
    <cellStyle name="40% - Akzent4 58" xfId="4594"/>
    <cellStyle name="40% - Akzent4 58 2" xfId="4595"/>
    <cellStyle name="40% - Akzent4 59" xfId="4596"/>
    <cellStyle name="40% - Akzent4 59 2" xfId="4597"/>
    <cellStyle name="40% - Akzent4 6" xfId="4598"/>
    <cellStyle name="40% - Akzent4 6 2" xfId="4599"/>
    <cellStyle name="40% - Akzent4 60" xfId="4600"/>
    <cellStyle name="40% - Akzent4 60 2" xfId="4601"/>
    <cellStyle name="40% - Akzent4 61" xfId="4602"/>
    <cellStyle name="40% - Akzent4 61 2" xfId="4603"/>
    <cellStyle name="40% - Akzent4 62" xfId="4604"/>
    <cellStyle name="40% - Akzent4 62 2" xfId="4605"/>
    <cellStyle name="40% - Akzent4 63" xfId="4606"/>
    <cellStyle name="40% - Akzent4 63 2" xfId="4607"/>
    <cellStyle name="40% - Akzent4 64" xfId="4608"/>
    <cellStyle name="40% - Akzent4 64 2" xfId="4609"/>
    <cellStyle name="40% - Akzent4 65" xfId="4610"/>
    <cellStyle name="40% - Akzent4 65 2" xfId="4611"/>
    <cellStyle name="40% - Akzent4 66" xfId="4612"/>
    <cellStyle name="40% - Akzent4 66 2" xfId="4613"/>
    <cellStyle name="40% - Akzent4 67" xfId="4614"/>
    <cellStyle name="40% - Akzent4 67 2" xfId="4615"/>
    <cellStyle name="40% - Akzent4 68" xfId="4616"/>
    <cellStyle name="40% - Akzent4 68 2" xfId="4617"/>
    <cellStyle name="40% - Akzent4 69" xfId="4618"/>
    <cellStyle name="40% - Akzent4 69 2" xfId="4619"/>
    <cellStyle name="40% - Akzent4 7" xfId="4620"/>
    <cellStyle name="40% - Akzent4 7 2" xfId="4621"/>
    <cellStyle name="40% - Akzent4 70" xfId="4622"/>
    <cellStyle name="40% - Akzent4 70 2" xfId="4623"/>
    <cellStyle name="40% - Akzent4 71" xfId="4624"/>
    <cellStyle name="40% - Akzent4 71 2" xfId="4625"/>
    <cellStyle name="40% - Akzent4 72" xfId="4626"/>
    <cellStyle name="40% - Akzent4 72 2" xfId="4627"/>
    <cellStyle name="40% - Akzent4 73" xfId="4628"/>
    <cellStyle name="40% - Akzent4 73 2" xfId="4629"/>
    <cellStyle name="40% - Akzent4 74" xfId="4630"/>
    <cellStyle name="40% - Akzent4 74 2" xfId="4631"/>
    <cellStyle name="40% - Akzent4 75" xfId="4632"/>
    <cellStyle name="40% - Akzent4 75 2" xfId="4633"/>
    <cellStyle name="40% - Akzent4 76" xfId="4634"/>
    <cellStyle name="40% - Akzent4 76 2" xfId="4635"/>
    <cellStyle name="40% - Akzent4 77" xfId="4636"/>
    <cellStyle name="40% - Akzent4 77 2" xfId="4637"/>
    <cellStyle name="40% - Akzent4 78" xfId="4638"/>
    <cellStyle name="40% - Akzent4 78 2" xfId="4639"/>
    <cellStyle name="40% - Akzent4 79" xfId="4640"/>
    <cellStyle name="40% - Akzent4 79 2" xfId="4641"/>
    <cellStyle name="40% - Akzent4 8" xfId="4642"/>
    <cellStyle name="40% - Akzent4 8 2" xfId="4643"/>
    <cellStyle name="40% - Akzent4 80" xfId="4644"/>
    <cellStyle name="40% - Akzent4 80 2" xfId="4645"/>
    <cellStyle name="40% - Akzent4 81" xfId="4646"/>
    <cellStyle name="40% - Akzent4 81 2" xfId="4647"/>
    <cellStyle name="40% - Akzent4 82" xfId="4648"/>
    <cellStyle name="40% - Akzent4 82 2" xfId="4649"/>
    <cellStyle name="40% - Akzent4 83" xfId="4650"/>
    <cellStyle name="40% - Akzent4 83 2" xfId="4651"/>
    <cellStyle name="40% - Akzent4 84" xfId="4652"/>
    <cellStyle name="40% - Akzent4 84 2" xfId="4653"/>
    <cellStyle name="40% - Akzent4 85" xfId="4654"/>
    <cellStyle name="40% - Akzent4 85 2" xfId="4655"/>
    <cellStyle name="40% - Akzent4 86" xfId="4656"/>
    <cellStyle name="40% - Akzent4 86 2" xfId="4657"/>
    <cellStyle name="40% - Akzent4 87" xfId="4658"/>
    <cellStyle name="40% - Akzent4 87 2" xfId="4659"/>
    <cellStyle name="40% - Akzent4 88" xfId="4660"/>
    <cellStyle name="40% - Akzent4 88 2" xfId="4661"/>
    <cellStyle name="40% - Akzent4 89" xfId="4662"/>
    <cellStyle name="40% - Akzent4 89 2" xfId="4663"/>
    <cellStyle name="40% - Akzent4 9" xfId="4664"/>
    <cellStyle name="40% - Akzent4 9 2" xfId="4665"/>
    <cellStyle name="40% - Akzent4 90" xfId="4666"/>
    <cellStyle name="40% - Akzent4 90 2" xfId="4667"/>
    <cellStyle name="40% - Akzent4 91" xfId="4668"/>
    <cellStyle name="40% - Akzent4 91 2" xfId="4669"/>
    <cellStyle name="40% - Akzent4 92" xfId="4670"/>
    <cellStyle name="40% - Akzent4 92 2" xfId="4671"/>
    <cellStyle name="40% - Akzent4 93" xfId="4672"/>
    <cellStyle name="40% - Akzent4 93 2" xfId="4673"/>
    <cellStyle name="40% - Akzent4 94" xfId="4674"/>
    <cellStyle name="40% - Akzent4 94 2" xfId="4675"/>
    <cellStyle name="40% - Akzent4 95" xfId="4676"/>
    <cellStyle name="40% - Akzent4 95 2" xfId="4677"/>
    <cellStyle name="40% - Akzent4 96" xfId="4678"/>
    <cellStyle name="40% - Akzent4 96 2" xfId="4679"/>
    <cellStyle name="40% - Akzent4 97" xfId="4680"/>
    <cellStyle name="40% - Akzent4 97 2" xfId="4681"/>
    <cellStyle name="40% - Akzent4 98" xfId="4682"/>
    <cellStyle name="40% - Akzent4 98 2" xfId="4683"/>
    <cellStyle name="40% - Akzent4 99" xfId="4684"/>
    <cellStyle name="40% - Akzent4 99 2" xfId="4685"/>
    <cellStyle name="40% - Akzent5 10" xfId="4686"/>
    <cellStyle name="40% - Akzent5 10 2" xfId="4687"/>
    <cellStyle name="40% - Akzent5 100" xfId="4688"/>
    <cellStyle name="40% - Akzent5 100 2" xfId="4689"/>
    <cellStyle name="40% - Akzent5 101" xfId="4690"/>
    <cellStyle name="40% - Akzent5 101 2" xfId="4691"/>
    <cellStyle name="40% - Akzent5 102" xfId="4692"/>
    <cellStyle name="40% - Akzent5 102 2" xfId="4693"/>
    <cellStyle name="40% - Akzent5 103" xfId="4694"/>
    <cellStyle name="40% - Akzent5 103 2" xfId="4695"/>
    <cellStyle name="40% - Akzent5 104" xfId="4696"/>
    <cellStyle name="40% - Akzent5 104 2" xfId="4697"/>
    <cellStyle name="40% - Akzent5 105" xfId="4698"/>
    <cellStyle name="40% - Akzent5 105 2" xfId="4699"/>
    <cellStyle name="40% - Akzent5 106" xfId="4700"/>
    <cellStyle name="40% - Akzent5 106 2" xfId="4701"/>
    <cellStyle name="40% - Akzent5 107" xfId="4702"/>
    <cellStyle name="40% - Akzent5 107 2" xfId="4703"/>
    <cellStyle name="40% - Akzent5 108" xfId="4704"/>
    <cellStyle name="40% - Akzent5 108 2" xfId="4705"/>
    <cellStyle name="40% - Akzent5 109" xfId="4706"/>
    <cellStyle name="40% - Akzent5 109 2" xfId="4707"/>
    <cellStyle name="40% - Akzent5 11" xfId="4708"/>
    <cellStyle name="40% - Akzent5 11 2" xfId="4709"/>
    <cellStyle name="40% - Akzent5 110" xfId="4710"/>
    <cellStyle name="40% - Akzent5 110 2" xfId="4711"/>
    <cellStyle name="40% - Akzent5 111" xfId="4712"/>
    <cellStyle name="40% - Akzent5 111 2" xfId="4713"/>
    <cellStyle name="40% - Akzent5 112" xfId="4714"/>
    <cellStyle name="40% - Akzent5 112 2" xfId="4715"/>
    <cellStyle name="40% - Akzent5 113" xfId="4716"/>
    <cellStyle name="40% - Akzent5 113 2" xfId="4717"/>
    <cellStyle name="40% - Akzent5 114" xfId="4718"/>
    <cellStyle name="40% - Akzent5 114 2" xfId="4719"/>
    <cellStyle name="40% - Akzent5 115" xfId="4720"/>
    <cellStyle name="40% - Akzent5 115 2" xfId="4721"/>
    <cellStyle name="40% - Akzent5 116" xfId="4722"/>
    <cellStyle name="40% - Akzent5 116 2" xfId="4723"/>
    <cellStyle name="40% - Akzent5 117" xfId="4724"/>
    <cellStyle name="40% - Akzent5 117 2" xfId="4725"/>
    <cellStyle name="40% - Akzent5 118" xfId="4726"/>
    <cellStyle name="40% - Akzent5 118 2" xfId="4727"/>
    <cellStyle name="40% - Akzent5 119" xfId="4728"/>
    <cellStyle name="40% - Akzent5 119 2" xfId="4729"/>
    <cellStyle name="40% - Akzent5 12" xfId="4730"/>
    <cellStyle name="40% - Akzent5 12 2" xfId="4731"/>
    <cellStyle name="40% - Akzent5 120" xfId="4732"/>
    <cellStyle name="40% - Akzent5 120 2" xfId="4733"/>
    <cellStyle name="40% - Akzent5 121" xfId="4734"/>
    <cellStyle name="40% - Akzent5 121 2" xfId="4735"/>
    <cellStyle name="40% - Akzent5 122" xfId="4736"/>
    <cellStyle name="40% - Akzent5 122 2" xfId="4737"/>
    <cellStyle name="40% - Akzent5 123" xfId="4738"/>
    <cellStyle name="40% - Akzent5 123 2" xfId="4739"/>
    <cellStyle name="40% - Akzent5 124" xfId="4740"/>
    <cellStyle name="40% - Akzent5 124 2" xfId="4741"/>
    <cellStyle name="40% - Akzent5 125" xfId="4742"/>
    <cellStyle name="40% - Akzent5 125 2" xfId="4743"/>
    <cellStyle name="40% - Akzent5 126" xfId="4744"/>
    <cellStyle name="40% - Akzent5 126 2" xfId="4745"/>
    <cellStyle name="40% - Akzent5 127" xfId="4746"/>
    <cellStyle name="40% - Akzent5 127 2" xfId="4747"/>
    <cellStyle name="40% - Akzent5 128" xfId="4748"/>
    <cellStyle name="40% - Akzent5 128 2" xfId="4749"/>
    <cellStyle name="40% - Akzent5 129" xfId="4750"/>
    <cellStyle name="40% - Akzent5 129 2" xfId="4751"/>
    <cellStyle name="40% - Akzent5 13" xfId="4752"/>
    <cellStyle name="40% - Akzent5 13 2" xfId="4753"/>
    <cellStyle name="40% - Akzent5 130" xfId="4754"/>
    <cellStyle name="40% - Akzent5 130 2" xfId="4755"/>
    <cellStyle name="40% - Akzent5 131" xfId="4756"/>
    <cellStyle name="40% - Akzent5 131 2" xfId="4757"/>
    <cellStyle name="40% - Akzent5 132" xfId="4758"/>
    <cellStyle name="40% - Akzent5 132 2" xfId="4759"/>
    <cellStyle name="40% - Akzent5 133" xfId="4760"/>
    <cellStyle name="40% - Akzent5 133 2" xfId="4761"/>
    <cellStyle name="40% - Akzent5 134" xfId="4762"/>
    <cellStyle name="40% - Akzent5 134 2" xfId="4763"/>
    <cellStyle name="40% - Akzent5 135" xfId="4764"/>
    <cellStyle name="40% - Akzent5 135 2" xfId="4765"/>
    <cellStyle name="40% - Akzent5 136" xfId="4766"/>
    <cellStyle name="40% - Akzent5 136 2" xfId="4767"/>
    <cellStyle name="40% - Akzent5 137" xfId="4768"/>
    <cellStyle name="40% - Akzent5 137 2" xfId="4769"/>
    <cellStyle name="40% - Akzent5 138" xfId="4770"/>
    <cellStyle name="40% - Akzent5 138 2" xfId="4771"/>
    <cellStyle name="40% - Akzent5 139" xfId="4772"/>
    <cellStyle name="40% - Akzent5 139 2" xfId="4773"/>
    <cellStyle name="40% - Akzent5 14" xfId="4774"/>
    <cellStyle name="40% - Akzent5 14 2" xfId="4775"/>
    <cellStyle name="40% - Akzent5 140" xfId="4776"/>
    <cellStyle name="40% - Akzent5 140 2" xfId="4777"/>
    <cellStyle name="40% - Akzent5 141" xfId="4778"/>
    <cellStyle name="40% - Akzent5 141 2" xfId="4779"/>
    <cellStyle name="40% - Akzent5 142" xfId="4780"/>
    <cellStyle name="40% - Akzent5 142 2" xfId="4781"/>
    <cellStyle name="40% - Akzent5 143" xfId="4782"/>
    <cellStyle name="40% - Akzent5 143 2" xfId="4783"/>
    <cellStyle name="40% - Akzent5 144" xfId="4784"/>
    <cellStyle name="40% - Akzent5 144 2" xfId="4785"/>
    <cellStyle name="40% - Akzent5 145" xfId="4786"/>
    <cellStyle name="40% - Akzent5 145 2" xfId="4787"/>
    <cellStyle name="40% - Akzent5 146" xfId="4788"/>
    <cellStyle name="40% - Akzent5 146 2" xfId="4789"/>
    <cellStyle name="40% - Akzent5 147" xfId="4790"/>
    <cellStyle name="40% - Akzent5 147 2" xfId="4791"/>
    <cellStyle name="40% - Akzent5 148" xfId="4792"/>
    <cellStyle name="40% - Akzent5 148 2" xfId="4793"/>
    <cellStyle name="40% - Akzent5 149" xfId="4794"/>
    <cellStyle name="40% - Akzent5 149 2" xfId="4795"/>
    <cellStyle name="40% - Akzent5 15" xfId="4796"/>
    <cellStyle name="40% - Akzent5 15 2" xfId="4797"/>
    <cellStyle name="40% - Akzent5 150" xfId="4798"/>
    <cellStyle name="40% - Akzent5 150 2" xfId="4799"/>
    <cellStyle name="40% - Akzent5 151" xfId="4800"/>
    <cellStyle name="40% - Akzent5 151 2" xfId="4801"/>
    <cellStyle name="40% - Akzent5 16" xfId="4802"/>
    <cellStyle name="40% - Akzent5 16 2" xfId="4803"/>
    <cellStyle name="40% - Akzent5 17" xfId="4804"/>
    <cellStyle name="40% - Akzent5 17 2" xfId="4805"/>
    <cellStyle name="40% - Akzent5 18" xfId="4806"/>
    <cellStyle name="40% - Akzent5 18 2" xfId="4807"/>
    <cellStyle name="40% - Akzent5 19" xfId="4808"/>
    <cellStyle name="40% - Akzent5 19 2" xfId="4809"/>
    <cellStyle name="40% - Akzent5 2" xfId="4810"/>
    <cellStyle name="40% - Akzent5 2 2" xfId="4811"/>
    <cellStyle name="40% - Akzent5 2 3" xfId="4812"/>
    <cellStyle name="40% - Akzent5 2 4" xfId="4813"/>
    <cellStyle name="40% - Akzent5 2 4 2" xfId="4814"/>
    <cellStyle name="40% - Akzent5 2 5" xfId="4815"/>
    <cellStyle name="40% - Akzent5 20" xfId="4816"/>
    <cellStyle name="40% - Akzent5 20 2" xfId="4817"/>
    <cellStyle name="40% - Akzent5 21" xfId="4818"/>
    <cellStyle name="40% - Akzent5 21 2" xfId="4819"/>
    <cellStyle name="40% - Akzent5 22" xfId="4820"/>
    <cellStyle name="40% - Akzent5 22 2" xfId="4821"/>
    <cellStyle name="40% - Akzent5 23" xfId="4822"/>
    <cellStyle name="40% - Akzent5 23 2" xfId="4823"/>
    <cellStyle name="40% - Akzent5 24" xfId="4824"/>
    <cellStyle name="40% - Akzent5 24 2" xfId="4825"/>
    <cellStyle name="40% - Akzent5 25" xfId="4826"/>
    <cellStyle name="40% - Akzent5 25 2" xfId="4827"/>
    <cellStyle name="40% - Akzent5 26" xfId="4828"/>
    <cellStyle name="40% - Akzent5 26 2" xfId="4829"/>
    <cellStyle name="40% - Akzent5 27" xfId="4830"/>
    <cellStyle name="40% - Akzent5 27 2" xfId="4831"/>
    <cellStyle name="40% - Akzent5 28" xfId="4832"/>
    <cellStyle name="40% - Akzent5 28 2" xfId="4833"/>
    <cellStyle name="40% - Akzent5 29" xfId="4834"/>
    <cellStyle name="40% - Akzent5 29 2" xfId="4835"/>
    <cellStyle name="40% - Akzent5 3" xfId="4836"/>
    <cellStyle name="40% - Akzent5 3 2" xfId="4837"/>
    <cellStyle name="40% - Akzent5 3 3" xfId="4838"/>
    <cellStyle name="40% - Akzent5 3 4" xfId="4839"/>
    <cellStyle name="40% - Akzent5 3 4 2" xfId="4840"/>
    <cellStyle name="40% - Akzent5 3 5" xfId="4841"/>
    <cellStyle name="40% - Akzent5 30" xfId="4842"/>
    <cellStyle name="40% - Akzent5 30 2" xfId="4843"/>
    <cellStyle name="40% - Akzent5 31" xfId="4844"/>
    <cellStyle name="40% - Akzent5 31 2" xfId="4845"/>
    <cellStyle name="40% - Akzent5 32" xfId="4846"/>
    <cellStyle name="40% - Akzent5 32 2" xfId="4847"/>
    <cellStyle name="40% - Akzent5 33" xfId="4848"/>
    <cellStyle name="40% - Akzent5 33 2" xfId="4849"/>
    <cellStyle name="40% - Akzent5 34" xfId="4850"/>
    <cellStyle name="40% - Akzent5 34 2" xfId="4851"/>
    <cellStyle name="40% - Akzent5 35" xfId="4852"/>
    <cellStyle name="40% - Akzent5 35 2" xfId="4853"/>
    <cellStyle name="40% - Akzent5 36" xfId="4854"/>
    <cellStyle name="40% - Akzent5 36 2" xfId="4855"/>
    <cellStyle name="40% - Akzent5 37" xfId="4856"/>
    <cellStyle name="40% - Akzent5 37 2" xfId="4857"/>
    <cellStyle name="40% - Akzent5 38" xfId="4858"/>
    <cellStyle name="40% - Akzent5 38 2" xfId="4859"/>
    <cellStyle name="40% - Akzent5 39" xfId="4860"/>
    <cellStyle name="40% - Akzent5 39 2" xfId="4861"/>
    <cellStyle name="40% - Akzent5 4" xfId="4862"/>
    <cellStyle name="40% - Akzent5 4 2" xfId="4863"/>
    <cellStyle name="40% - Akzent5 4 3" xfId="4864"/>
    <cellStyle name="40% - Akzent5 4 4" xfId="4865"/>
    <cellStyle name="40% - Akzent5 4 4 2" xfId="4866"/>
    <cellStyle name="40% - Akzent5 4 5" xfId="4867"/>
    <cellStyle name="40% - Akzent5 40" xfId="4868"/>
    <cellStyle name="40% - Akzent5 40 2" xfId="4869"/>
    <cellStyle name="40% - Akzent5 41" xfId="4870"/>
    <cellStyle name="40% - Akzent5 41 2" xfId="4871"/>
    <cellStyle name="40% - Akzent5 42" xfId="4872"/>
    <cellStyle name="40% - Akzent5 42 2" xfId="4873"/>
    <cellStyle name="40% - Akzent5 43" xfId="4874"/>
    <cellStyle name="40% - Akzent5 43 2" xfId="4875"/>
    <cellStyle name="40% - Akzent5 44" xfId="4876"/>
    <cellStyle name="40% - Akzent5 44 2" xfId="4877"/>
    <cellStyle name="40% - Akzent5 45" xfId="4878"/>
    <cellStyle name="40% - Akzent5 45 2" xfId="4879"/>
    <cellStyle name="40% - Akzent5 46" xfId="4880"/>
    <cellStyle name="40% - Akzent5 46 2" xfId="4881"/>
    <cellStyle name="40% - Akzent5 47" xfId="4882"/>
    <cellStyle name="40% - Akzent5 47 2" xfId="4883"/>
    <cellStyle name="40% - Akzent5 48" xfId="4884"/>
    <cellStyle name="40% - Akzent5 48 2" xfId="4885"/>
    <cellStyle name="40% - Akzent5 49" xfId="4886"/>
    <cellStyle name="40% - Akzent5 49 2" xfId="4887"/>
    <cellStyle name="40% - Akzent5 5" xfId="4888"/>
    <cellStyle name="40% - Akzent5 5 2" xfId="4889"/>
    <cellStyle name="40% - Akzent5 50" xfId="4890"/>
    <cellStyle name="40% - Akzent5 50 2" xfId="4891"/>
    <cellStyle name="40% - Akzent5 51" xfId="4892"/>
    <cellStyle name="40% - Akzent5 51 2" xfId="4893"/>
    <cellStyle name="40% - Akzent5 52" xfId="4894"/>
    <cellStyle name="40% - Akzent5 52 2" xfId="4895"/>
    <cellStyle name="40% - Akzent5 53" xfId="4896"/>
    <cellStyle name="40% - Akzent5 53 2" xfId="4897"/>
    <cellStyle name="40% - Akzent5 54" xfId="4898"/>
    <cellStyle name="40% - Akzent5 54 2" xfId="4899"/>
    <cellStyle name="40% - Akzent5 55" xfId="4900"/>
    <cellStyle name="40% - Akzent5 55 2" xfId="4901"/>
    <cellStyle name="40% - Akzent5 56" xfId="4902"/>
    <cellStyle name="40% - Akzent5 56 2" xfId="4903"/>
    <cellStyle name="40% - Akzent5 57" xfId="4904"/>
    <cellStyle name="40% - Akzent5 57 2" xfId="4905"/>
    <cellStyle name="40% - Akzent5 58" xfId="4906"/>
    <cellStyle name="40% - Akzent5 58 2" xfId="4907"/>
    <cellStyle name="40% - Akzent5 59" xfId="4908"/>
    <cellStyle name="40% - Akzent5 59 2" xfId="4909"/>
    <cellStyle name="40% - Akzent5 6" xfId="4910"/>
    <cellStyle name="40% - Akzent5 6 2" xfId="4911"/>
    <cellStyle name="40% - Akzent5 60" xfId="4912"/>
    <cellStyle name="40% - Akzent5 60 2" xfId="4913"/>
    <cellStyle name="40% - Akzent5 61" xfId="4914"/>
    <cellStyle name="40% - Akzent5 61 2" xfId="4915"/>
    <cellStyle name="40% - Akzent5 62" xfId="4916"/>
    <cellStyle name="40% - Akzent5 62 2" xfId="4917"/>
    <cellStyle name="40% - Akzent5 63" xfId="4918"/>
    <cellStyle name="40% - Akzent5 63 2" xfId="4919"/>
    <cellStyle name="40% - Akzent5 64" xfId="4920"/>
    <cellStyle name="40% - Akzent5 64 2" xfId="4921"/>
    <cellStyle name="40% - Akzent5 65" xfId="4922"/>
    <cellStyle name="40% - Akzent5 65 2" xfId="4923"/>
    <cellStyle name="40% - Akzent5 66" xfId="4924"/>
    <cellStyle name="40% - Akzent5 66 2" xfId="4925"/>
    <cellStyle name="40% - Akzent5 67" xfId="4926"/>
    <cellStyle name="40% - Akzent5 67 2" xfId="4927"/>
    <cellStyle name="40% - Akzent5 68" xfId="4928"/>
    <cellStyle name="40% - Akzent5 68 2" xfId="4929"/>
    <cellStyle name="40% - Akzent5 69" xfId="4930"/>
    <cellStyle name="40% - Akzent5 69 2" xfId="4931"/>
    <cellStyle name="40% - Akzent5 7" xfId="4932"/>
    <cellStyle name="40% - Akzent5 7 2" xfId="4933"/>
    <cellStyle name="40% - Akzent5 70" xfId="4934"/>
    <cellStyle name="40% - Akzent5 70 2" xfId="4935"/>
    <cellStyle name="40% - Akzent5 71" xfId="4936"/>
    <cellStyle name="40% - Akzent5 71 2" xfId="4937"/>
    <cellStyle name="40% - Akzent5 72" xfId="4938"/>
    <cellStyle name="40% - Akzent5 72 2" xfId="4939"/>
    <cellStyle name="40% - Akzent5 73" xfId="4940"/>
    <cellStyle name="40% - Akzent5 73 2" xfId="4941"/>
    <cellStyle name="40% - Akzent5 74" xfId="4942"/>
    <cellStyle name="40% - Akzent5 74 2" xfId="4943"/>
    <cellStyle name="40% - Akzent5 75" xfId="4944"/>
    <cellStyle name="40% - Akzent5 75 2" xfId="4945"/>
    <cellStyle name="40% - Akzent5 76" xfId="4946"/>
    <cellStyle name="40% - Akzent5 76 2" xfId="4947"/>
    <cellStyle name="40% - Akzent5 77" xfId="4948"/>
    <cellStyle name="40% - Akzent5 77 2" xfId="4949"/>
    <cellStyle name="40% - Akzent5 78" xfId="4950"/>
    <cellStyle name="40% - Akzent5 78 2" xfId="4951"/>
    <cellStyle name="40% - Akzent5 79" xfId="4952"/>
    <cellStyle name="40% - Akzent5 79 2" xfId="4953"/>
    <cellStyle name="40% - Akzent5 8" xfId="4954"/>
    <cellStyle name="40% - Akzent5 8 2" xfId="4955"/>
    <cellStyle name="40% - Akzent5 80" xfId="4956"/>
    <cellStyle name="40% - Akzent5 80 2" xfId="4957"/>
    <cellStyle name="40% - Akzent5 81" xfId="4958"/>
    <cellStyle name="40% - Akzent5 81 2" xfId="4959"/>
    <cellStyle name="40% - Akzent5 82" xfId="4960"/>
    <cellStyle name="40% - Akzent5 82 2" xfId="4961"/>
    <cellStyle name="40% - Akzent5 83" xfId="4962"/>
    <cellStyle name="40% - Akzent5 83 2" xfId="4963"/>
    <cellStyle name="40% - Akzent5 84" xfId="4964"/>
    <cellStyle name="40% - Akzent5 84 2" xfId="4965"/>
    <cellStyle name="40% - Akzent5 85" xfId="4966"/>
    <cellStyle name="40% - Akzent5 85 2" xfId="4967"/>
    <cellStyle name="40% - Akzent5 86" xfId="4968"/>
    <cellStyle name="40% - Akzent5 86 2" xfId="4969"/>
    <cellStyle name="40% - Akzent5 87" xfId="4970"/>
    <cellStyle name="40% - Akzent5 87 2" xfId="4971"/>
    <cellStyle name="40% - Akzent5 88" xfId="4972"/>
    <cellStyle name="40% - Akzent5 88 2" xfId="4973"/>
    <cellStyle name="40% - Akzent5 89" xfId="4974"/>
    <cellStyle name="40% - Akzent5 89 2" xfId="4975"/>
    <cellStyle name="40% - Akzent5 9" xfId="4976"/>
    <cellStyle name="40% - Akzent5 9 2" xfId="4977"/>
    <cellStyle name="40% - Akzent5 90" xfId="4978"/>
    <cellStyle name="40% - Akzent5 90 2" xfId="4979"/>
    <cellStyle name="40% - Akzent5 91" xfId="4980"/>
    <cellStyle name="40% - Akzent5 91 2" xfId="4981"/>
    <cellStyle name="40% - Akzent5 92" xfId="4982"/>
    <cellStyle name="40% - Akzent5 92 2" xfId="4983"/>
    <cellStyle name="40% - Akzent5 93" xfId="4984"/>
    <cellStyle name="40% - Akzent5 93 2" xfId="4985"/>
    <cellStyle name="40% - Akzent5 94" xfId="4986"/>
    <cellStyle name="40% - Akzent5 94 2" xfId="4987"/>
    <cellStyle name="40% - Akzent5 95" xfId="4988"/>
    <cellStyle name="40% - Akzent5 95 2" xfId="4989"/>
    <cellStyle name="40% - Akzent5 96" xfId="4990"/>
    <cellStyle name="40% - Akzent5 96 2" xfId="4991"/>
    <cellStyle name="40% - Akzent5 97" xfId="4992"/>
    <cellStyle name="40% - Akzent5 97 2" xfId="4993"/>
    <cellStyle name="40% - Akzent5 98" xfId="4994"/>
    <cellStyle name="40% - Akzent5 98 2" xfId="4995"/>
    <cellStyle name="40% - Akzent5 99" xfId="4996"/>
    <cellStyle name="40% - Akzent5 99 2" xfId="4997"/>
    <cellStyle name="40% - Akzent6 10" xfId="4998"/>
    <cellStyle name="40% - Akzent6 10 2" xfId="4999"/>
    <cellStyle name="40% - Akzent6 100" xfId="5000"/>
    <cellStyle name="40% - Akzent6 100 2" xfId="5001"/>
    <cellStyle name="40% - Akzent6 101" xfId="5002"/>
    <cellStyle name="40% - Akzent6 101 2" xfId="5003"/>
    <cellStyle name="40% - Akzent6 102" xfId="5004"/>
    <cellStyle name="40% - Akzent6 102 2" xfId="5005"/>
    <cellStyle name="40% - Akzent6 103" xfId="5006"/>
    <cellStyle name="40% - Akzent6 103 2" xfId="5007"/>
    <cellStyle name="40% - Akzent6 104" xfId="5008"/>
    <cellStyle name="40% - Akzent6 104 2" xfId="5009"/>
    <cellStyle name="40% - Akzent6 105" xfId="5010"/>
    <cellStyle name="40% - Akzent6 105 2" xfId="5011"/>
    <cellStyle name="40% - Akzent6 106" xfId="5012"/>
    <cellStyle name="40% - Akzent6 106 2" xfId="5013"/>
    <cellStyle name="40% - Akzent6 107" xfId="5014"/>
    <cellStyle name="40% - Akzent6 107 2" xfId="5015"/>
    <cellStyle name="40% - Akzent6 108" xfId="5016"/>
    <cellStyle name="40% - Akzent6 108 2" xfId="5017"/>
    <cellStyle name="40% - Akzent6 109" xfId="5018"/>
    <cellStyle name="40% - Akzent6 109 2" xfId="5019"/>
    <cellStyle name="40% - Akzent6 11" xfId="5020"/>
    <cellStyle name="40% - Akzent6 11 2" xfId="5021"/>
    <cellStyle name="40% - Akzent6 110" xfId="5022"/>
    <cellStyle name="40% - Akzent6 110 2" xfId="5023"/>
    <cellStyle name="40% - Akzent6 111" xfId="5024"/>
    <cellStyle name="40% - Akzent6 111 2" xfId="5025"/>
    <cellStyle name="40% - Akzent6 112" xfId="5026"/>
    <cellStyle name="40% - Akzent6 112 2" xfId="5027"/>
    <cellStyle name="40% - Akzent6 113" xfId="5028"/>
    <cellStyle name="40% - Akzent6 113 2" xfId="5029"/>
    <cellStyle name="40% - Akzent6 114" xfId="5030"/>
    <cellStyle name="40% - Akzent6 114 2" xfId="5031"/>
    <cellStyle name="40% - Akzent6 115" xfId="5032"/>
    <cellStyle name="40% - Akzent6 115 2" xfId="5033"/>
    <cellStyle name="40% - Akzent6 116" xfId="5034"/>
    <cellStyle name="40% - Akzent6 116 2" xfId="5035"/>
    <cellStyle name="40% - Akzent6 117" xfId="5036"/>
    <cellStyle name="40% - Akzent6 117 2" xfId="5037"/>
    <cellStyle name="40% - Akzent6 118" xfId="5038"/>
    <cellStyle name="40% - Akzent6 118 2" xfId="5039"/>
    <cellStyle name="40% - Akzent6 119" xfId="5040"/>
    <cellStyle name="40% - Akzent6 119 2" xfId="5041"/>
    <cellStyle name="40% - Akzent6 12" xfId="5042"/>
    <cellStyle name="40% - Akzent6 12 2" xfId="5043"/>
    <cellStyle name="40% - Akzent6 120" xfId="5044"/>
    <cellStyle name="40% - Akzent6 120 2" xfId="5045"/>
    <cellStyle name="40% - Akzent6 121" xfId="5046"/>
    <cellStyle name="40% - Akzent6 121 2" xfId="5047"/>
    <cellStyle name="40% - Akzent6 122" xfId="5048"/>
    <cellStyle name="40% - Akzent6 122 2" xfId="5049"/>
    <cellStyle name="40% - Akzent6 123" xfId="5050"/>
    <cellStyle name="40% - Akzent6 123 2" xfId="5051"/>
    <cellStyle name="40% - Akzent6 124" xfId="5052"/>
    <cellStyle name="40% - Akzent6 124 2" xfId="5053"/>
    <cellStyle name="40% - Akzent6 125" xfId="5054"/>
    <cellStyle name="40% - Akzent6 125 2" xfId="5055"/>
    <cellStyle name="40% - Akzent6 126" xfId="5056"/>
    <cellStyle name="40% - Akzent6 126 2" xfId="5057"/>
    <cellStyle name="40% - Akzent6 127" xfId="5058"/>
    <cellStyle name="40% - Akzent6 127 2" xfId="5059"/>
    <cellStyle name="40% - Akzent6 128" xfId="5060"/>
    <cellStyle name="40% - Akzent6 128 2" xfId="5061"/>
    <cellStyle name="40% - Akzent6 129" xfId="5062"/>
    <cellStyle name="40% - Akzent6 129 2" xfId="5063"/>
    <cellStyle name="40% - Akzent6 13" xfId="5064"/>
    <cellStyle name="40% - Akzent6 13 2" xfId="5065"/>
    <cellStyle name="40% - Akzent6 130" xfId="5066"/>
    <cellStyle name="40% - Akzent6 130 2" xfId="5067"/>
    <cellStyle name="40% - Akzent6 131" xfId="5068"/>
    <cellStyle name="40% - Akzent6 131 2" xfId="5069"/>
    <cellStyle name="40% - Akzent6 132" xfId="5070"/>
    <cellStyle name="40% - Akzent6 132 2" xfId="5071"/>
    <cellStyle name="40% - Akzent6 133" xfId="5072"/>
    <cellStyle name="40% - Akzent6 133 2" xfId="5073"/>
    <cellStyle name="40% - Akzent6 134" xfId="5074"/>
    <cellStyle name="40% - Akzent6 134 2" xfId="5075"/>
    <cellStyle name="40% - Akzent6 135" xfId="5076"/>
    <cellStyle name="40% - Akzent6 135 2" xfId="5077"/>
    <cellStyle name="40% - Akzent6 136" xfId="5078"/>
    <cellStyle name="40% - Akzent6 136 2" xfId="5079"/>
    <cellStyle name="40% - Akzent6 137" xfId="5080"/>
    <cellStyle name="40% - Akzent6 137 2" xfId="5081"/>
    <cellStyle name="40% - Akzent6 138" xfId="5082"/>
    <cellStyle name="40% - Akzent6 138 2" xfId="5083"/>
    <cellStyle name="40% - Akzent6 139" xfId="5084"/>
    <cellStyle name="40% - Akzent6 139 2" xfId="5085"/>
    <cellStyle name="40% - Akzent6 14" xfId="5086"/>
    <cellStyle name="40% - Akzent6 14 2" xfId="5087"/>
    <cellStyle name="40% - Akzent6 140" xfId="5088"/>
    <cellStyle name="40% - Akzent6 140 2" xfId="5089"/>
    <cellStyle name="40% - Akzent6 141" xfId="5090"/>
    <cellStyle name="40% - Akzent6 141 2" xfId="5091"/>
    <cellStyle name="40% - Akzent6 142" xfId="5092"/>
    <cellStyle name="40% - Akzent6 142 2" xfId="5093"/>
    <cellStyle name="40% - Akzent6 143" xfId="5094"/>
    <cellStyle name="40% - Akzent6 143 2" xfId="5095"/>
    <cellStyle name="40% - Akzent6 144" xfId="5096"/>
    <cellStyle name="40% - Akzent6 144 2" xfId="5097"/>
    <cellStyle name="40% - Akzent6 145" xfId="5098"/>
    <cellStyle name="40% - Akzent6 145 2" xfId="5099"/>
    <cellStyle name="40% - Akzent6 146" xfId="5100"/>
    <cellStyle name="40% - Akzent6 146 2" xfId="5101"/>
    <cellStyle name="40% - Akzent6 147" xfId="5102"/>
    <cellStyle name="40% - Akzent6 147 2" xfId="5103"/>
    <cellStyle name="40% - Akzent6 148" xfId="5104"/>
    <cellStyle name="40% - Akzent6 148 2" xfId="5105"/>
    <cellStyle name="40% - Akzent6 149" xfId="5106"/>
    <cellStyle name="40% - Akzent6 149 2" xfId="5107"/>
    <cellStyle name="40% - Akzent6 15" xfId="5108"/>
    <cellStyle name="40% - Akzent6 15 2" xfId="5109"/>
    <cellStyle name="40% - Akzent6 150" xfId="5110"/>
    <cellStyle name="40% - Akzent6 150 2" xfId="5111"/>
    <cellStyle name="40% - Akzent6 151" xfId="5112"/>
    <cellStyle name="40% - Akzent6 151 2" xfId="5113"/>
    <cellStyle name="40% - Akzent6 16" xfId="5114"/>
    <cellStyle name="40% - Akzent6 16 2" xfId="5115"/>
    <cellStyle name="40% - Akzent6 17" xfId="5116"/>
    <cellStyle name="40% - Akzent6 17 2" xfId="5117"/>
    <cellStyle name="40% - Akzent6 18" xfId="5118"/>
    <cellStyle name="40% - Akzent6 18 2" xfId="5119"/>
    <cellStyle name="40% - Akzent6 19" xfId="5120"/>
    <cellStyle name="40% - Akzent6 19 2" xfId="5121"/>
    <cellStyle name="40% - Akzent6 2" xfId="5122"/>
    <cellStyle name="40% - Akzent6 2 2" xfId="5123"/>
    <cellStyle name="40% - Akzent6 2 3" xfId="5124"/>
    <cellStyle name="40% - Akzent6 2 4" xfId="5125"/>
    <cellStyle name="40% - Akzent6 2 4 2" xfId="5126"/>
    <cellStyle name="40% - Akzent6 2 5" xfId="5127"/>
    <cellStyle name="40% - Akzent6 20" xfId="5128"/>
    <cellStyle name="40% - Akzent6 20 2" xfId="5129"/>
    <cellStyle name="40% - Akzent6 21" xfId="5130"/>
    <cellStyle name="40% - Akzent6 21 2" xfId="5131"/>
    <cellStyle name="40% - Akzent6 22" xfId="5132"/>
    <cellStyle name="40% - Akzent6 22 2" xfId="5133"/>
    <cellStyle name="40% - Akzent6 23" xfId="5134"/>
    <cellStyle name="40% - Akzent6 23 2" xfId="5135"/>
    <cellStyle name="40% - Akzent6 24" xfId="5136"/>
    <cellStyle name="40% - Akzent6 24 2" xfId="5137"/>
    <cellStyle name="40% - Akzent6 25" xfId="5138"/>
    <cellStyle name="40% - Akzent6 25 2" xfId="5139"/>
    <cellStyle name="40% - Akzent6 26" xfId="5140"/>
    <cellStyle name="40% - Akzent6 26 2" xfId="5141"/>
    <cellStyle name="40% - Akzent6 27" xfId="5142"/>
    <cellStyle name="40% - Akzent6 27 2" xfId="5143"/>
    <cellStyle name="40% - Akzent6 28" xfId="5144"/>
    <cellStyle name="40% - Akzent6 28 2" xfId="5145"/>
    <cellStyle name="40% - Akzent6 29" xfId="5146"/>
    <cellStyle name="40% - Akzent6 29 2" xfId="5147"/>
    <cellStyle name="40% - Akzent6 3" xfId="5148"/>
    <cellStyle name="40% - Akzent6 3 2" xfId="5149"/>
    <cellStyle name="40% - Akzent6 3 3" xfId="5150"/>
    <cellStyle name="40% - Akzent6 3 4" xfId="5151"/>
    <cellStyle name="40% - Akzent6 3 4 2" xfId="5152"/>
    <cellStyle name="40% - Akzent6 3 5" xfId="5153"/>
    <cellStyle name="40% - Akzent6 30" xfId="5154"/>
    <cellStyle name="40% - Akzent6 30 2" xfId="5155"/>
    <cellStyle name="40% - Akzent6 31" xfId="5156"/>
    <cellStyle name="40% - Akzent6 31 2" xfId="5157"/>
    <cellStyle name="40% - Akzent6 32" xfId="5158"/>
    <cellStyle name="40% - Akzent6 32 2" xfId="5159"/>
    <cellStyle name="40% - Akzent6 33" xfId="5160"/>
    <cellStyle name="40% - Akzent6 33 2" xfId="5161"/>
    <cellStyle name="40% - Akzent6 34" xfId="5162"/>
    <cellStyle name="40% - Akzent6 34 2" xfId="5163"/>
    <cellStyle name="40% - Akzent6 35" xfId="5164"/>
    <cellStyle name="40% - Akzent6 35 2" xfId="5165"/>
    <cellStyle name="40% - Akzent6 36" xfId="5166"/>
    <cellStyle name="40% - Akzent6 36 2" xfId="5167"/>
    <cellStyle name="40% - Akzent6 37" xfId="5168"/>
    <cellStyle name="40% - Akzent6 37 2" xfId="5169"/>
    <cellStyle name="40% - Akzent6 38" xfId="5170"/>
    <cellStyle name="40% - Akzent6 38 2" xfId="5171"/>
    <cellStyle name="40% - Akzent6 39" xfId="5172"/>
    <cellStyle name="40% - Akzent6 39 2" xfId="5173"/>
    <cellStyle name="40% - Akzent6 4" xfId="5174"/>
    <cellStyle name="40% - Akzent6 4 2" xfId="5175"/>
    <cellStyle name="40% - Akzent6 4 3" xfId="5176"/>
    <cellStyle name="40% - Akzent6 4 4" xfId="5177"/>
    <cellStyle name="40% - Akzent6 4 4 2" xfId="5178"/>
    <cellStyle name="40% - Akzent6 4 5" xfId="5179"/>
    <cellStyle name="40% - Akzent6 40" xfId="5180"/>
    <cellStyle name="40% - Akzent6 40 2" xfId="5181"/>
    <cellStyle name="40% - Akzent6 41" xfId="5182"/>
    <cellStyle name="40% - Akzent6 41 2" xfId="5183"/>
    <cellStyle name="40% - Akzent6 42" xfId="5184"/>
    <cellStyle name="40% - Akzent6 42 2" xfId="5185"/>
    <cellStyle name="40% - Akzent6 43" xfId="5186"/>
    <cellStyle name="40% - Akzent6 43 2" xfId="5187"/>
    <cellStyle name="40% - Akzent6 44" xfId="5188"/>
    <cellStyle name="40% - Akzent6 44 2" xfId="5189"/>
    <cellStyle name="40% - Akzent6 45" xfId="5190"/>
    <cellStyle name="40% - Akzent6 45 2" xfId="5191"/>
    <cellStyle name="40% - Akzent6 46" xfId="5192"/>
    <cellStyle name="40% - Akzent6 46 2" xfId="5193"/>
    <cellStyle name="40% - Akzent6 47" xfId="5194"/>
    <cellStyle name="40% - Akzent6 47 2" xfId="5195"/>
    <cellStyle name="40% - Akzent6 48" xfId="5196"/>
    <cellStyle name="40% - Akzent6 48 2" xfId="5197"/>
    <cellStyle name="40% - Akzent6 49" xfId="5198"/>
    <cellStyle name="40% - Akzent6 49 2" xfId="5199"/>
    <cellStyle name="40% - Akzent6 5" xfId="5200"/>
    <cellStyle name="40% - Akzent6 5 2" xfId="5201"/>
    <cellStyle name="40% - Akzent6 50" xfId="5202"/>
    <cellStyle name="40% - Akzent6 50 2" xfId="5203"/>
    <cellStyle name="40% - Akzent6 51" xfId="5204"/>
    <cellStyle name="40% - Akzent6 51 2" xfId="5205"/>
    <cellStyle name="40% - Akzent6 52" xfId="5206"/>
    <cellStyle name="40% - Akzent6 52 2" xfId="5207"/>
    <cellStyle name="40% - Akzent6 53" xfId="5208"/>
    <cellStyle name="40% - Akzent6 53 2" xfId="5209"/>
    <cellStyle name="40% - Akzent6 54" xfId="5210"/>
    <cellStyle name="40% - Akzent6 54 2" xfId="5211"/>
    <cellStyle name="40% - Akzent6 55" xfId="5212"/>
    <cellStyle name="40% - Akzent6 55 2" xfId="5213"/>
    <cellStyle name="40% - Akzent6 56" xfId="5214"/>
    <cellStyle name="40% - Akzent6 56 2" xfId="5215"/>
    <cellStyle name="40% - Akzent6 57" xfId="5216"/>
    <cellStyle name="40% - Akzent6 57 2" xfId="5217"/>
    <cellStyle name="40% - Akzent6 58" xfId="5218"/>
    <cellStyle name="40% - Akzent6 58 2" xfId="5219"/>
    <cellStyle name="40% - Akzent6 59" xfId="5220"/>
    <cellStyle name="40% - Akzent6 59 2" xfId="5221"/>
    <cellStyle name="40% - Akzent6 6" xfId="5222"/>
    <cellStyle name="40% - Akzent6 6 2" xfId="5223"/>
    <cellStyle name="40% - Akzent6 60" xfId="5224"/>
    <cellStyle name="40% - Akzent6 60 2" xfId="5225"/>
    <cellStyle name="40% - Akzent6 61" xfId="5226"/>
    <cellStyle name="40% - Akzent6 61 2" xfId="5227"/>
    <cellStyle name="40% - Akzent6 62" xfId="5228"/>
    <cellStyle name="40% - Akzent6 62 2" xfId="5229"/>
    <cellStyle name="40% - Akzent6 63" xfId="5230"/>
    <cellStyle name="40% - Akzent6 63 2" xfId="5231"/>
    <cellStyle name="40% - Akzent6 64" xfId="5232"/>
    <cellStyle name="40% - Akzent6 64 2" xfId="5233"/>
    <cellStyle name="40% - Akzent6 65" xfId="5234"/>
    <cellStyle name="40% - Akzent6 65 2" xfId="5235"/>
    <cellStyle name="40% - Akzent6 66" xfId="5236"/>
    <cellStyle name="40% - Akzent6 66 2" xfId="5237"/>
    <cellStyle name="40% - Akzent6 67" xfId="5238"/>
    <cellStyle name="40% - Akzent6 67 2" xfId="5239"/>
    <cellStyle name="40% - Akzent6 68" xfId="5240"/>
    <cellStyle name="40% - Akzent6 68 2" xfId="5241"/>
    <cellStyle name="40% - Akzent6 69" xfId="5242"/>
    <cellStyle name="40% - Akzent6 69 2" xfId="5243"/>
    <cellStyle name="40% - Akzent6 7" xfId="5244"/>
    <cellStyle name="40% - Akzent6 7 2" xfId="5245"/>
    <cellStyle name="40% - Akzent6 70" xfId="5246"/>
    <cellStyle name="40% - Akzent6 70 2" xfId="5247"/>
    <cellStyle name="40% - Akzent6 71" xfId="5248"/>
    <cellStyle name="40% - Akzent6 71 2" xfId="5249"/>
    <cellStyle name="40% - Akzent6 72" xfId="5250"/>
    <cellStyle name="40% - Akzent6 72 2" xfId="5251"/>
    <cellStyle name="40% - Akzent6 73" xfId="5252"/>
    <cellStyle name="40% - Akzent6 73 2" xfId="5253"/>
    <cellStyle name="40% - Akzent6 74" xfId="5254"/>
    <cellStyle name="40% - Akzent6 74 2" xfId="5255"/>
    <cellStyle name="40% - Akzent6 75" xfId="5256"/>
    <cellStyle name="40% - Akzent6 75 2" xfId="5257"/>
    <cellStyle name="40% - Akzent6 76" xfId="5258"/>
    <cellStyle name="40% - Akzent6 76 2" xfId="5259"/>
    <cellStyle name="40% - Akzent6 77" xfId="5260"/>
    <cellStyle name="40% - Akzent6 77 2" xfId="5261"/>
    <cellStyle name="40% - Akzent6 78" xfId="5262"/>
    <cellStyle name="40% - Akzent6 78 2" xfId="5263"/>
    <cellStyle name="40% - Akzent6 79" xfId="5264"/>
    <cellStyle name="40% - Akzent6 79 2" xfId="5265"/>
    <cellStyle name="40% - Akzent6 8" xfId="5266"/>
    <cellStyle name="40% - Akzent6 8 2" xfId="5267"/>
    <cellStyle name="40% - Akzent6 80" xfId="5268"/>
    <cellStyle name="40% - Akzent6 80 2" xfId="5269"/>
    <cellStyle name="40% - Akzent6 81" xfId="5270"/>
    <cellStyle name="40% - Akzent6 81 2" xfId="5271"/>
    <cellStyle name="40% - Akzent6 82" xfId="5272"/>
    <cellStyle name="40% - Akzent6 82 2" xfId="5273"/>
    <cellStyle name="40% - Akzent6 83" xfId="5274"/>
    <cellStyle name="40% - Akzent6 83 2" xfId="5275"/>
    <cellStyle name="40% - Akzent6 84" xfId="5276"/>
    <cellStyle name="40% - Akzent6 84 2" xfId="5277"/>
    <cellStyle name="40% - Akzent6 85" xfId="5278"/>
    <cellStyle name="40% - Akzent6 85 2" xfId="5279"/>
    <cellStyle name="40% - Akzent6 86" xfId="5280"/>
    <cellStyle name="40% - Akzent6 86 2" xfId="5281"/>
    <cellStyle name="40% - Akzent6 87" xfId="5282"/>
    <cellStyle name="40% - Akzent6 87 2" xfId="5283"/>
    <cellStyle name="40% - Akzent6 88" xfId="5284"/>
    <cellStyle name="40% - Akzent6 88 2" xfId="5285"/>
    <cellStyle name="40% - Akzent6 89" xfId="5286"/>
    <cellStyle name="40% - Akzent6 89 2" xfId="5287"/>
    <cellStyle name="40% - Akzent6 9" xfId="5288"/>
    <cellStyle name="40% - Akzent6 9 2" xfId="5289"/>
    <cellStyle name="40% - Akzent6 90" xfId="5290"/>
    <cellStyle name="40% - Akzent6 90 2" xfId="5291"/>
    <cellStyle name="40% - Akzent6 91" xfId="5292"/>
    <cellStyle name="40% - Akzent6 91 2" xfId="5293"/>
    <cellStyle name="40% - Akzent6 92" xfId="5294"/>
    <cellStyle name="40% - Akzent6 92 2" xfId="5295"/>
    <cellStyle name="40% - Akzent6 93" xfId="5296"/>
    <cellStyle name="40% - Akzent6 93 2" xfId="5297"/>
    <cellStyle name="40% - Akzent6 94" xfId="5298"/>
    <cellStyle name="40% - Akzent6 94 2" xfId="5299"/>
    <cellStyle name="40% - Akzent6 95" xfId="5300"/>
    <cellStyle name="40% - Akzent6 95 2" xfId="5301"/>
    <cellStyle name="40% - Akzent6 96" xfId="5302"/>
    <cellStyle name="40% - Akzent6 96 2" xfId="5303"/>
    <cellStyle name="40% - Akzent6 97" xfId="5304"/>
    <cellStyle name="40% - Akzent6 97 2" xfId="5305"/>
    <cellStyle name="40% - Akzent6 98" xfId="5306"/>
    <cellStyle name="40% - Akzent6 98 2" xfId="5307"/>
    <cellStyle name="40% - Akzent6 99" xfId="5308"/>
    <cellStyle name="40% - Akzent6 99 2" xfId="5309"/>
    <cellStyle name="60 % - Akzent1" xfId="5310"/>
    <cellStyle name="60 % - Akzent2" xfId="5311"/>
    <cellStyle name="60 % - Akzent3" xfId="5312"/>
    <cellStyle name="60 % - Akzent4" xfId="5313"/>
    <cellStyle name="60 % - Akzent5" xfId="5314"/>
    <cellStyle name="60 % - Akzent6" xfId="5315"/>
    <cellStyle name="60% - Accent1 2" xfId="5316"/>
    <cellStyle name="60% - Accent2 2" xfId="5317"/>
    <cellStyle name="60% - Accent3 2" xfId="5318"/>
    <cellStyle name="60% - Accent3 3" xfId="5319"/>
    <cellStyle name="60% - Accent4 2" xfId="5320"/>
    <cellStyle name="60% - Accent4 3" xfId="5321"/>
    <cellStyle name="60% - Accent5 2" xfId="5322"/>
    <cellStyle name="60% - Accent6 2" xfId="5323"/>
    <cellStyle name="60% - Accent6 3" xfId="5324"/>
    <cellStyle name="60% - Akzent1 10" xfId="5325"/>
    <cellStyle name="60% - Akzent1 10 2" xfId="5326"/>
    <cellStyle name="60% - Akzent1 100" xfId="5327"/>
    <cellStyle name="60% - Akzent1 101" xfId="5328"/>
    <cellStyle name="60% - Akzent1 102" xfId="5329"/>
    <cellStyle name="60% - Akzent1 103" xfId="5330"/>
    <cellStyle name="60% - Akzent1 104" xfId="5331"/>
    <cellStyle name="60% - Akzent1 105" xfId="5332"/>
    <cellStyle name="60% - Akzent1 106" xfId="5333"/>
    <cellStyle name="60% - Akzent1 107" xfId="5334"/>
    <cellStyle name="60% - Akzent1 108" xfId="5335"/>
    <cellStyle name="60% - Akzent1 109" xfId="5336"/>
    <cellStyle name="60% - Akzent1 11" xfId="5337"/>
    <cellStyle name="60% - Akzent1 11 2" xfId="5338"/>
    <cellStyle name="60% - Akzent1 110" xfId="5339"/>
    <cellStyle name="60% - Akzent1 111" xfId="5340"/>
    <cellStyle name="60% - Akzent1 112" xfId="5341"/>
    <cellStyle name="60% - Akzent1 113" xfId="5342"/>
    <cellStyle name="60% - Akzent1 114" xfId="5343"/>
    <cellStyle name="60% - Akzent1 115" xfId="5344"/>
    <cellStyle name="60% - Akzent1 116" xfId="5345"/>
    <cellStyle name="60% - Akzent1 117" xfId="5346"/>
    <cellStyle name="60% - Akzent1 118" xfId="5347"/>
    <cellStyle name="60% - Akzent1 119" xfId="5348"/>
    <cellStyle name="60% - Akzent1 12" xfId="5349"/>
    <cellStyle name="60% - Akzent1 12 2" xfId="5350"/>
    <cellStyle name="60% - Akzent1 120" xfId="5351"/>
    <cellStyle name="60% - Akzent1 121" xfId="5352"/>
    <cellStyle name="60% - Akzent1 122" xfId="5353"/>
    <cellStyle name="60% - Akzent1 123" xfId="5354"/>
    <cellStyle name="60% - Akzent1 124" xfId="5355"/>
    <cellStyle name="60% - Akzent1 125" xfId="5356"/>
    <cellStyle name="60% - Akzent1 126" xfId="5357"/>
    <cellStyle name="60% - Akzent1 127" xfId="5358"/>
    <cellStyle name="60% - Akzent1 128" xfId="5359"/>
    <cellStyle name="60% - Akzent1 129" xfId="5360"/>
    <cellStyle name="60% - Akzent1 13" xfId="5361"/>
    <cellStyle name="60% - Akzent1 13 2" xfId="5362"/>
    <cellStyle name="60% - Akzent1 130" xfId="5363"/>
    <cellStyle name="60% - Akzent1 131" xfId="5364"/>
    <cellStyle name="60% - Akzent1 132" xfId="5365"/>
    <cellStyle name="60% - Akzent1 133" xfId="5366"/>
    <cellStyle name="60% - Akzent1 134" xfId="5367"/>
    <cellStyle name="60% - Akzent1 135" xfId="5368"/>
    <cellStyle name="60% - Akzent1 136" xfId="5369"/>
    <cellStyle name="60% - Akzent1 137" xfId="5370"/>
    <cellStyle name="60% - Akzent1 138" xfId="5371"/>
    <cellStyle name="60% - Akzent1 139" xfId="5372"/>
    <cellStyle name="60% - Akzent1 14" xfId="5373"/>
    <cellStyle name="60% - Akzent1 14 2" xfId="5374"/>
    <cellStyle name="60% - Akzent1 140" xfId="5375"/>
    <cellStyle name="60% - Akzent1 141" xfId="5376"/>
    <cellStyle name="60% - Akzent1 142" xfId="5377"/>
    <cellStyle name="60% - Akzent1 143" xfId="5378"/>
    <cellStyle name="60% - Akzent1 144" xfId="5379"/>
    <cellStyle name="60% - Akzent1 145" xfId="5380"/>
    <cellStyle name="60% - Akzent1 146" xfId="5381"/>
    <cellStyle name="60% - Akzent1 147" xfId="5382"/>
    <cellStyle name="60% - Akzent1 148" xfId="5383"/>
    <cellStyle name="60% - Akzent1 149" xfId="5384"/>
    <cellStyle name="60% - Akzent1 15" xfId="5385"/>
    <cellStyle name="60% - Akzent1 150" xfId="5386"/>
    <cellStyle name="60% - Akzent1 151" xfId="5387"/>
    <cellStyle name="60% - Akzent1 16" xfId="5388"/>
    <cellStyle name="60% - Akzent1 17" xfId="5389"/>
    <cellStyle name="60% - Akzent1 18" xfId="5390"/>
    <cellStyle name="60% - Akzent1 19" xfId="5391"/>
    <cellStyle name="60% - Akzent1 2" xfId="5392"/>
    <cellStyle name="60% - Akzent1 2 2" xfId="5393"/>
    <cellStyle name="60% - Akzent1 20" xfId="5394"/>
    <cellStyle name="60% - Akzent1 21" xfId="5395"/>
    <cellStyle name="60% - Akzent1 22" xfId="5396"/>
    <cellStyle name="60% - Akzent1 23" xfId="5397"/>
    <cellStyle name="60% - Akzent1 24" xfId="5398"/>
    <cellStyle name="60% - Akzent1 25" xfId="5399"/>
    <cellStyle name="60% - Akzent1 26" xfId="5400"/>
    <cellStyle name="60% - Akzent1 27" xfId="5401"/>
    <cellStyle name="60% - Akzent1 28" xfId="5402"/>
    <cellStyle name="60% - Akzent1 29" xfId="5403"/>
    <cellStyle name="60% - Akzent1 3" xfId="5404"/>
    <cellStyle name="60% - Akzent1 3 2" xfId="5405"/>
    <cellStyle name="60% - Akzent1 30" xfId="5406"/>
    <cellStyle name="60% - Akzent1 31" xfId="5407"/>
    <cellStyle name="60% - Akzent1 32" xfId="5408"/>
    <cellStyle name="60% - Akzent1 33" xfId="5409"/>
    <cellStyle name="60% - Akzent1 34" xfId="5410"/>
    <cellStyle name="60% - Akzent1 35" xfId="5411"/>
    <cellStyle name="60% - Akzent1 36" xfId="5412"/>
    <cellStyle name="60% - Akzent1 37" xfId="5413"/>
    <cellStyle name="60% - Akzent1 38" xfId="5414"/>
    <cellStyle name="60% - Akzent1 39" xfId="5415"/>
    <cellStyle name="60% - Akzent1 4" xfId="5416"/>
    <cellStyle name="60% - Akzent1 4 2" xfId="5417"/>
    <cellStyle name="60% - Akzent1 40" xfId="5418"/>
    <cellStyle name="60% - Akzent1 41" xfId="5419"/>
    <cellStyle name="60% - Akzent1 42" xfId="5420"/>
    <cellStyle name="60% - Akzent1 43" xfId="5421"/>
    <cellStyle name="60% - Akzent1 44" xfId="5422"/>
    <cellStyle name="60% - Akzent1 45" xfId="5423"/>
    <cellStyle name="60% - Akzent1 46" xfId="5424"/>
    <cellStyle name="60% - Akzent1 47" xfId="5425"/>
    <cellStyle name="60% - Akzent1 48" xfId="5426"/>
    <cellStyle name="60% - Akzent1 49" xfId="5427"/>
    <cellStyle name="60% - Akzent1 5" xfId="5428"/>
    <cellStyle name="60% - Akzent1 5 2" xfId="5429"/>
    <cellStyle name="60% - Akzent1 50" xfId="5430"/>
    <cellStyle name="60% - Akzent1 51" xfId="5431"/>
    <cellStyle name="60% - Akzent1 52" xfId="5432"/>
    <cellStyle name="60% - Akzent1 53" xfId="5433"/>
    <cellStyle name="60% - Akzent1 54" xfId="5434"/>
    <cellStyle name="60% - Akzent1 55" xfId="5435"/>
    <cellStyle name="60% - Akzent1 56" xfId="5436"/>
    <cellStyle name="60% - Akzent1 57" xfId="5437"/>
    <cellStyle name="60% - Akzent1 58" xfId="5438"/>
    <cellStyle name="60% - Akzent1 59" xfId="5439"/>
    <cellStyle name="60% - Akzent1 6" xfId="5440"/>
    <cellStyle name="60% - Akzent1 6 2" xfId="5441"/>
    <cellStyle name="60% - Akzent1 60" xfId="5442"/>
    <cellStyle name="60% - Akzent1 61" xfId="5443"/>
    <cellStyle name="60% - Akzent1 62" xfId="5444"/>
    <cellStyle name="60% - Akzent1 63" xfId="5445"/>
    <cellStyle name="60% - Akzent1 64" xfId="5446"/>
    <cellStyle name="60% - Akzent1 65" xfId="5447"/>
    <cellStyle name="60% - Akzent1 66" xfId="5448"/>
    <cellStyle name="60% - Akzent1 67" xfId="5449"/>
    <cellStyle name="60% - Akzent1 68" xfId="5450"/>
    <cellStyle name="60% - Akzent1 69" xfId="5451"/>
    <cellStyle name="60% - Akzent1 7" xfId="5452"/>
    <cellStyle name="60% - Akzent1 7 2" xfId="5453"/>
    <cellStyle name="60% - Akzent1 70" xfId="5454"/>
    <cellStyle name="60% - Akzent1 71" xfId="5455"/>
    <cellStyle name="60% - Akzent1 72" xfId="5456"/>
    <cellStyle name="60% - Akzent1 73" xfId="5457"/>
    <cellStyle name="60% - Akzent1 74" xfId="5458"/>
    <cellStyle name="60% - Akzent1 75" xfId="5459"/>
    <cellStyle name="60% - Akzent1 76" xfId="5460"/>
    <cellStyle name="60% - Akzent1 77" xfId="5461"/>
    <cellStyle name="60% - Akzent1 78" xfId="5462"/>
    <cellStyle name="60% - Akzent1 79" xfId="5463"/>
    <cellStyle name="60% - Akzent1 8" xfId="5464"/>
    <cellStyle name="60% - Akzent1 8 2" xfId="5465"/>
    <cellStyle name="60% - Akzent1 80" xfId="5466"/>
    <cellStyle name="60% - Akzent1 81" xfId="5467"/>
    <cellStyle name="60% - Akzent1 82" xfId="5468"/>
    <cellStyle name="60% - Akzent1 83" xfId="5469"/>
    <cellStyle name="60% - Akzent1 84" xfId="5470"/>
    <cellStyle name="60% - Akzent1 85" xfId="5471"/>
    <cellStyle name="60% - Akzent1 86" xfId="5472"/>
    <cellStyle name="60% - Akzent1 87" xfId="5473"/>
    <cellStyle name="60% - Akzent1 88" xfId="5474"/>
    <cellStyle name="60% - Akzent1 89" xfId="5475"/>
    <cellStyle name="60% - Akzent1 9" xfId="5476"/>
    <cellStyle name="60% - Akzent1 9 2" xfId="5477"/>
    <cellStyle name="60% - Akzent1 90" xfId="5478"/>
    <cellStyle name="60% - Akzent1 91" xfId="5479"/>
    <cellStyle name="60% - Akzent1 92" xfId="5480"/>
    <cellStyle name="60% - Akzent1 93" xfId="5481"/>
    <cellStyle name="60% - Akzent1 94" xfId="5482"/>
    <cellStyle name="60% - Akzent1 95" xfId="5483"/>
    <cellStyle name="60% - Akzent1 96" xfId="5484"/>
    <cellStyle name="60% - Akzent1 97" xfId="5485"/>
    <cellStyle name="60% - Akzent1 98" xfId="5486"/>
    <cellStyle name="60% - Akzent1 99" xfId="5487"/>
    <cellStyle name="60% - Akzent2 10" xfId="5488"/>
    <cellStyle name="60% - Akzent2 10 2" xfId="5489"/>
    <cellStyle name="60% - Akzent2 100" xfId="5490"/>
    <cellStyle name="60% - Akzent2 101" xfId="5491"/>
    <cellStyle name="60% - Akzent2 102" xfId="5492"/>
    <cellStyle name="60% - Akzent2 103" xfId="5493"/>
    <cellStyle name="60% - Akzent2 104" xfId="5494"/>
    <cellStyle name="60% - Akzent2 105" xfId="5495"/>
    <cellStyle name="60% - Akzent2 106" xfId="5496"/>
    <cellStyle name="60% - Akzent2 107" xfId="5497"/>
    <cellStyle name="60% - Akzent2 108" xfId="5498"/>
    <cellStyle name="60% - Akzent2 109" xfId="5499"/>
    <cellStyle name="60% - Akzent2 11" xfId="5500"/>
    <cellStyle name="60% - Akzent2 11 2" xfId="5501"/>
    <cellStyle name="60% - Akzent2 110" xfId="5502"/>
    <cellStyle name="60% - Akzent2 111" xfId="5503"/>
    <cellStyle name="60% - Akzent2 112" xfId="5504"/>
    <cellStyle name="60% - Akzent2 113" xfId="5505"/>
    <cellStyle name="60% - Akzent2 114" xfId="5506"/>
    <cellStyle name="60% - Akzent2 115" xfId="5507"/>
    <cellStyle name="60% - Akzent2 116" xfId="5508"/>
    <cellStyle name="60% - Akzent2 117" xfId="5509"/>
    <cellStyle name="60% - Akzent2 118" xfId="5510"/>
    <cellStyle name="60% - Akzent2 119" xfId="5511"/>
    <cellStyle name="60% - Akzent2 12" xfId="5512"/>
    <cellStyle name="60% - Akzent2 12 2" xfId="5513"/>
    <cellStyle name="60% - Akzent2 120" xfId="5514"/>
    <cellStyle name="60% - Akzent2 121" xfId="5515"/>
    <cellStyle name="60% - Akzent2 122" xfId="5516"/>
    <cellStyle name="60% - Akzent2 123" xfId="5517"/>
    <cellStyle name="60% - Akzent2 124" xfId="5518"/>
    <cellStyle name="60% - Akzent2 125" xfId="5519"/>
    <cellStyle name="60% - Akzent2 126" xfId="5520"/>
    <cellStyle name="60% - Akzent2 127" xfId="5521"/>
    <cellStyle name="60% - Akzent2 128" xfId="5522"/>
    <cellStyle name="60% - Akzent2 129" xfId="5523"/>
    <cellStyle name="60% - Akzent2 13" xfId="5524"/>
    <cellStyle name="60% - Akzent2 13 2" xfId="5525"/>
    <cellStyle name="60% - Akzent2 130" xfId="5526"/>
    <cellStyle name="60% - Akzent2 131" xfId="5527"/>
    <cellStyle name="60% - Akzent2 132" xfId="5528"/>
    <cellStyle name="60% - Akzent2 133" xfId="5529"/>
    <cellStyle name="60% - Akzent2 134" xfId="5530"/>
    <cellStyle name="60% - Akzent2 135" xfId="5531"/>
    <cellStyle name="60% - Akzent2 136" xfId="5532"/>
    <cellStyle name="60% - Akzent2 137" xfId="5533"/>
    <cellStyle name="60% - Akzent2 138" xfId="5534"/>
    <cellStyle name="60% - Akzent2 139" xfId="5535"/>
    <cellStyle name="60% - Akzent2 14" xfId="5536"/>
    <cellStyle name="60% - Akzent2 14 2" xfId="5537"/>
    <cellStyle name="60% - Akzent2 140" xfId="5538"/>
    <cellStyle name="60% - Akzent2 141" xfId="5539"/>
    <cellStyle name="60% - Akzent2 142" xfId="5540"/>
    <cellStyle name="60% - Akzent2 143" xfId="5541"/>
    <cellStyle name="60% - Akzent2 144" xfId="5542"/>
    <cellStyle name="60% - Akzent2 145" xfId="5543"/>
    <cellStyle name="60% - Akzent2 146" xfId="5544"/>
    <cellStyle name="60% - Akzent2 147" xfId="5545"/>
    <cellStyle name="60% - Akzent2 148" xfId="5546"/>
    <cellStyle name="60% - Akzent2 149" xfId="5547"/>
    <cellStyle name="60% - Akzent2 15" xfId="5548"/>
    <cellStyle name="60% - Akzent2 150" xfId="5549"/>
    <cellStyle name="60% - Akzent2 151" xfId="5550"/>
    <cellStyle name="60% - Akzent2 16" xfId="5551"/>
    <cellStyle name="60% - Akzent2 17" xfId="5552"/>
    <cellStyle name="60% - Akzent2 18" xfId="5553"/>
    <cellStyle name="60% - Akzent2 19" xfId="5554"/>
    <cellStyle name="60% - Akzent2 2" xfId="5555"/>
    <cellStyle name="60% - Akzent2 2 2" xfId="5556"/>
    <cellStyle name="60% - Akzent2 20" xfId="5557"/>
    <cellStyle name="60% - Akzent2 21" xfId="5558"/>
    <cellStyle name="60% - Akzent2 22" xfId="5559"/>
    <cellStyle name="60% - Akzent2 23" xfId="5560"/>
    <cellStyle name="60% - Akzent2 24" xfId="5561"/>
    <cellStyle name="60% - Akzent2 25" xfId="5562"/>
    <cellStyle name="60% - Akzent2 26" xfId="5563"/>
    <cellStyle name="60% - Akzent2 27" xfId="5564"/>
    <cellStyle name="60% - Akzent2 28" xfId="5565"/>
    <cellStyle name="60% - Akzent2 29" xfId="5566"/>
    <cellStyle name="60% - Akzent2 3" xfId="5567"/>
    <cellStyle name="60% - Akzent2 3 2" xfId="5568"/>
    <cellStyle name="60% - Akzent2 30" xfId="5569"/>
    <cellStyle name="60% - Akzent2 31" xfId="5570"/>
    <cellStyle name="60% - Akzent2 32" xfId="5571"/>
    <cellStyle name="60% - Akzent2 33" xfId="5572"/>
    <cellStyle name="60% - Akzent2 34" xfId="5573"/>
    <cellStyle name="60% - Akzent2 35" xfId="5574"/>
    <cellStyle name="60% - Akzent2 36" xfId="5575"/>
    <cellStyle name="60% - Akzent2 37" xfId="5576"/>
    <cellStyle name="60% - Akzent2 38" xfId="5577"/>
    <cellStyle name="60% - Akzent2 39" xfId="5578"/>
    <cellStyle name="60% - Akzent2 4" xfId="5579"/>
    <cellStyle name="60% - Akzent2 4 2" xfId="5580"/>
    <cellStyle name="60% - Akzent2 40" xfId="5581"/>
    <cellStyle name="60% - Akzent2 41" xfId="5582"/>
    <cellStyle name="60% - Akzent2 42" xfId="5583"/>
    <cellStyle name="60% - Akzent2 43" xfId="5584"/>
    <cellStyle name="60% - Akzent2 44" xfId="5585"/>
    <cellStyle name="60% - Akzent2 45" xfId="5586"/>
    <cellStyle name="60% - Akzent2 46" xfId="5587"/>
    <cellStyle name="60% - Akzent2 47" xfId="5588"/>
    <cellStyle name="60% - Akzent2 48" xfId="5589"/>
    <cellStyle name="60% - Akzent2 49" xfId="5590"/>
    <cellStyle name="60% - Akzent2 5" xfId="5591"/>
    <cellStyle name="60% - Akzent2 5 2" xfId="5592"/>
    <cellStyle name="60% - Akzent2 50" xfId="5593"/>
    <cellStyle name="60% - Akzent2 51" xfId="5594"/>
    <cellStyle name="60% - Akzent2 52" xfId="5595"/>
    <cellStyle name="60% - Akzent2 53" xfId="5596"/>
    <cellStyle name="60% - Akzent2 54" xfId="5597"/>
    <cellStyle name="60% - Akzent2 55" xfId="5598"/>
    <cellStyle name="60% - Akzent2 56" xfId="5599"/>
    <cellStyle name="60% - Akzent2 57" xfId="5600"/>
    <cellStyle name="60% - Akzent2 58" xfId="5601"/>
    <cellStyle name="60% - Akzent2 59" xfId="5602"/>
    <cellStyle name="60% - Akzent2 6" xfId="5603"/>
    <cellStyle name="60% - Akzent2 6 2" xfId="5604"/>
    <cellStyle name="60% - Akzent2 60" xfId="5605"/>
    <cellStyle name="60% - Akzent2 61" xfId="5606"/>
    <cellStyle name="60% - Akzent2 62" xfId="5607"/>
    <cellStyle name="60% - Akzent2 63" xfId="5608"/>
    <cellStyle name="60% - Akzent2 64" xfId="5609"/>
    <cellStyle name="60% - Akzent2 65" xfId="5610"/>
    <cellStyle name="60% - Akzent2 66" xfId="5611"/>
    <cellStyle name="60% - Akzent2 67" xfId="5612"/>
    <cellStyle name="60% - Akzent2 68" xfId="5613"/>
    <cellStyle name="60% - Akzent2 69" xfId="5614"/>
    <cellStyle name="60% - Akzent2 7" xfId="5615"/>
    <cellStyle name="60% - Akzent2 7 2" xfId="5616"/>
    <cellStyle name="60% - Akzent2 70" xfId="5617"/>
    <cellStyle name="60% - Akzent2 71" xfId="5618"/>
    <cellStyle name="60% - Akzent2 72" xfId="5619"/>
    <cellStyle name="60% - Akzent2 73" xfId="5620"/>
    <cellStyle name="60% - Akzent2 74" xfId="5621"/>
    <cellStyle name="60% - Akzent2 75" xfId="5622"/>
    <cellStyle name="60% - Akzent2 76" xfId="5623"/>
    <cellStyle name="60% - Akzent2 77" xfId="5624"/>
    <cellStyle name="60% - Akzent2 78" xfId="5625"/>
    <cellStyle name="60% - Akzent2 79" xfId="5626"/>
    <cellStyle name="60% - Akzent2 8" xfId="5627"/>
    <cellStyle name="60% - Akzent2 8 2" xfId="5628"/>
    <cellStyle name="60% - Akzent2 80" xfId="5629"/>
    <cellStyle name="60% - Akzent2 81" xfId="5630"/>
    <cellStyle name="60% - Akzent2 82" xfId="5631"/>
    <cellStyle name="60% - Akzent2 83" xfId="5632"/>
    <cellStyle name="60% - Akzent2 84" xfId="5633"/>
    <cellStyle name="60% - Akzent2 85" xfId="5634"/>
    <cellStyle name="60% - Akzent2 86" xfId="5635"/>
    <cellStyle name="60% - Akzent2 87" xfId="5636"/>
    <cellStyle name="60% - Akzent2 88" xfId="5637"/>
    <cellStyle name="60% - Akzent2 89" xfId="5638"/>
    <cellStyle name="60% - Akzent2 9" xfId="5639"/>
    <cellStyle name="60% - Akzent2 9 2" xfId="5640"/>
    <cellStyle name="60% - Akzent2 90" xfId="5641"/>
    <cellStyle name="60% - Akzent2 91" xfId="5642"/>
    <cellStyle name="60% - Akzent2 92" xfId="5643"/>
    <cellStyle name="60% - Akzent2 93" xfId="5644"/>
    <cellStyle name="60% - Akzent2 94" xfId="5645"/>
    <cellStyle name="60% - Akzent2 95" xfId="5646"/>
    <cellStyle name="60% - Akzent2 96" xfId="5647"/>
    <cellStyle name="60% - Akzent2 97" xfId="5648"/>
    <cellStyle name="60% - Akzent2 98" xfId="5649"/>
    <cellStyle name="60% - Akzent2 99" xfId="5650"/>
    <cellStyle name="60% - Akzent3 10" xfId="5651"/>
    <cellStyle name="60% - Akzent3 10 2" xfId="5652"/>
    <cellStyle name="60% - Akzent3 100" xfId="5653"/>
    <cellStyle name="60% - Akzent3 101" xfId="5654"/>
    <cellStyle name="60% - Akzent3 102" xfId="5655"/>
    <cellStyle name="60% - Akzent3 103" xfId="5656"/>
    <cellStyle name="60% - Akzent3 104" xfId="5657"/>
    <cellStyle name="60% - Akzent3 105" xfId="5658"/>
    <cellStyle name="60% - Akzent3 106" xfId="5659"/>
    <cellStyle name="60% - Akzent3 107" xfId="5660"/>
    <cellStyle name="60% - Akzent3 108" xfId="5661"/>
    <cellStyle name="60% - Akzent3 109" xfId="5662"/>
    <cellStyle name="60% - Akzent3 11" xfId="5663"/>
    <cellStyle name="60% - Akzent3 11 2" xfId="5664"/>
    <cellStyle name="60% - Akzent3 110" xfId="5665"/>
    <cellStyle name="60% - Akzent3 111" xfId="5666"/>
    <cellStyle name="60% - Akzent3 112" xfId="5667"/>
    <cellStyle name="60% - Akzent3 113" xfId="5668"/>
    <cellStyle name="60% - Akzent3 114" xfId="5669"/>
    <cellStyle name="60% - Akzent3 115" xfId="5670"/>
    <cellStyle name="60% - Akzent3 116" xfId="5671"/>
    <cellStyle name="60% - Akzent3 117" xfId="5672"/>
    <cellStyle name="60% - Akzent3 118" xfId="5673"/>
    <cellStyle name="60% - Akzent3 119" xfId="5674"/>
    <cellStyle name="60% - Akzent3 12" xfId="5675"/>
    <cellStyle name="60% - Akzent3 12 2" xfId="5676"/>
    <cellStyle name="60% - Akzent3 120" xfId="5677"/>
    <cellStyle name="60% - Akzent3 121" xfId="5678"/>
    <cellStyle name="60% - Akzent3 122" xfId="5679"/>
    <cellStyle name="60% - Akzent3 123" xfId="5680"/>
    <cellStyle name="60% - Akzent3 124" xfId="5681"/>
    <cellStyle name="60% - Akzent3 125" xfId="5682"/>
    <cellStyle name="60% - Akzent3 126" xfId="5683"/>
    <cellStyle name="60% - Akzent3 127" xfId="5684"/>
    <cellStyle name="60% - Akzent3 128" xfId="5685"/>
    <cellStyle name="60% - Akzent3 129" xfId="5686"/>
    <cellStyle name="60% - Akzent3 13" xfId="5687"/>
    <cellStyle name="60% - Akzent3 13 2" xfId="5688"/>
    <cellStyle name="60% - Akzent3 130" xfId="5689"/>
    <cellStyle name="60% - Akzent3 131" xfId="5690"/>
    <cellStyle name="60% - Akzent3 132" xfId="5691"/>
    <cellStyle name="60% - Akzent3 133" xfId="5692"/>
    <cellStyle name="60% - Akzent3 134" xfId="5693"/>
    <cellStyle name="60% - Akzent3 135" xfId="5694"/>
    <cellStyle name="60% - Akzent3 136" xfId="5695"/>
    <cellStyle name="60% - Akzent3 137" xfId="5696"/>
    <cellStyle name="60% - Akzent3 138" xfId="5697"/>
    <cellStyle name="60% - Akzent3 139" xfId="5698"/>
    <cellStyle name="60% - Akzent3 14" xfId="5699"/>
    <cellStyle name="60% - Akzent3 14 2" xfId="5700"/>
    <cellStyle name="60% - Akzent3 140" xfId="5701"/>
    <cellStyle name="60% - Akzent3 141" xfId="5702"/>
    <cellStyle name="60% - Akzent3 142" xfId="5703"/>
    <cellStyle name="60% - Akzent3 143" xfId="5704"/>
    <cellStyle name="60% - Akzent3 144" xfId="5705"/>
    <cellStyle name="60% - Akzent3 145" xfId="5706"/>
    <cellStyle name="60% - Akzent3 146" xfId="5707"/>
    <cellStyle name="60% - Akzent3 147" xfId="5708"/>
    <cellStyle name="60% - Akzent3 148" xfId="5709"/>
    <cellStyle name="60% - Akzent3 149" xfId="5710"/>
    <cellStyle name="60% - Akzent3 15" xfId="5711"/>
    <cellStyle name="60% - Akzent3 150" xfId="5712"/>
    <cellStyle name="60% - Akzent3 151" xfId="5713"/>
    <cellStyle name="60% - Akzent3 16" xfId="5714"/>
    <cellStyle name="60% - Akzent3 17" xfId="5715"/>
    <cellStyle name="60% - Akzent3 18" xfId="5716"/>
    <cellStyle name="60% - Akzent3 19" xfId="5717"/>
    <cellStyle name="60% - Akzent3 2" xfId="5718"/>
    <cellStyle name="60% - Akzent3 2 2" xfId="5719"/>
    <cellStyle name="60% - Akzent3 20" xfId="5720"/>
    <cellStyle name="60% - Akzent3 21" xfId="5721"/>
    <cellStyle name="60% - Akzent3 22" xfId="5722"/>
    <cellStyle name="60% - Akzent3 23" xfId="5723"/>
    <cellStyle name="60% - Akzent3 24" xfId="5724"/>
    <cellStyle name="60% - Akzent3 25" xfId="5725"/>
    <cellStyle name="60% - Akzent3 26" xfId="5726"/>
    <cellStyle name="60% - Akzent3 27" xfId="5727"/>
    <cellStyle name="60% - Akzent3 28" xfId="5728"/>
    <cellStyle name="60% - Akzent3 29" xfId="5729"/>
    <cellStyle name="60% - Akzent3 3" xfId="5730"/>
    <cellStyle name="60% - Akzent3 3 2" xfId="5731"/>
    <cellStyle name="60% - Akzent3 30" xfId="5732"/>
    <cellStyle name="60% - Akzent3 31" xfId="5733"/>
    <cellStyle name="60% - Akzent3 32" xfId="5734"/>
    <cellStyle name="60% - Akzent3 33" xfId="5735"/>
    <cellStyle name="60% - Akzent3 34" xfId="5736"/>
    <cellStyle name="60% - Akzent3 35" xfId="5737"/>
    <cellStyle name="60% - Akzent3 36" xfId="5738"/>
    <cellStyle name="60% - Akzent3 37" xfId="5739"/>
    <cellStyle name="60% - Akzent3 38" xfId="5740"/>
    <cellStyle name="60% - Akzent3 39" xfId="5741"/>
    <cellStyle name="60% - Akzent3 4" xfId="5742"/>
    <cellStyle name="60% - Akzent3 4 2" xfId="5743"/>
    <cellStyle name="60% - Akzent3 40" xfId="5744"/>
    <cellStyle name="60% - Akzent3 41" xfId="5745"/>
    <cellStyle name="60% - Akzent3 42" xfId="5746"/>
    <cellStyle name="60% - Akzent3 43" xfId="5747"/>
    <cellStyle name="60% - Akzent3 44" xfId="5748"/>
    <cellStyle name="60% - Akzent3 45" xfId="5749"/>
    <cellStyle name="60% - Akzent3 46" xfId="5750"/>
    <cellStyle name="60% - Akzent3 47" xfId="5751"/>
    <cellStyle name="60% - Akzent3 48" xfId="5752"/>
    <cellStyle name="60% - Akzent3 49" xfId="5753"/>
    <cellStyle name="60% - Akzent3 5" xfId="5754"/>
    <cellStyle name="60% - Akzent3 5 2" xfId="5755"/>
    <cellStyle name="60% - Akzent3 50" xfId="5756"/>
    <cellStyle name="60% - Akzent3 51" xfId="5757"/>
    <cellStyle name="60% - Akzent3 52" xfId="5758"/>
    <cellStyle name="60% - Akzent3 53" xfId="5759"/>
    <cellStyle name="60% - Akzent3 54" xfId="5760"/>
    <cellStyle name="60% - Akzent3 55" xfId="5761"/>
    <cellStyle name="60% - Akzent3 56" xfId="5762"/>
    <cellStyle name="60% - Akzent3 57" xfId="5763"/>
    <cellStyle name="60% - Akzent3 58" xfId="5764"/>
    <cellStyle name="60% - Akzent3 59" xfId="5765"/>
    <cellStyle name="60% - Akzent3 6" xfId="5766"/>
    <cellStyle name="60% - Akzent3 6 2" xfId="5767"/>
    <cellStyle name="60% - Akzent3 60" xfId="5768"/>
    <cellStyle name="60% - Akzent3 61" xfId="5769"/>
    <cellStyle name="60% - Akzent3 62" xfId="5770"/>
    <cellStyle name="60% - Akzent3 63" xfId="5771"/>
    <cellStyle name="60% - Akzent3 64" xfId="5772"/>
    <cellStyle name="60% - Akzent3 65" xfId="5773"/>
    <cellStyle name="60% - Akzent3 66" xfId="5774"/>
    <cellStyle name="60% - Akzent3 67" xfId="5775"/>
    <cellStyle name="60% - Akzent3 68" xfId="5776"/>
    <cellStyle name="60% - Akzent3 69" xfId="5777"/>
    <cellStyle name="60% - Akzent3 7" xfId="5778"/>
    <cellStyle name="60% - Akzent3 7 2" xfId="5779"/>
    <cellStyle name="60% - Akzent3 70" xfId="5780"/>
    <cellStyle name="60% - Akzent3 71" xfId="5781"/>
    <cellStyle name="60% - Akzent3 72" xfId="5782"/>
    <cellStyle name="60% - Akzent3 73" xfId="5783"/>
    <cellStyle name="60% - Akzent3 74" xfId="5784"/>
    <cellStyle name="60% - Akzent3 75" xfId="5785"/>
    <cellStyle name="60% - Akzent3 76" xfId="5786"/>
    <cellStyle name="60% - Akzent3 77" xfId="5787"/>
    <cellStyle name="60% - Akzent3 78" xfId="5788"/>
    <cellStyle name="60% - Akzent3 79" xfId="5789"/>
    <cellStyle name="60% - Akzent3 8" xfId="5790"/>
    <cellStyle name="60% - Akzent3 8 2" xfId="5791"/>
    <cellStyle name="60% - Akzent3 80" xfId="5792"/>
    <cellStyle name="60% - Akzent3 81" xfId="5793"/>
    <cellStyle name="60% - Akzent3 82" xfId="5794"/>
    <cellStyle name="60% - Akzent3 83" xfId="5795"/>
    <cellStyle name="60% - Akzent3 84" xfId="5796"/>
    <cellStyle name="60% - Akzent3 85" xfId="5797"/>
    <cellStyle name="60% - Akzent3 86" xfId="5798"/>
    <cellStyle name="60% - Akzent3 87" xfId="5799"/>
    <cellStyle name="60% - Akzent3 88" xfId="5800"/>
    <cellStyle name="60% - Akzent3 89" xfId="5801"/>
    <cellStyle name="60% - Akzent3 9" xfId="5802"/>
    <cellStyle name="60% - Akzent3 9 2" xfId="5803"/>
    <cellStyle name="60% - Akzent3 90" xfId="5804"/>
    <cellStyle name="60% - Akzent3 91" xfId="5805"/>
    <cellStyle name="60% - Akzent3 92" xfId="5806"/>
    <cellStyle name="60% - Akzent3 93" xfId="5807"/>
    <cellStyle name="60% - Akzent3 94" xfId="5808"/>
    <cellStyle name="60% - Akzent3 95" xfId="5809"/>
    <cellStyle name="60% - Akzent3 96" xfId="5810"/>
    <cellStyle name="60% - Akzent3 97" xfId="5811"/>
    <cellStyle name="60% - Akzent3 98" xfId="5812"/>
    <cellStyle name="60% - Akzent3 99" xfId="5813"/>
    <cellStyle name="60% - Akzent4 10" xfId="5814"/>
    <cellStyle name="60% - Akzent4 10 2" xfId="5815"/>
    <cellStyle name="60% - Akzent4 100" xfId="5816"/>
    <cellStyle name="60% - Akzent4 101" xfId="5817"/>
    <cellStyle name="60% - Akzent4 102" xfId="5818"/>
    <cellStyle name="60% - Akzent4 103" xfId="5819"/>
    <cellStyle name="60% - Akzent4 104" xfId="5820"/>
    <cellStyle name="60% - Akzent4 105" xfId="5821"/>
    <cellStyle name="60% - Akzent4 106" xfId="5822"/>
    <cellStyle name="60% - Akzent4 107" xfId="5823"/>
    <cellStyle name="60% - Akzent4 108" xfId="5824"/>
    <cellStyle name="60% - Akzent4 109" xfId="5825"/>
    <cellStyle name="60% - Akzent4 11" xfId="5826"/>
    <cellStyle name="60% - Akzent4 11 2" xfId="5827"/>
    <cellStyle name="60% - Akzent4 110" xfId="5828"/>
    <cellStyle name="60% - Akzent4 111" xfId="5829"/>
    <cellStyle name="60% - Akzent4 112" xfId="5830"/>
    <cellStyle name="60% - Akzent4 113" xfId="5831"/>
    <cellStyle name="60% - Akzent4 114" xfId="5832"/>
    <cellStyle name="60% - Akzent4 115" xfId="5833"/>
    <cellStyle name="60% - Akzent4 116" xfId="5834"/>
    <cellStyle name="60% - Akzent4 117" xfId="5835"/>
    <cellStyle name="60% - Akzent4 118" xfId="5836"/>
    <cellStyle name="60% - Akzent4 119" xfId="5837"/>
    <cellStyle name="60% - Akzent4 12" xfId="5838"/>
    <cellStyle name="60% - Akzent4 12 2" xfId="5839"/>
    <cellStyle name="60% - Akzent4 120" xfId="5840"/>
    <cellStyle name="60% - Akzent4 121" xfId="5841"/>
    <cellStyle name="60% - Akzent4 122" xfId="5842"/>
    <cellStyle name="60% - Akzent4 123" xfId="5843"/>
    <cellStyle name="60% - Akzent4 124" xfId="5844"/>
    <cellStyle name="60% - Akzent4 125" xfId="5845"/>
    <cellStyle name="60% - Akzent4 126" xfId="5846"/>
    <cellStyle name="60% - Akzent4 127" xfId="5847"/>
    <cellStyle name="60% - Akzent4 128" xfId="5848"/>
    <cellStyle name="60% - Akzent4 129" xfId="5849"/>
    <cellStyle name="60% - Akzent4 13" xfId="5850"/>
    <cellStyle name="60% - Akzent4 13 2" xfId="5851"/>
    <cellStyle name="60% - Akzent4 130" xfId="5852"/>
    <cellStyle name="60% - Akzent4 131" xfId="5853"/>
    <cellStyle name="60% - Akzent4 132" xfId="5854"/>
    <cellStyle name="60% - Akzent4 133" xfId="5855"/>
    <cellStyle name="60% - Akzent4 134" xfId="5856"/>
    <cellStyle name="60% - Akzent4 135" xfId="5857"/>
    <cellStyle name="60% - Akzent4 136" xfId="5858"/>
    <cellStyle name="60% - Akzent4 137" xfId="5859"/>
    <cellStyle name="60% - Akzent4 138" xfId="5860"/>
    <cellStyle name="60% - Akzent4 139" xfId="5861"/>
    <cellStyle name="60% - Akzent4 14" xfId="5862"/>
    <cellStyle name="60% - Akzent4 14 2" xfId="5863"/>
    <cellStyle name="60% - Akzent4 140" xfId="5864"/>
    <cellStyle name="60% - Akzent4 141" xfId="5865"/>
    <cellStyle name="60% - Akzent4 142" xfId="5866"/>
    <cellStyle name="60% - Akzent4 143" xfId="5867"/>
    <cellStyle name="60% - Akzent4 144" xfId="5868"/>
    <cellStyle name="60% - Akzent4 145" xfId="5869"/>
    <cellStyle name="60% - Akzent4 146" xfId="5870"/>
    <cellStyle name="60% - Akzent4 147" xfId="5871"/>
    <cellStyle name="60% - Akzent4 148" xfId="5872"/>
    <cellStyle name="60% - Akzent4 149" xfId="5873"/>
    <cellStyle name="60% - Akzent4 15" xfId="5874"/>
    <cellStyle name="60% - Akzent4 150" xfId="5875"/>
    <cellStyle name="60% - Akzent4 151" xfId="5876"/>
    <cellStyle name="60% - Akzent4 16" xfId="5877"/>
    <cellStyle name="60% - Akzent4 17" xfId="5878"/>
    <cellStyle name="60% - Akzent4 18" xfId="5879"/>
    <cellStyle name="60% - Akzent4 19" xfId="5880"/>
    <cellStyle name="60% - Akzent4 2" xfId="5881"/>
    <cellStyle name="60% - Akzent4 2 2" xfId="5882"/>
    <cellStyle name="60% - Akzent4 20" xfId="5883"/>
    <cellStyle name="60% - Akzent4 21" xfId="5884"/>
    <cellStyle name="60% - Akzent4 22" xfId="5885"/>
    <cellStyle name="60% - Akzent4 23" xfId="5886"/>
    <cellStyle name="60% - Akzent4 24" xfId="5887"/>
    <cellStyle name="60% - Akzent4 25" xfId="5888"/>
    <cellStyle name="60% - Akzent4 26" xfId="5889"/>
    <cellStyle name="60% - Akzent4 27" xfId="5890"/>
    <cellStyle name="60% - Akzent4 28" xfId="5891"/>
    <cellStyle name="60% - Akzent4 29" xfId="5892"/>
    <cellStyle name="60% - Akzent4 3" xfId="5893"/>
    <cellStyle name="60% - Akzent4 3 2" xfId="5894"/>
    <cellStyle name="60% - Akzent4 30" xfId="5895"/>
    <cellStyle name="60% - Akzent4 31" xfId="5896"/>
    <cellStyle name="60% - Akzent4 32" xfId="5897"/>
    <cellStyle name="60% - Akzent4 33" xfId="5898"/>
    <cellStyle name="60% - Akzent4 34" xfId="5899"/>
    <cellStyle name="60% - Akzent4 35" xfId="5900"/>
    <cellStyle name="60% - Akzent4 36" xfId="5901"/>
    <cellStyle name="60% - Akzent4 37" xfId="5902"/>
    <cellStyle name="60% - Akzent4 38" xfId="5903"/>
    <cellStyle name="60% - Akzent4 39" xfId="5904"/>
    <cellStyle name="60% - Akzent4 4" xfId="5905"/>
    <cellStyle name="60% - Akzent4 4 2" xfId="5906"/>
    <cellStyle name="60% - Akzent4 40" xfId="5907"/>
    <cellStyle name="60% - Akzent4 41" xfId="5908"/>
    <cellStyle name="60% - Akzent4 42" xfId="5909"/>
    <cellStyle name="60% - Akzent4 43" xfId="5910"/>
    <cellStyle name="60% - Akzent4 44" xfId="5911"/>
    <cellStyle name="60% - Akzent4 45" xfId="5912"/>
    <cellStyle name="60% - Akzent4 46" xfId="5913"/>
    <cellStyle name="60% - Akzent4 47" xfId="5914"/>
    <cellStyle name="60% - Akzent4 48" xfId="5915"/>
    <cellStyle name="60% - Akzent4 49" xfId="5916"/>
    <cellStyle name="60% - Akzent4 5" xfId="5917"/>
    <cellStyle name="60% - Akzent4 5 2" xfId="5918"/>
    <cellStyle name="60% - Akzent4 50" xfId="5919"/>
    <cellStyle name="60% - Akzent4 51" xfId="5920"/>
    <cellStyle name="60% - Akzent4 52" xfId="5921"/>
    <cellStyle name="60% - Akzent4 53" xfId="5922"/>
    <cellStyle name="60% - Akzent4 54" xfId="5923"/>
    <cellStyle name="60% - Akzent4 55" xfId="5924"/>
    <cellStyle name="60% - Akzent4 56" xfId="5925"/>
    <cellStyle name="60% - Akzent4 57" xfId="5926"/>
    <cellStyle name="60% - Akzent4 58" xfId="5927"/>
    <cellStyle name="60% - Akzent4 59" xfId="5928"/>
    <cellStyle name="60% - Akzent4 6" xfId="5929"/>
    <cellStyle name="60% - Akzent4 6 2" xfId="5930"/>
    <cellStyle name="60% - Akzent4 60" xfId="5931"/>
    <cellStyle name="60% - Akzent4 61" xfId="5932"/>
    <cellStyle name="60% - Akzent4 62" xfId="5933"/>
    <cellStyle name="60% - Akzent4 63" xfId="5934"/>
    <cellStyle name="60% - Akzent4 64" xfId="5935"/>
    <cellStyle name="60% - Akzent4 65" xfId="5936"/>
    <cellStyle name="60% - Akzent4 66" xfId="5937"/>
    <cellStyle name="60% - Akzent4 67" xfId="5938"/>
    <cellStyle name="60% - Akzent4 68" xfId="5939"/>
    <cellStyle name="60% - Akzent4 69" xfId="5940"/>
    <cellStyle name="60% - Akzent4 7" xfId="5941"/>
    <cellStyle name="60% - Akzent4 7 2" xfId="5942"/>
    <cellStyle name="60% - Akzent4 70" xfId="5943"/>
    <cellStyle name="60% - Akzent4 71" xfId="5944"/>
    <cellStyle name="60% - Akzent4 72" xfId="5945"/>
    <cellStyle name="60% - Akzent4 73" xfId="5946"/>
    <cellStyle name="60% - Akzent4 74" xfId="5947"/>
    <cellStyle name="60% - Akzent4 75" xfId="5948"/>
    <cellStyle name="60% - Akzent4 76" xfId="5949"/>
    <cellStyle name="60% - Akzent4 77" xfId="5950"/>
    <cellStyle name="60% - Akzent4 78" xfId="5951"/>
    <cellStyle name="60% - Akzent4 79" xfId="5952"/>
    <cellStyle name="60% - Akzent4 8" xfId="5953"/>
    <cellStyle name="60% - Akzent4 8 2" xfId="5954"/>
    <cellStyle name="60% - Akzent4 80" xfId="5955"/>
    <cellStyle name="60% - Akzent4 81" xfId="5956"/>
    <cellStyle name="60% - Akzent4 82" xfId="5957"/>
    <cellStyle name="60% - Akzent4 83" xfId="5958"/>
    <cellStyle name="60% - Akzent4 84" xfId="5959"/>
    <cellStyle name="60% - Akzent4 85" xfId="5960"/>
    <cellStyle name="60% - Akzent4 86" xfId="5961"/>
    <cellStyle name="60% - Akzent4 87" xfId="5962"/>
    <cellStyle name="60% - Akzent4 88" xfId="5963"/>
    <cellStyle name="60% - Akzent4 89" xfId="5964"/>
    <cellStyle name="60% - Akzent4 9" xfId="5965"/>
    <cellStyle name="60% - Akzent4 9 2" xfId="5966"/>
    <cellStyle name="60% - Akzent4 90" xfId="5967"/>
    <cellStyle name="60% - Akzent4 91" xfId="5968"/>
    <cellStyle name="60% - Akzent4 92" xfId="5969"/>
    <cellStyle name="60% - Akzent4 93" xfId="5970"/>
    <cellStyle name="60% - Akzent4 94" xfId="5971"/>
    <cellStyle name="60% - Akzent4 95" xfId="5972"/>
    <cellStyle name="60% - Akzent4 96" xfId="5973"/>
    <cellStyle name="60% - Akzent4 97" xfId="5974"/>
    <cellStyle name="60% - Akzent4 98" xfId="5975"/>
    <cellStyle name="60% - Akzent4 99" xfId="5976"/>
    <cellStyle name="60% - Akzent5 10" xfId="5977"/>
    <cellStyle name="60% - Akzent5 10 2" xfId="5978"/>
    <cellStyle name="60% - Akzent5 100" xfId="5979"/>
    <cellStyle name="60% - Akzent5 101" xfId="5980"/>
    <cellStyle name="60% - Akzent5 102" xfId="5981"/>
    <cellStyle name="60% - Akzent5 103" xfId="5982"/>
    <cellStyle name="60% - Akzent5 104" xfId="5983"/>
    <cellStyle name="60% - Akzent5 105" xfId="5984"/>
    <cellStyle name="60% - Akzent5 106" xfId="5985"/>
    <cellStyle name="60% - Akzent5 107" xfId="5986"/>
    <cellStyle name="60% - Akzent5 108" xfId="5987"/>
    <cellStyle name="60% - Akzent5 109" xfId="5988"/>
    <cellStyle name="60% - Akzent5 11" xfId="5989"/>
    <cellStyle name="60% - Akzent5 11 2" xfId="5990"/>
    <cellStyle name="60% - Akzent5 110" xfId="5991"/>
    <cellStyle name="60% - Akzent5 111" xfId="5992"/>
    <cellStyle name="60% - Akzent5 112" xfId="5993"/>
    <cellStyle name="60% - Akzent5 113" xfId="5994"/>
    <cellStyle name="60% - Akzent5 114" xfId="5995"/>
    <cellStyle name="60% - Akzent5 115" xfId="5996"/>
    <cellStyle name="60% - Akzent5 116" xfId="5997"/>
    <cellStyle name="60% - Akzent5 117" xfId="5998"/>
    <cellStyle name="60% - Akzent5 118" xfId="5999"/>
    <cellStyle name="60% - Akzent5 119" xfId="6000"/>
    <cellStyle name="60% - Akzent5 12" xfId="6001"/>
    <cellStyle name="60% - Akzent5 12 2" xfId="6002"/>
    <cellStyle name="60% - Akzent5 120" xfId="6003"/>
    <cellStyle name="60% - Akzent5 121" xfId="6004"/>
    <cellStyle name="60% - Akzent5 122" xfId="6005"/>
    <cellStyle name="60% - Akzent5 123" xfId="6006"/>
    <cellStyle name="60% - Akzent5 124" xfId="6007"/>
    <cellStyle name="60% - Akzent5 125" xfId="6008"/>
    <cellStyle name="60% - Akzent5 126" xfId="6009"/>
    <cellStyle name="60% - Akzent5 127" xfId="6010"/>
    <cellStyle name="60% - Akzent5 128" xfId="6011"/>
    <cellStyle name="60% - Akzent5 129" xfId="6012"/>
    <cellStyle name="60% - Akzent5 13" xfId="6013"/>
    <cellStyle name="60% - Akzent5 13 2" xfId="6014"/>
    <cellStyle name="60% - Akzent5 130" xfId="6015"/>
    <cellStyle name="60% - Akzent5 131" xfId="6016"/>
    <cellStyle name="60% - Akzent5 132" xfId="6017"/>
    <cellStyle name="60% - Akzent5 133" xfId="6018"/>
    <cellStyle name="60% - Akzent5 134" xfId="6019"/>
    <cellStyle name="60% - Akzent5 135" xfId="6020"/>
    <cellStyle name="60% - Akzent5 136" xfId="6021"/>
    <cellStyle name="60% - Akzent5 137" xfId="6022"/>
    <cellStyle name="60% - Akzent5 138" xfId="6023"/>
    <cellStyle name="60% - Akzent5 139" xfId="6024"/>
    <cellStyle name="60% - Akzent5 14" xfId="6025"/>
    <cellStyle name="60% - Akzent5 14 2" xfId="6026"/>
    <cellStyle name="60% - Akzent5 140" xfId="6027"/>
    <cellStyle name="60% - Akzent5 141" xfId="6028"/>
    <cellStyle name="60% - Akzent5 142" xfId="6029"/>
    <cellStyle name="60% - Akzent5 143" xfId="6030"/>
    <cellStyle name="60% - Akzent5 144" xfId="6031"/>
    <cellStyle name="60% - Akzent5 145" xfId="6032"/>
    <cellStyle name="60% - Akzent5 146" xfId="6033"/>
    <cellStyle name="60% - Akzent5 147" xfId="6034"/>
    <cellStyle name="60% - Akzent5 148" xfId="6035"/>
    <cellStyle name="60% - Akzent5 149" xfId="6036"/>
    <cellStyle name="60% - Akzent5 15" xfId="6037"/>
    <cellStyle name="60% - Akzent5 150" xfId="6038"/>
    <cellStyle name="60% - Akzent5 151" xfId="6039"/>
    <cellStyle name="60% - Akzent5 16" xfId="6040"/>
    <cellStyle name="60% - Akzent5 17" xfId="6041"/>
    <cellStyle name="60% - Akzent5 18" xfId="6042"/>
    <cellStyle name="60% - Akzent5 19" xfId="6043"/>
    <cellStyle name="60% - Akzent5 2" xfId="6044"/>
    <cellStyle name="60% - Akzent5 2 2" xfId="6045"/>
    <cellStyle name="60% - Akzent5 20" xfId="6046"/>
    <cellStyle name="60% - Akzent5 21" xfId="6047"/>
    <cellStyle name="60% - Akzent5 22" xfId="6048"/>
    <cellStyle name="60% - Akzent5 23" xfId="6049"/>
    <cellStyle name="60% - Akzent5 24" xfId="6050"/>
    <cellStyle name="60% - Akzent5 25" xfId="6051"/>
    <cellStyle name="60% - Akzent5 26" xfId="6052"/>
    <cellStyle name="60% - Akzent5 27" xfId="6053"/>
    <cellStyle name="60% - Akzent5 28" xfId="6054"/>
    <cellStyle name="60% - Akzent5 29" xfId="6055"/>
    <cellStyle name="60% - Akzent5 3" xfId="6056"/>
    <cellStyle name="60% - Akzent5 3 2" xfId="6057"/>
    <cellStyle name="60% - Akzent5 30" xfId="6058"/>
    <cellStyle name="60% - Akzent5 31" xfId="6059"/>
    <cellStyle name="60% - Akzent5 32" xfId="6060"/>
    <cellStyle name="60% - Akzent5 33" xfId="6061"/>
    <cellStyle name="60% - Akzent5 34" xfId="6062"/>
    <cellStyle name="60% - Akzent5 35" xfId="6063"/>
    <cellStyle name="60% - Akzent5 36" xfId="6064"/>
    <cellStyle name="60% - Akzent5 37" xfId="6065"/>
    <cellStyle name="60% - Akzent5 38" xfId="6066"/>
    <cellStyle name="60% - Akzent5 39" xfId="6067"/>
    <cellStyle name="60% - Akzent5 4" xfId="6068"/>
    <cellStyle name="60% - Akzent5 4 2" xfId="6069"/>
    <cellStyle name="60% - Akzent5 40" xfId="6070"/>
    <cellStyle name="60% - Akzent5 41" xfId="6071"/>
    <cellStyle name="60% - Akzent5 42" xfId="6072"/>
    <cellStyle name="60% - Akzent5 43" xfId="6073"/>
    <cellStyle name="60% - Akzent5 44" xfId="6074"/>
    <cellStyle name="60% - Akzent5 45" xfId="6075"/>
    <cellStyle name="60% - Akzent5 46" xfId="6076"/>
    <cellStyle name="60% - Akzent5 47" xfId="6077"/>
    <cellStyle name="60% - Akzent5 48" xfId="6078"/>
    <cellStyle name="60% - Akzent5 49" xfId="6079"/>
    <cellStyle name="60% - Akzent5 5" xfId="6080"/>
    <cellStyle name="60% - Akzent5 5 2" xfId="6081"/>
    <cellStyle name="60% - Akzent5 50" xfId="6082"/>
    <cellStyle name="60% - Akzent5 51" xfId="6083"/>
    <cellStyle name="60% - Akzent5 52" xfId="6084"/>
    <cellStyle name="60% - Akzent5 53" xfId="6085"/>
    <cellStyle name="60% - Akzent5 54" xfId="6086"/>
    <cellStyle name="60% - Akzent5 55" xfId="6087"/>
    <cellStyle name="60% - Akzent5 56" xfId="6088"/>
    <cellStyle name="60% - Akzent5 57" xfId="6089"/>
    <cellStyle name="60% - Akzent5 58" xfId="6090"/>
    <cellStyle name="60% - Akzent5 59" xfId="6091"/>
    <cellStyle name="60% - Akzent5 6" xfId="6092"/>
    <cellStyle name="60% - Akzent5 6 2" xfId="6093"/>
    <cellStyle name="60% - Akzent5 60" xfId="6094"/>
    <cellStyle name="60% - Akzent5 61" xfId="6095"/>
    <cellStyle name="60% - Akzent5 62" xfId="6096"/>
    <cellStyle name="60% - Akzent5 63" xfId="6097"/>
    <cellStyle name="60% - Akzent5 64" xfId="6098"/>
    <cellStyle name="60% - Akzent5 65" xfId="6099"/>
    <cellStyle name="60% - Akzent5 66" xfId="6100"/>
    <cellStyle name="60% - Akzent5 67" xfId="6101"/>
    <cellStyle name="60% - Akzent5 68" xfId="6102"/>
    <cellStyle name="60% - Akzent5 69" xfId="6103"/>
    <cellStyle name="60% - Akzent5 7" xfId="6104"/>
    <cellStyle name="60% - Akzent5 7 2" xfId="6105"/>
    <cellStyle name="60% - Akzent5 70" xfId="6106"/>
    <cellStyle name="60% - Akzent5 71" xfId="6107"/>
    <cellStyle name="60% - Akzent5 72" xfId="6108"/>
    <cellStyle name="60% - Akzent5 73" xfId="6109"/>
    <cellStyle name="60% - Akzent5 74" xfId="6110"/>
    <cellStyle name="60% - Akzent5 75" xfId="6111"/>
    <cellStyle name="60% - Akzent5 76" xfId="6112"/>
    <cellStyle name="60% - Akzent5 77" xfId="6113"/>
    <cellStyle name="60% - Akzent5 78" xfId="6114"/>
    <cellStyle name="60% - Akzent5 79" xfId="6115"/>
    <cellStyle name="60% - Akzent5 8" xfId="6116"/>
    <cellStyle name="60% - Akzent5 8 2" xfId="6117"/>
    <cellStyle name="60% - Akzent5 80" xfId="6118"/>
    <cellStyle name="60% - Akzent5 81" xfId="6119"/>
    <cellStyle name="60% - Akzent5 82" xfId="6120"/>
    <cellStyle name="60% - Akzent5 83" xfId="6121"/>
    <cellStyle name="60% - Akzent5 84" xfId="6122"/>
    <cellStyle name="60% - Akzent5 85" xfId="6123"/>
    <cellStyle name="60% - Akzent5 86" xfId="6124"/>
    <cellStyle name="60% - Akzent5 87" xfId="6125"/>
    <cellStyle name="60% - Akzent5 88" xfId="6126"/>
    <cellStyle name="60% - Akzent5 89" xfId="6127"/>
    <cellStyle name="60% - Akzent5 9" xfId="6128"/>
    <cellStyle name="60% - Akzent5 9 2" xfId="6129"/>
    <cellStyle name="60% - Akzent5 90" xfId="6130"/>
    <cellStyle name="60% - Akzent5 91" xfId="6131"/>
    <cellStyle name="60% - Akzent5 92" xfId="6132"/>
    <cellStyle name="60% - Akzent5 93" xfId="6133"/>
    <cellStyle name="60% - Akzent5 94" xfId="6134"/>
    <cellStyle name="60% - Akzent5 95" xfId="6135"/>
    <cellStyle name="60% - Akzent5 96" xfId="6136"/>
    <cellStyle name="60% - Akzent5 97" xfId="6137"/>
    <cellStyle name="60% - Akzent5 98" xfId="6138"/>
    <cellStyle name="60% - Akzent5 99" xfId="6139"/>
    <cellStyle name="60% - Akzent6 10" xfId="6140"/>
    <cellStyle name="60% - Akzent6 10 2" xfId="6141"/>
    <cellStyle name="60% - Akzent6 100" xfId="6142"/>
    <cellStyle name="60% - Akzent6 101" xfId="6143"/>
    <cellStyle name="60% - Akzent6 102" xfId="6144"/>
    <cellStyle name="60% - Akzent6 103" xfId="6145"/>
    <cellStyle name="60% - Akzent6 104" xfId="6146"/>
    <cellStyle name="60% - Akzent6 105" xfId="6147"/>
    <cellStyle name="60% - Akzent6 106" xfId="6148"/>
    <cellStyle name="60% - Akzent6 107" xfId="6149"/>
    <cellStyle name="60% - Akzent6 108" xfId="6150"/>
    <cellStyle name="60% - Akzent6 109" xfId="6151"/>
    <cellStyle name="60% - Akzent6 11" xfId="6152"/>
    <cellStyle name="60% - Akzent6 11 2" xfId="6153"/>
    <cellStyle name="60% - Akzent6 110" xfId="6154"/>
    <cellStyle name="60% - Akzent6 111" xfId="6155"/>
    <cellStyle name="60% - Akzent6 112" xfId="6156"/>
    <cellStyle name="60% - Akzent6 113" xfId="6157"/>
    <cellStyle name="60% - Akzent6 114" xfId="6158"/>
    <cellStyle name="60% - Akzent6 115" xfId="6159"/>
    <cellStyle name="60% - Akzent6 116" xfId="6160"/>
    <cellStyle name="60% - Akzent6 117" xfId="6161"/>
    <cellStyle name="60% - Akzent6 118" xfId="6162"/>
    <cellStyle name="60% - Akzent6 119" xfId="6163"/>
    <cellStyle name="60% - Akzent6 12" xfId="6164"/>
    <cellStyle name="60% - Akzent6 12 2" xfId="6165"/>
    <cellStyle name="60% - Akzent6 120" xfId="6166"/>
    <cellStyle name="60% - Akzent6 121" xfId="6167"/>
    <cellStyle name="60% - Akzent6 122" xfId="6168"/>
    <cellStyle name="60% - Akzent6 123" xfId="6169"/>
    <cellStyle name="60% - Akzent6 124" xfId="6170"/>
    <cellStyle name="60% - Akzent6 125" xfId="6171"/>
    <cellStyle name="60% - Akzent6 126" xfId="6172"/>
    <cellStyle name="60% - Akzent6 127" xfId="6173"/>
    <cellStyle name="60% - Akzent6 128" xfId="6174"/>
    <cellStyle name="60% - Akzent6 129" xfId="6175"/>
    <cellStyle name="60% - Akzent6 13" xfId="6176"/>
    <cellStyle name="60% - Akzent6 13 2" xfId="6177"/>
    <cellStyle name="60% - Akzent6 130" xfId="6178"/>
    <cellStyle name="60% - Akzent6 131" xfId="6179"/>
    <cellStyle name="60% - Akzent6 132" xfId="6180"/>
    <cellStyle name="60% - Akzent6 133" xfId="6181"/>
    <cellStyle name="60% - Akzent6 134" xfId="6182"/>
    <cellStyle name="60% - Akzent6 135" xfId="6183"/>
    <cellStyle name="60% - Akzent6 136" xfId="6184"/>
    <cellStyle name="60% - Akzent6 137" xfId="6185"/>
    <cellStyle name="60% - Akzent6 138" xfId="6186"/>
    <cellStyle name="60% - Akzent6 139" xfId="6187"/>
    <cellStyle name="60% - Akzent6 14" xfId="6188"/>
    <cellStyle name="60% - Akzent6 14 2" xfId="6189"/>
    <cellStyle name="60% - Akzent6 140" xfId="6190"/>
    <cellStyle name="60% - Akzent6 141" xfId="6191"/>
    <cellStyle name="60% - Akzent6 142" xfId="6192"/>
    <cellStyle name="60% - Akzent6 143" xfId="6193"/>
    <cellStyle name="60% - Akzent6 144" xfId="6194"/>
    <cellStyle name="60% - Akzent6 145" xfId="6195"/>
    <cellStyle name="60% - Akzent6 146" xfId="6196"/>
    <cellStyle name="60% - Akzent6 147" xfId="6197"/>
    <cellStyle name="60% - Akzent6 148" xfId="6198"/>
    <cellStyle name="60% - Akzent6 149" xfId="6199"/>
    <cellStyle name="60% - Akzent6 15" xfId="6200"/>
    <cellStyle name="60% - Akzent6 150" xfId="6201"/>
    <cellStyle name="60% - Akzent6 151" xfId="6202"/>
    <cellStyle name="60% - Akzent6 16" xfId="6203"/>
    <cellStyle name="60% - Akzent6 17" xfId="6204"/>
    <cellStyle name="60% - Akzent6 18" xfId="6205"/>
    <cellStyle name="60% - Akzent6 19" xfId="6206"/>
    <cellStyle name="60% - Akzent6 2" xfId="6207"/>
    <cellStyle name="60% - Akzent6 2 2" xfId="6208"/>
    <cellStyle name="60% - Akzent6 20" xfId="6209"/>
    <cellStyle name="60% - Akzent6 21" xfId="6210"/>
    <cellStyle name="60% - Akzent6 22" xfId="6211"/>
    <cellStyle name="60% - Akzent6 23" xfId="6212"/>
    <cellStyle name="60% - Akzent6 24" xfId="6213"/>
    <cellStyle name="60% - Akzent6 25" xfId="6214"/>
    <cellStyle name="60% - Akzent6 26" xfId="6215"/>
    <cellStyle name="60% - Akzent6 27" xfId="6216"/>
    <cellStyle name="60% - Akzent6 28" xfId="6217"/>
    <cellStyle name="60% - Akzent6 29" xfId="6218"/>
    <cellStyle name="60% - Akzent6 3" xfId="6219"/>
    <cellStyle name="60% - Akzent6 3 2" xfId="6220"/>
    <cellStyle name="60% - Akzent6 30" xfId="6221"/>
    <cellStyle name="60% - Akzent6 31" xfId="6222"/>
    <cellStyle name="60% - Akzent6 32" xfId="6223"/>
    <cellStyle name="60% - Akzent6 33" xfId="6224"/>
    <cellStyle name="60% - Akzent6 34" xfId="6225"/>
    <cellStyle name="60% - Akzent6 35" xfId="6226"/>
    <cellStyle name="60% - Akzent6 36" xfId="6227"/>
    <cellStyle name="60% - Akzent6 37" xfId="6228"/>
    <cellStyle name="60% - Akzent6 38" xfId="6229"/>
    <cellStyle name="60% - Akzent6 39" xfId="6230"/>
    <cellStyle name="60% - Akzent6 4" xfId="6231"/>
    <cellStyle name="60% - Akzent6 4 2" xfId="6232"/>
    <cellStyle name="60% - Akzent6 40" xfId="6233"/>
    <cellStyle name="60% - Akzent6 41" xfId="6234"/>
    <cellStyle name="60% - Akzent6 42" xfId="6235"/>
    <cellStyle name="60% - Akzent6 43" xfId="6236"/>
    <cellStyle name="60% - Akzent6 44" xfId="6237"/>
    <cellStyle name="60% - Akzent6 45" xfId="6238"/>
    <cellStyle name="60% - Akzent6 46" xfId="6239"/>
    <cellStyle name="60% - Akzent6 47" xfId="6240"/>
    <cellStyle name="60% - Akzent6 48" xfId="6241"/>
    <cellStyle name="60% - Akzent6 49" xfId="6242"/>
    <cellStyle name="60% - Akzent6 5" xfId="6243"/>
    <cellStyle name="60% - Akzent6 5 2" xfId="6244"/>
    <cellStyle name="60% - Akzent6 50" xfId="6245"/>
    <cellStyle name="60% - Akzent6 51" xfId="6246"/>
    <cellStyle name="60% - Akzent6 52" xfId="6247"/>
    <cellStyle name="60% - Akzent6 53" xfId="6248"/>
    <cellStyle name="60% - Akzent6 54" xfId="6249"/>
    <cellStyle name="60% - Akzent6 55" xfId="6250"/>
    <cellStyle name="60% - Akzent6 56" xfId="6251"/>
    <cellStyle name="60% - Akzent6 57" xfId="6252"/>
    <cellStyle name="60% - Akzent6 58" xfId="6253"/>
    <cellStyle name="60% - Akzent6 59" xfId="6254"/>
    <cellStyle name="60% - Akzent6 6" xfId="6255"/>
    <cellStyle name="60% - Akzent6 6 2" xfId="6256"/>
    <cellStyle name="60% - Akzent6 60" xfId="6257"/>
    <cellStyle name="60% - Akzent6 61" xfId="6258"/>
    <cellStyle name="60% - Akzent6 62" xfId="6259"/>
    <cellStyle name="60% - Akzent6 63" xfId="6260"/>
    <cellStyle name="60% - Akzent6 64" xfId="6261"/>
    <cellStyle name="60% - Akzent6 65" xfId="6262"/>
    <cellStyle name="60% - Akzent6 66" xfId="6263"/>
    <cellStyle name="60% - Akzent6 67" xfId="6264"/>
    <cellStyle name="60% - Akzent6 68" xfId="6265"/>
    <cellStyle name="60% - Akzent6 69" xfId="6266"/>
    <cellStyle name="60% - Akzent6 7" xfId="6267"/>
    <cellStyle name="60% - Akzent6 7 2" xfId="6268"/>
    <cellStyle name="60% - Akzent6 70" xfId="6269"/>
    <cellStyle name="60% - Akzent6 71" xfId="6270"/>
    <cellStyle name="60% - Akzent6 72" xfId="6271"/>
    <cellStyle name="60% - Akzent6 73" xfId="6272"/>
    <cellStyle name="60% - Akzent6 74" xfId="6273"/>
    <cellStyle name="60% - Akzent6 75" xfId="6274"/>
    <cellStyle name="60% - Akzent6 76" xfId="6275"/>
    <cellStyle name="60% - Akzent6 77" xfId="6276"/>
    <cellStyle name="60% - Akzent6 78" xfId="6277"/>
    <cellStyle name="60% - Akzent6 79" xfId="6278"/>
    <cellStyle name="60% - Akzent6 8" xfId="6279"/>
    <cellStyle name="60% - Akzent6 8 2" xfId="6280"/>
    <cellStyle name="60% - Akzent6 80" xfId="6281"/>
    <cellStyle name="60% - Akzent6 81" xfId="6282"/>
    <cellStyle name="60% - Akzent6 82" xfId="6283"/>
    <cellStyle name="60% - Akzent6 83" xfId="6284"/>
    <cellStyle name="60% - Akzent6 84" xfId="6285"/>
    <cellStyle name="60% - Akzent6 85" xfId="6286"/>
    <cellStyle name="60% - Akzent6 86" xfId="6287"/>
    <cellStyle name="60% - Akzent6 87" xfId="6288"/>
    <cellStyle name="60% - Akzent6 88" xfId="6289"/>
    <cellStyle name="60% - Akzent6 89" xfId="6290"/>
    <cellStyle name="60% - Akzent6 9" xfId="6291"/>
    <cellStyle name="60% - Akzent6 9 2" xfId="6292"/>
    <cellStyle name="60% - Akzent6 90" xfId="6293"/>
    <cellStyle name="60% - Akzent6 91" xfId="6294"/>
    <cellStyle name="60% - Akzent6 92" xfId="6295"/>
    <cellStyle name="60% - Akzent6 93" xfId="6296"/>
    <cellStyle name="60% - Akzent6 94" xfId="6297"/>
    <cellStyle name="60% - Akzent6 95" xfId="6298"/>
    <cellStyle name="60% - Akzent6 96" xfId="6299"/>
    <cellStyle name="60% - Akzent6 97" xfId="6300"/>
    <cellStyle name="60% - Akzent6 98" xfId="6301"/>
    <cellStyle name="60% - Akzent6 99" xfId="6302"/>
    <cellStyle name="Accent1 2" xfId="6303"/>
    <cellStyle name="Accent2 2" xfId="6304"/>
    <cellStyle name="Accent3 2" xfId="6305"/>
    <cellStyle name="Accent4 2" xfId="6306"/>
    <cellStyle name="Accent5 2" xfId="6307"/>
    <cellStyle name="Accent6 2" xfId="6308"/>
    <cellStyle name="Akzent1" xfId="6309"/>
    <cellStyle name="Akzent1 10" xfId="6310"/>
    <cellStyle name="Akzent1 10 2" xfId="6311"/>
    <cellStyle name="Akzent1 100" xfId="6312"/>
    <cellStyle name="Akzent1 101" xfId="6313"/>
    <cellStyle name="Akzent1 102" xfId="6314"/>
    <cellStyle name="Akzent1 103" xfId="6315"/>
    <cellStyle name="Akzent1 104" xfId="6316"/>
    <cellStyle name="Akzent1 105" xfId="6317"/>
    <cellStyle name="Akzent1 106" xfId="6318"/>
    <cellStyle name="Akzent1 107" xfId="6319"/>
    <cellStyle name="Akzent1 108" xfId="6320"/>
    <cellStyle name="Akzent1 109" xfId="6321"/>
    <cellStyle name="Akzent1 11" xfId="6322"/>
    <cellStyle name="Akzent1 11 2" xfId="6323"/>
    <cellStyle name="Akzent1 110" xfId="6324"/>
    <cellStyle name="Akzent1 111" xfId="6325"/>
    <cellStyle name="Akzent1 112" xfId="6326"/>
    <cellStyle name="Akzent1 113" xfId="6327"/>
    <cellStyle name="Akzent1 114" xfId="6328"/>
    <cellStyle name="Akzent1 115" xfId="6329"/>
    <cellStyle name="Akzent1 116" xfId="6330"/>
    <cellStyle name="Akzent1 117" xfId="6331"/>
    <cellStyle name="Akzent1 118" xfId="6332"/>
    <cellStyle name="Akzent1 119" xfId="6333"/>
    <cellStyle name="Akzent1 12" xfId="6334"/>
    <cellStyle name="Akzent1 12 2" xfId="6335"/>
    <cellStyle name="Akzent1 120" xfId="6336"/>
    <cellStyle name="Akzent1 121" xfId="6337"/>
    <cellStyle name="Akzent1 122" xfId="6338"/>
    <cellStyle name="Akzent1 123" xfId="6339"/>
    <cellStyle name="Akzent1 124" xfId="6340"/>
    <cellStyle name="Akzent1 125" xfId="6341"/>
    <cellStyle name="Akzent1 126" xfId="6342"/>
    <cellStyle name="Akzent1 127" xfId="6343"/>
    <cellStyle name="Akzent1 128" xfId="6344"/>
    <cellStyle name="Akzent1 129" xfId="6345"/>
    <cellStyle name="Akzent1 13" xfId="6346"/>
    <cellStyle name="Akzent1 13 2" xfId="6347"/>
    <cellStyle name="Akzent1 130" xfId="6348"/>
    <cellStyle name="Akzent1 131" xfId="6349"/>
    <cellStyle name="Akzent1 132" xfId="6350"/>
    <cellStyle name="Akzent1 133" xfId="6351"/>
    <cellStyle name="Akzent1 134" xfId="6352"/>
    <cellStyle name="Akzent1 135" xfId="6353"/>
    <cellStyle name="Akzent1 136" xfId="6354"/>
    <cellStyle name="Akzent1 137" xfId="6355"/>
    <cellStyle name="Akzent1 138" xfId="6356"/>
    <cellStyle name="Akzent1 139" xfId="6357"/>
    <cellStyle name="Akzent1 14" xfId="6358"/>
    <cellStyle name="Akzent1 14 2" xfId="6359"/>
    <cellStyle name="Akzent1 140" xfId="6360"/>
    <cellStyle name="Akzent1 141" xfId="6361"/>
    <cellStyle name="Akzent1 142" xfId="6362"/>
    <cellStyle name="Akzent1 143" xfId="6363"/>
    <cellStyle name="Akzent1 144" xfId="6364"/>
    <cellStyle name="Akzent1 145" xfId="6365"/>
    <cellStyle name="Akzent1 146" xfId="6366"/>
    <cellStyle name="Akzent1 147" xfId="6367"/>
    <cellStyle name="Akzent1 148" xfId="6368"/>
    <cellStyle name="Akzent1 149" xfId="6369"/>
    <cellStyle name="Akzent1 15" xfId="6370"/>
    <cellStyle name="Akzent1 150" xfId="6371"/>
    <cellStyle name="Akzent1 151" xfId="6372"/>
    <cellStyle name="Akzent1 16" xfId="6373"/>
    <cellStyle name="Akzent1 17" xfId="6374"/>
    <cellStyle name="Akzent1 18" xfId="6375"/>
    <cellStyle name="Akzent1 19" xfId="6376"/>
    <cellStyle name="Akzent1 2" xfId="6377"/>
    <cellStyle name="Akzent1 2 2" xfId="6378"/>
    <cellStyle name="Akzent1 20" xfId="6379"/>
    <cellStyle name="Akzent1 21" xfId="6380"/>
    <cellStyle name="Akzent1 22" xfId="6381"/>
    <cellStyle name="Akzent1 23" xfId="6382"/>
    <cellStyle name="Akzent1 24" xfId="6383"/>
    <cellStyle name="Akzent1 25" xfId="6384"/>
    <cellStyle name="Akzent1 26" xfId="6385"/>
    <cellStyle name="Akzent1 27" xfId="6386"/>
    <cellStyle name="Akzent1 28" xfId="6387"/>
    <cellStyle name="Akzent1 29" xfId="6388"/>
    <cellStyle name="Akzent1 3" xfId="6389"/>
    <cellStyle name="Akzent1 3 2" xfId="6390"/>
    <cellStyle name="Akzent1 30" xfId="6391"/>
    <cellStyle name="Akzent1 31" xfId="6392"/>
    <cellStyle name="Akzent1 32" xfId="6393"/>
    <cellStyle name="Akzent1 33" xfId="6394"/>
    <cellStyle name="Akzent1 34" xfId="6395"/>
    <cellStyle name="Akzent1 35" xfId="6396"/>
    <cellStyle name="Akzent1 36" xfId="6397"/>
    <cellStyle name="Akzent1 37" xfId="6398"/>
    <cellStyle name="Akzent1 38" xfId="6399"/>
    <cellStyle name="Akzent1 39" xfId="6400"/>
    <cellStyle name="Akzent1 4" xfId="6401"/>
    <cellStyle name="Akzent1 4 2" xfId="6402"/>
    <cellStyle name="Akzent1 40" xfId="6403"/>
    <cellStyle name="Akzent1 41" xfId="6404"/>
    <cellStyle name="Akzent1 42" xfId="6405"/>
    <cellStyle name="Akzent1 43" xfId="6406"/>
    <cellStyle name="Akzent1 44" xfId="6407"/>
    <cellStyle name="Akzent1 45" xfId="6408"/>
    <cellStyle name="Akzent1 46" xfId="6409"/>
    <cellStyle name="Akzent1 47" xfId="6410"/>
    <cellStyle name="Akzent1 48" xfId="6411"/>
    <cellStyle name="Akzent1 49" xfId="6412"/>
    <cellStyle name="Akzent1 5" xfId="6413"/>
    <cellStyle name="Akzent1 5 2" xfId="6414"/>
    <cellStyle name="Akzent1 50" xfId="6415"/>
    <cellStyle name="Akzent1 51" xfId="6416"/>
    <cellStyle name="Akzent1 52" xfId="6417"/>
    <cellStyle name="Akzent1 53" xfId="6418"/>
    <cellStyle name="Akzent1 54" xfId="6419"/>
    <cellStyle name="Akzent1 55" xfId="6420"/>
    <cellStyle name="Akzent1 56" xfId="6421"/>
    <cellStyle name="Akzent1 57" xfId="6422"/>
    <cellStyle name="Akzent1 58" xfId="6423"/>
    <cellStyle name="Akzent1 59" xfId="6424"/>
    <cellStyle name="Akzent1 6" xfId="6425"/>
    <cellStyle name="Akzent1 6 2" xfId="6426"/>
    <cellStyle name="Akzent1 60" xfId="6427"/>
    <cellStyle name="Akzent1 61" xfId="6428"/>
    <cellStyle name="Akzent1 62" xfId="6429"/>
    <cellStyle name="Akzent1 63" xfId="6430"/>
    <cellStyle name="Akzent1 64" xfId="6431"/>
    <cellStyle name="Akzent1 65" xfId="6432"/>
    <cellStyle name="Akzent1 66" xfId="6433"/>
    <cellStyle name="Akzent1 67" xfId="6434"/>
    <cellStyle name="Akzent1 68" xfId="6435"/>
    <cellStyle name="Akzent1 69" xfId="6436"/>
    <cellStyle name="Akzent1 7" xfId="6437"/>
    <cellStyle name="Akzent1 7 2" xfId="6438"/>
    <cellStyle name="Akzent1 70" xfId="6439"/>
    <cellStyle name="Akzent1 71" xfId="6440"/>
    <cellStyle name="Akzent1 72" xfId="6441"/>
    <cellStyle name="Akzent1 73" xfId="6442"/>
    <cellStyle name="Akzent1 74" xfId="6443"/>
    <cellStyle name="Akzent1 75" xfId="6444"/>
    <cellStyle name="Akzent1 76" xfId="6445"/>
    <cellStyle name="Akzent1 77" xfId="6446"/>
    <cellStyle name="Akzent1 78" xfId="6447"/>
    <cellStyle name="Akzent1 79" xfId="6448"/>
    <cellStyle name="Akzent1 8" xfId="6449"/>
    <cellStyle name="Akzent1 8 2" xfId="6450"/>
    <cellStyle name="Akzent1 80" xfId="6451"/>
    <cellStyle name="Akzent1 81" xfId="6452"/>
    <cellStyle name="Akzent1 82" xfId="6453"/>
    <cellStyle name="Akzent1 83" xfId="6454"/>
    <cellStyle name="Akzent1 84" xfId="6455"/>
    <cellStyle name="Akzent1 85" xfId="6456"/>
    <cellStyle name="Akzent1 86" xfId="6457"/>
    <cellStyle name="Akzent1 87" xfId="6458"/>
    <cellStyle name="Akzent1 88" xfId="6459"/>
    <cellStyle name="Akzent1 89" xfId="6460"/>
    <cellStyle name="Akzent1 9" xfId="6461"/>
    <cellStyle name="Akzent1 9 2" xfId="6462"/>
    <cellStyle name="Akzent1 90" xfId="6463"/>
    <cellStyle name="Akzent1 91" xfId="6464"/>
    <cellStyle name="Akzent1 92" xfId="6465"/>
    <cellStyle name="Akzent1 93" xfId="6466"/>
    <cellStyle name="Akzent1 94" xfId="6467"/>
    <cellStyle name="Akzent1 95" xfId="6468"/>
    <cellStyle name="Akzent1 96" xfId="6469"/>
    <cellStyle name="Akzent1 97" xfId="6470"/>
    <cellStyle name="Akzent1 98" xfId="6471"/>
    <cellStyle name="Akzent1 99" xfId="6472"/>
    <cellStyle name="Akzent2" xfId="6473"/>
    <cellStyle name="Akzent2 10" xfId="6474"/>
    <cellStyle name="Akzent2 10 2" xfId="6475"/>
    <cellStyle name="Akzent2 100" xfId="6476"/>
    <cellStyle name="Akzent2 101" xfId="6477"/>
    <cellStyle name="Akzent2 102" xfId="6478"/>
    <cellStyle name="Akzent2 103" xfId="6479"/>
    <cellStyle name="Akzent2 104" xfId="6480"/>
    <cellStyle name="Akzent2 105" xfId="6481"/>
    <cellStyle name="Akzent2 106" xfId="6482"/>
    <cellStyle name="Akzent2 107" xfId="6483"/>
    <cellStyle name="Akzent2 108" xfId="6484"/>
    <cellStyle name="Akzent2 109" xfId="6485"/>
    <cellStyle name="Akzent2 11" xfId="6486"/>
    <cellStyle name="Akzent2 11 2" xfId="6487"/>
    <cellStyle name="Akzent2 110" xfId="6488"/>
    <cellStyle name="Akzent2 111" xfId="6489"/>
    <cellStyle name="Akzent2 112" xfId="6490"/>
    <cellStyle name="Akzent2 113" xfId="6491"/>
    <cellStyle name="Akzent2 114" xfId="6492"/>
    <cellStyle name="Akzent2 115" xfId="6493"/>
    <cellStyle name="Akzent2 116" xfId="6494"/>
    <cellStyle name="Akzent2 117" xfId="6495"/>
    <cellStyle name="Akzent2 118" xfId="6496"/>
    <cellStyle name="Akzent2 119" xfId="6497"/>
    <cellStyle name="Akzent2 12" xfId="6498"/>
    <cellStyle name="Akzent2 12 2" xfId="6499"/>
    <cellStyle name="Akzent2 120" xfId="6500"/>
    <cellStyle name="Akzent2 121" xfId="6501"/>
    <cellStyle name="Akzent2 122" xfId="6502"/>
    <cellStyle name="Akzent2 123" xfId="6503"/>
    <cellStyle name="Akzent2 124" xfId="6504"/>
    <cellStyle name="Akzent2 125" xfId="6505"/>
    <cellStyle name="Akzent2 126" xfId="6506"/>
    <cellStyle name="Akzent2 127" xfId="6507"/>
    <cellStyle name="Akzent2 128" xfId="6508"/>
    <cellStyle name="Akzent2 129" xfId="6509"/>
    <cellStyle name="Akzent2 13" xfId="6510"/>
    <cellStyle name="Akzent2 13 2" xfId="6511"/>
    <cellStyle name="Akzent2 130" xfId="6512"/>
    <cellStyle name="Akzent2 131" xfId="6513"/>
    <cellStyle name="Akzent2 132" xfId="6514"/>
    <cellStyle name="Akzent2 133" xfId="6515"/>
    <cellStyle name="Akzent2 134" xfId="6516"/>
    <cellStyle name="Akzent2 135" xfId="6517"/>
    <cellStyle name="Akzent2 136" xfId="6518"/>
    <cellStyle name="Akzent2 137" xfId="6519"/>
    <cellStyle name="Akzent2 138" xfId="6520"/>
    <cellStyle name="Akzent2 139" xfId="6521"/>
    <cellStyle name="Akzent2 14" xfId="6522"/>
    <cellStyle name="Akzent2 14 2" xfId="6523"/>
    <cellStyle name="Akzent2 140" xfId="6524"/>
    <cellStyle name="Akzent2 141" xfId="6525"/>
    <cellStyle name="Akzent2 142" xfId="6526"/>
    <cellStyle name="Akzent2 143" xfId="6527"/>
    <cellStyle name="Akzent2 144" xfId="6528"/>
    <cellStyle name="Akzent2 145" xfId="6529"/>
    <cellStyle name="Akzent2 146" xfId="6530"/>
    <cellStyle name="Akzent2 147" xfId="6531"/>
    <cellStyle name="Akzent2 148" xfId="6532"/>
    <cellStyle name="Akzent2 149" xfId="6533"/>
    <cellStyle name="Akzent2 15" xfId="6534"/>
    <cellStyle name="Akzent2 150" xfId="6535"/>
    <cellStyle name="Akzent2 151" xfId="6536"/>
    <cellStyle name="Akzent2 16" xfId="6537"/>
    <cellStyle name="Akzent2 17" xfId="6538"/>
    <cellStyle name="Akzent2 18" xfId="6539"/>
    <cellStyle name="Akzent2 19" xfId="6540"/>
    <cellStyle name="Akzent2 2" xfId="6541"/>
    <cellStyle name="Akzent2 2 2" xfId="6542"/>
    <cellStyle name="Akzent2 20" xfId="6543"/>
    <cellStyle name="Akzent2 21" xfId="6544"/>
    <cellStyle name="Akzent2 22" xfId="6545"/>
    <cellStyle name="Akzent2 23" xfId="6546"/>
    <cellStyle name="Akzent2 24" xfId="6547"/>
    <cellStyle name="Akzent2 25" xfId="6548"/>
    <cellStyle name="Akzent2 26" xfId="6549"/>
    <cellStyle name="Akzent2 27" xfId="6550"/>
    <cellStyle name="Akzent2 28" xfId="6551"/>
    <cellStyle name="Akzent2 29" xfId="6552"/>
    <cellStyle name="Akzent2 3" xfId="6553"/>
    <cellStyle name="Akzent2 3 2" xfId="6554"/>
    <cellStyle name="Akzent2 30" xfId="6555"/>
    <cellStyle name="Akzent2 31" xfId="6556"/>
    <cellStyle name="Akzent2 32" xfId="6557"/>
    <cellStyle name="Akzent2 33" xfId="6558"/>
    <cellStyle name="Akzent2 34" xfId="6559"/>
    <cellStyle name="Akzent2 35" xfId="6560"/>
    <cellStyle name="Akzent2 36" xfId="6561"/>
    <cellStyle name="Akzent2 37" xfId="6562"/>
    <cellStyle name="Akzent2 38" xfId="6563"/>
    <cellStyle name="Akzent2 39" xfId="6564"/>
    <cellStyle name="Akzent2 4" xfId="6565"/>
    <cellStyle name="Akzent2 4 2" xfId="6566"/>
    <cellStyle name="Akzent2 40" xfId="6567"/>
    <cellStyle name="Akzent2 41" xfId="6568"/>
    <cellStyle name="Akzent2 42" xfId="6569"/>
    <cellStyle name="Akzent2 43" xfId="6570"/>
    <cellStyle name="Akzent2 44" xfId="6571"/>
    <cellStyle name="Akzent2 45" xfId="6572"/>
    <cellStyle name="Akzent2 46" xfId="6573"/>
    <cellStyle name="Akzent2 47" xfId="6574"/>
    <cellStyle name="Akzent2 48" xfId="6575"/>
    <cellStyle name="Akzent2 49" xfId="6576"/>
    <cellStyle name="Akzent2 5" xfId="6577"/>
    <cellStyle name="Akzent2 5 2" xfId="6578"/>
    <cellStyle name="Akzent2 50" xfId="6579"/>
    <cellStyle name="Akzent2 51" xfId="6580"/>
    <cellStyle name="Akzent2 52" xfId="6581"/>
    <cellStyle name="Akzent2 53" xfId="6582"/>
    <cellStyle name="Akzent2 54" xfId="6583"/>
    <cellStyle name="Akzent2 55" xfId="6584"/>
    <cellStyle name="Akzent2 56" xfId="6585"/>
    <cellStyle name="Akzent2 57" xfId="6586"/>
    <cellStyle name="Akzent2 58" xfId="6587"/>
    <cellStyle name="Akzent2 59" xfId="6588"/>
    <cellStyle name="Akzent2 6" xfId="6589"/>
    <cellStyle name="Akzent2 6 2" xfId="6590"/>
    <cellStyle name="Akzent2 60" xfId="6591"/>
    <cellStyle name="Akzent2 61" xfId="6592"/>
    <cellStyle name="Akzent2 62" xfId="6593"/>
    <cellStyle name="Akzent2 63" xfId="6594"/>
    <cellStyle name="Akzent2 64" xfId="6595"/>
    <cellStyle name="Akzent2 65" xfId="6596"/>
    <cellStyle name="Akzent2 66" xfId="6597"/>
    <cellStyle name="Akzent2 67" xfId="6598"/>
    <cellStyle name="Akzent2 68" xfId="6599"/>
    <cellStyle name="Akzent2 69" xfId="6600"/>
    <cellStyle name="Akzent2 7" xfId="6601"/>
    <cellStyle name="Akzent2 7 2" xfId="6602"/>
    <cellStyle name="Akzent2 70" xfId="6603"/>
    <cellStyle name="Akzent2 71" xfId="6604"/>
    <cellStyle name="Akzent2 72" xfId="6605"/>
    <cellStyle name="Akzent2 73" xfId="6606"/>
    <cellStyle name="Akzent2 74" xfId="6607"/>
    <cellStyle name="Akzent2 75" xfId="6608"/>
    <cellStyle name="Akzent2 76" xfId="6609"/>
    <cellStyle name="Akzent2 77" xfId="6610"/>
    <cellStyle name="Akzent2 78" xfId="6611"/>
    <cellStyle name="Akzent2 79" xfId="6612"/>
    <cellStyle name="Akzent2 8" xfId="6613"/>
    <cellStyle name="Akzent2 8 2" xfId="6614"/>
    <cellStyle name="Akzent2 80" xfId="6615"/>
    <cellStyle name="Akzent2 81" xfId="6616"/>
    <cellStyle name="Akzent2 82" xfId="6617"/>
    <cellStyle name="Akzent2 83" xfId="6618"/>
    <cellStyle name="Akzent2 84" xfId="6619"/>
    <cellStyle name="Akzent2 85" xfId="6620"/>
    <cellStyle name="Akzent2 86" xfId="6621"/>
    <cellStyle name="Akzent2 87" xfId="6622"/>
    <cellStyle name="Akzent2 88" xfId="6623"/>
    <cellStyle name="Akzent2 89" xfId="6624"/>
    <cellStyle name="Akzent2 9" xfId="6625"/>
    <cellStyle name="Akzent2 9 2" xfId="6626"/>
    <cellStyle name="Akzent2 90" xfId="6627"/>
    <cellStyle name="Akzent2 91" xfId="6628"/>
    <cellStyle name="Akzent2 92" xfId="6629"/>
    <cellStyle name="Akzent2 93" xfId="6630"/>
    <cellStyle name="Akzent2 94" xfId="6631"/>
    <cellStyle name="Akzent2 95" xfId="6632"/>
    <cellStyle name="Akzent2 96" xfId="6633"/>
    <cellStyle name="Akzent2 97" xfId="6634"/>
    <cellStyle name="Akzent2 98" xfId="6635"/>
    <cellStyle name="Akzent2 99" xfId="6636"/>
    <cellStyle name="Akzent3" xfId="6637"/>
    <cellStyle name="Akzent3 10" xfId="6638"/>
    <cellStyle name="Akzent3 10 2" xfId="6639"/>
    <cellStyle name="Akzent3 100" xfId="6640"/>
    <cellStyle name="Akzent3 101" xfId="6641"/>
    <cellStyle name="Akzent3 102" xfId="6642"/>
    <cellStyle name="Akzent3 103" xfId="6643"/>
    <cellStyle name="Akzent3 104" xfId="6644"/>
    <cellStyle name="Akzent3 105" xfId="6645"/>
    <cellStyle name="Akzent3 106" xfId="6646"/>
    <cellStyle name="Akzent3 107" xfId="6647"/>
    <cellStyle name="Akzent3 108" xfId="6648"/>
    <cellStyle name="Akzent3 109" xfId="6649"/>
    <cellStyle name="Akzent3 11" xfId="6650"/>
    <cellStyle name="Akzent3 11 2" xfId="6651"/>
    <cellStyle name="Akzent3 110" xfId="6652"/>
    <cellStyle name="Akzent3 111" xfId="6653"/>
    <cellStyle name="Akzent3 112" xfId="6654"/>
    <cellStyle name="Akzent3 113" xfId="6655"/>
    <cellStyle name="Akzent3 114" xfId="6656"/>
    <cellStyle name="Akzent3 115" xfId="6657"/>
    <cellStyle name="Akzent3 116" xfId="6658"/>
    <cellStyle name="Akzent3 117" xfId="6659"/>
    <cellStyle name="Akzent3 118" xfId="6660"/>
    <cellStyle name="Akzent3 119" xfId="6661"/>
    <cellStyle name="Akzent3 12" xfId="6662"/>
    <cellStyle name="Akzent3 12 2" xfId="6663"/>
    <cellStyle name="Akzent3 120" xfId="6664"/>
    <cellStyle name="Akzent3 121" xfId="6665"/>
    <cellStyle name="Akzent3 122" xfId="6666"/>
    <cellStyle name="Akzent3 123" xfId="6667"/>
    <cellStyle name="Akzent3 124" xfId="6668"/>
    <cellStyle name="Akzent3 125" xfId="6669"/>
    <cellStyle name="Akzent3 126" xfId="6670"/>
    <cellStyle name="Akzent3 127" xfId="6671"/>
    <cellStyle name="Akzent3 128" xfId="6672"/>
    <cellStyle name="Akzent3 129" xfId="6673"/>
    <cellStyle name="Akzent3 13" xfId="6674"/>
    <cellStyle name="Akzent3 13 2" xfId="6675"/>
    <cellStyle name="Akzent3 130" xfId="6676"/>
    <cellStyle name="Akzent3 131" xfId="6677"/>
    <cellStyle name="Akzent3 132" xfId="6678"/>
    <cellStyle name="Akzent3 133" xfId="6679"/>
    <cellStyle name="Akzent3 134" xfId="6680"/>
    <cellStyle name="Akzent3 135" xfId="6681"/>
    <cellStyle name="Akzent3 136" xfId="6682"/>
    <cellStyle name="Akzent3 137" xfId="6683"/>
    <cellStyle name="Akzent3 138" xfId="6684"/>
    <cellStyle name="Akzent3 139" xfId="6685"/>
    <cellStyle name="Akzent3 14" xfId="6686"/>
    <cellStyle name="Akzent3 14 2" xfId="6687"/>
    <cellStyle name="Akzent3 140" xfId="6688"/>
    <cellStyle name="Akzent3 141" xfId="6689"/>
    <cellStyle name="Akzent3 142" xfId="6690"/>
    <cellStyle name="Akzent3 143" xfId="6691"/>
    <cellStyle name="Akzent3 144" xfId="6692"/>
    <cellStyle name="Akzent3 145" xfId="6693"/>
    <cellStyle name="Akzent3 146" xfId="6694"/>
    <cellStyle name="Akzent3 147" xfId="6695"/>
    <cellStyle name="Akzent3 148" xfId="6696"/>
    <cellStyle name="Akzent3 149" xfId="6697"/>
    <cellStyle name="Akzent3 15" xfId="6698"/>
    <cellStyle name="Akzent3 150" xfId="6699"/>
    <cellStyle name="Akzent3 151" xfId="6700"/>
    <cellStyle name="Akzent3 16" xfId="6701"/>
    <cellStyle name="Akzent3 17" xfId="6702"/>
    <cellStyle name="Akzent3 18" xfId="6703"/>
    <cellStyle name="Akzent3 19" xfId="6704"/>
    <cellStyle name="Akzent3 2" xfId="6705"/>
    <cellStyle name="Akzent3 2 2" xfId="6706"/>
    <cellStyle name="Akzent3 20" xfId="6707"/>
    <cellStyle name="Akzent3 21" xfId="6708"/>
    <cellStyle name="Akzent3 22" xfId="6709"/>
    <cellStyle name="Akzent3 23" xfId="6710"/>
    <cellStyle name="Akzent3 24" xfId="6711"/>
    <cellStyle name="Akzent3 25" xfId="6712"/>
    <cellStyle name="Akzent3 26" xfId="6713"/>
    <cellStyle name="Akzent3 27" xfId="6714"/>
    <cellStyle name="Akzent3 28" xfId="6715"/>
    <cellStyle name="Akzent3 29" xfId="6716"/>
    <cellStyle name="Akzent3 3" xfId="6717"/>
    <cellStyle name="Akzent3 3 2" xfId="6718"/>
    <cellStyle name="Akzent3 30" xfId="6719"/>
    <cellStyle name="Akzent3 31" xfId="6720"/>
    <cellStyle name="Akzent3 32" xfId="6721"/>
    <cellStyle name="Akzent3 33" xfId="6722"/>
    <cellStyle name="Akzent3 34" xfId="6723"/>
    <cellStyle name="Akzent3 35" xfId="6724"/>
    <cellStyle name="Akzent3 36" xfId="6725"/>
    <cellStyle name="Akzent3 37" xfId="6726"/>
    <cellStyle name="Akzent3 38" xfId="6727"/>
    <cellStyle name="Akzent3 39" xfId="6728"/>
    <cellStyle name="Akzent3 4" xfId="6729"/>
    <cellStyle name="Akzent3 4 2" xfId="6730"/>
    <cellStyle name="Akzent3 40" xfId="6731"/>
    <cellStyle name="Akzent3 41" xfId="6732"/>
    <cellStyle name="Akzent3 42" xfId="6733"/>
    <cellStyle name="Akzent3 43" xfId="6734"/>
    <cellStyle name="Akzent3 44" xfId="6735"/>
    <cellStyle name="Akzent3 45" xfId="6736"/>
    <cellStyle name="Akzent3 46" xfId="6737"/>
    <cellStyle name="Akzent3 47" xfId="6738"/>
    <cellStyle name="Akzent3 48" xfId="6739"/>
    <cellStyle name="Akzent3 49" xfId="6740"/>
    <cellStyle name="Akzent3 5" xfId="6741"/>
    <cellStyle name="Akzent3 5 2" xfId="6742"/>
    <cellStyle name="Akzent3 50" xfId="6743"/>
    <cellStyle name="Akzent3 51" xfId="6744"/>
    <cellStyle name="Akzent3 52" xfId="6745"/>
    <cellStyle name="Akzent3 53" xfId="6746"/>
    <cellStyle name="Akzent3 54" xfId="6747"/>
    <cellStyle name="Akzent3 55" xfId="6748"/>
    <cellStyle name="Akzent3 56" xfId="6749"/>
    <cellStyle name="Akzent3 57" xfId="6750"/>
    <cellStyle name="Akzent3 58" xfId="6751"/>
    <cellStyle name="Akzent3 59" xfId="6752"/>
    <cellStyle name="Akzent3 6" xfId="6753"/>
    <cellStyle name="Akzent3 6 2" xfId="6754"/>
    <cellStyle name="Akzent3 60" xfId="6755"/>
    <cellStyle name="Akzent3 61" xfId="6756"/>
    <cellStyle name="Akzent3 62" xfId="6757"/>
    <cellStyle name="Akzent3 63" xfId="6758"/>
    <cellStyle name="Akzent3 64" xfId="6759"/>
    <cellStyle name="Akzent3 65" xfId="6760"/>
    <cellStyle name="Akzent3 66" xfId="6761"/>
    <cellStyle name="Akzent3 67" xfId="6762"/>
    <cellStyle name="Akzent3 68" xfId="6763"/>
    <cellStyle name="Akzent3 69" xfId="6764"/>
    <cellStyle name="Akzent3 7" xfId="6765"/>
    <cellStyle name="Akzent3 7 2" xfId="6766"/>
    <cellStyle name="Akzent3 70" xfId="6767"/>
    <cellStyle name="Akzent3 71" xfId="6768"/>
    <cellStyle name="Akzent3 72" xfId="6769"/>
    <cellStyle name="Akzent3 73" xfId="6770"/>
    <cellStyle name="Akzent3 74" xfId="6771"/>
    <cellStyle name="Akzent3 75" xfId="6772"/>
    <cellStyle name="Akzent3 76" xfId="6773"/>
    <cellStyle name="Akzent3 77" xfId="6774"/>
    <cellStyle name="Akzent3 78" xfId="6775"/>
    <cellStyle name="Akzent3 79" xfId="6776"/>
    <cellStyle name="Akzent3 8" xfId="6777"/>
    <cellStyle name="Akzent3 8 2" xfId="6778"/>
    <cellStyle name="Akzent3 80" xfId="6779"/>
    <cellStyle name="Akzent3 81" xfId="6780"/>
    <cellStyle name="Akzent3 82" xfId="6781"/>
    <cellStyle name="Akzent3 83" xfId="6782"/>
    <cellStyle name="Akzent3 84" xfId="6783"/>
    <cellStyle name="Akzent3 85" xfId="6784"/>
    <cellStyle name="Akzent3 86" xfId="6785"/>
    <cellStyle name="Akzent3 87" xfId="6786"/>
    <cellStyle name="Akzent3 88" xfId="6787"/>
    <cellStyle name="Akzent3 89" xfId="6788"/>
    <cellStyle name="Akzent3 9" xfId="6789"/>
    <cellStyle name="Akzent3 9 2" xfId="6790"/>
    <cellStyle name="Akzent3 90" xfId="6791"/>
    <cellStyle name="Akzent3 91" xfId="6792"/>
    <cellStyle name="Akzent3 92" xfId="6793"/>
    <cellStyle name="Akzent3 93" xfId="6794"/>
    <cellStyle name="Akzent3 94" xfId="6795"/>
    <cellStyle name="Akzent3 95" xfId="6796"/>
    <cellStyle name="Akzent3 96" xfId="6797"/>
    <cellStyle name="Akzent3 97" xfId="6798"/>
    <cellStyle name="Akzent3 98" xfId="6799"/>
    <cellStyle name="Akzent3 99" xfId="6800"/>
    <cellStyle name="Akzent4" xfId="6801"/>
    <cellStyle name="Akzent4 10" xfId="6802"/>
    <cellStyle name="Akzent4 10 2" xfId="6803"/>
    <cellStyle name="Akzent4 100" xfId="6804"/>
    <cellStyle name="Akzent4 101" xfId="6805"/>
    <cellStyle name="Akzent4 102" xfId="6806"/>
    <cellStyle name="Akzent4 103" xfId="6807"/>
    <cellStyle name="Akzent4 104" xfId="6808"/>
    <cellStyle name="Akzent4 105" xfId="6809"/>
    <cellStyle name="Akzent4 106" xfId="6810"/>
    <cellStyle name="Akzent4 107" xfId="6811"/>
    <cellStyle name="Akzent4 108" xfId="6812"/>
    <cellStyle name="Akzent4 109" xfId="6813"/>
    <cellStyle name="Akzent4 11" xfId="6814"/>
    <cellStyle name="Akzent4 11 2" xfId="6815"/>
    <cellStyle name="Akzent4 110" xfId="6816"/>
    <cellStyle name="Akzent4 111" xfId="6817"/>
    <cellStyle name="Akzent4 112" xfId="6818"/>
    <cellStyle name="Akzent4 113" xfId="6819"/>
    <cellStyle name="Akzent4 114" xfId="6820"/>
    <cellStyle name="Akzent4 115" xfId="6821"/>
    <cellStyle name="Akzent4 116" xfId="6822"/>
    <cellStyle name="Akzent4 117" xfId="6823"/>
    <cellStyle name="Akzent4 118" xfId="6824"/>
    <cellStyle name="Akzent4 119" xfId="6825"/>
    <cellStyle name="Akzent4 12" xfId="6826"/>
    <cellStyle name="Akzent4 12 2" xfId="6827"/>
    <cellStyle name="Akzent4 120" xfId="6828"/>
    <cellStyle name="Akzent4 121" xfId="6829"/>
    <cellStyle name="Akzent4 122" xfId="6830"/>
    <cellStyle name="Akzent4 123" xfId="6831"/>
    <cellStyle name="Akzent4 124" xfId="6832"/>
    <cellStyle name="Akzent4 125" xfId="6833"/>
    <cellStyle name="Akzent4 126" xfId="6834"/>
    <cellStyle name="Akzent4 127" xfId="6835"/>
    <cellStyle name="Akzent4 128" xfId="6836"/>
    <cellStyle name="Akzent4 129" xfId="6837"/>
    <cellStyle name="Akzent4 13" xfId="6838"/>
    <cellStyle name="Akzent4 13 2" xfId="6839"/>
    <cellStyle name="Akzent4 130" xfId="6840"/>
    <cellStyle name="Akzent4 131" xfId="6841"/>
    <cellStyle name="Akzent4 132" xfId="6842"/>
    <cellStyle name="Akzent4 133" xfId="6843"/>
    <cellStyle name="Akzent4 134" xfId="6844"/>
    <cellStyle name="Akzent4 135" xfId="6845"/>
    <cellStyle name="Akzent4 136" xfId="6846"/>
    <cellStyle name="Akzent4 137" xfId="6847"/>
    <cellStyle name="Akzent4 138" xfId="6848"/>
    <cellStyle name="Akzent4 139" xfId="6849"/>
    <cellStyle name="Akzent4 14" xfId="6850"/>
    <cellStyle name="Akzent4 14 2" xfId="6851"/>
    <cellStyle name="Akzent4 140" xfId="6852"/>
    <cellStyle name="Akzent4 141" xfId="6853"/>
    <cellStyle name="Akzent4 142" xfId="6854"/>
    <cellStyle name="Akzent4 143" xfId="6855"/>
    <cellStyle name="Akzent4 144" xfId="6856"/>
    <cellStyle name="Akzent4 145" xfId="6857"/>
    <cellStyle name="Akzent4 146" xfId="6858"/>
    <cellStyle name="Akzent4 147" xfId="6859"/>
    <cellStyle name="Akzent4 148" xfId="6860"/>
    <cellStyle name="Akzent4 149" xfId="6861"/>
    <cellStyle name="Akzent4 15" xfId="6862"/>
    <cellStyle name="Akzent4 150" xfId="6863"/>
    <cellStyle name="Akzent4 151" xfId="6864"/>
    <cellStyle name="Akzent4 16" xfId="6865"/>
    <cellStyle name="Akzent4 17" xfId="6866"/>
    <cellStyle name="Akzent4 18" xfId="6867"/>
    <cellStyle name="Akzent4 19" xfId="6868"/>
    <cellStyle name="Akzent4 2" xfId="6869"/>
    <cellStyle name="Akzent4 2 2" xfId="6870"/>
    <cellStyle name="Akzent4 20" xfId="6871"/>
    <cellStyle name="Akzent4 21" xfId="6872"/>
    <cellStyle name="Akzent4 22" xfId="6873"/>
    <cellStyle name="Akzent4 23" xfId="6874"/>
    <cellStyle name="Akzent4 24" xfId="6875"/>
    <cellStyle name="Akzent4 25" xfId="6876"/>
    <cellStyle name="Akzent4 26" xfId="6877"/>
    <cellStyle name="Akzent4 27" xfId="6878"/>
    <cellStyle name="Akzent4 28" xfId="6879"/>
    <cellStyle name="Akzent4 29" xfId="6880"/>
    <cellStyle name="Akzent4 3" xfId="6881"/>
    <cellStyle name="Akzent4 3 2" xfId="6882"/>
    <cellStyle name="Akzent4 30" xfId="6883"/>
    <cellStyle name="Akzent4 31" xfId="6884"/>
    <cellStyle name="Akzent4 32" xfId="6885"/>
    <cellStyle name="Akzent4 33" xfId="6886"/>
    <cellStyle name="Akzent4 34" xfId="6887"/>
    <cellStyle name="Akzent4 35" xfId="6888"/>
    <cellStyle name="Akzent4 36" xfId="6889"/>
    <cellStyle name="Akzent4 37" xfId="6890"/>
    <cellStyle name="Akzent4 38" xfId="6891"/>
    <cellStyle name="Akzent4 39" xfId="6892"/>
    <cellStyle name="Akzent4 4" xfId="6893"/>
    <cellStyle name="Akzent4 4 2" xfId="6894"/>
    <cellStyle name="Akzent4 40" xfId="6895"/>
    <cellStyle name="Akzent4 41" xfId="6896"/>
    <cellStyle name="Akzent4 42" xfId="6897"/>
    <cellStyle name="Akzent4 43" xfId="6898"/>
    <cellStyle name="Akzent4 44" xfId="6899"/>
    <cellStyle name="Akzent4 45" xfId="6900"/>
    <cellStyle name="Akzent4 46" xfId="6901"/>
    <cellStyle name="Akzent4 47" xfId="6902"/>
    <cellStyle name="Akzent4 48" xfId="6903"/>
    <cellStyle name="Akzent4 49" xfId="6904"/>
    <cellStyle name="Akzent4 5" xfId="6905"/>
    <cellStyle name="Akzent4 5 2" xfId="6906"/>
    <cellStyle name="Akzent4 50" xfId="6907"/>
    <cellStyle name="Akzent4 51" xfId="6908"/>
    <cellStyle name="Akzent4 52" xfId="6909"/>
    <cellStyle name="Akzent4 53" xfId="6910"/>
    <cellStyle name="Akzent4 54" xfId="6911"/>
    <cellStyle name="Akzent4 55" xfId="6912"/>
    <cellStyle name="Akzent4 56" xfId="6913"/>
    <cellStyle name="Akzent4 57" xfId="6914"/>
    <cellStyle name="Akzent4 58" xfId="6915"/>
    <cellStyle name="Akzent4 59" xfId="6916"/>
    <cellStyle name="Akzent4 6" xfId="6917"/>
    <cellStyle name="Akzent4 6 2" xfId="6918"/>
    <cellStyle name="Akzent4 60" xfId="6919"/>
    <cellStyle name="Akzent4 61" xfId="6920"/>
    <cellStyle name="Akzent4 62" xfId="6921"/>
    <cellStyle name="Akzent4 63" xfId="6922"/>
    <cellStyle name="Akzent4 64" xfId="6923"/>
    <cellStyle name="Akzent4 65" xfId="6924"/>
    <cellStyle name="Akzent4 66" xfId="6925"/>
    <cellStyle name="Akzent4 67" xfId="6926"/>
    <cellStyle name="Akzent4 68" xfId="6927"/>
    <cellStyle name="Akzent4 69" xfId="6928"/>
    <cellStyle name="Akzent4 7" xfId="6929"/>
    <cellStyle name="Akzent4 7 2" xfId="6930"/>
    <cellStyle name="Akzent4 70" xfId="6931"/>
    <cellStyle name="Akzent4 71" xfId="6932"/>
    <cellStyle name="Akzent4 72" xfId="6933"/>
    <cellStyle name="Akzent4 73" xfId="6934"/>
    <cellStyle name="Akzent4 74" xfId="6935"/>
    <cellStyle name="Akzent4 75" xfId="6936"/>
    <cellStyle name="Akzent4 76" xfId="6937"/>
    <cellStyle name="Akzent4 77" xfId="6938"/>
    <cellStyle name="Akzent4 78" xfId="6939"/>
    <cellStyle name="Akzent4 79" xfId="6940"/>
    <cellStyle name="Akzent4 8" xfId="6941"/>
    <cellStyle name="Akzent4 8 2" xfId="6942"/>
    <cellStyle name="Akzent4 80" xfId="6943"/>
    <cellStyle name="Akzent4 81" xfId="6944"/>
    <cellStyle name="Akzent4 82" xfId="6945"/>
    <cellStyle name="Akzent4 83" xfId="6946"/>
    <cellStyle name="Akzent4 84" xfId="6947"/>
    <cellStyle name="Akzent4 85" xfId="6948"/>
    <cellStyle name="Akzent4 86" xfId="6949"/>
    <cellStyle name="Akzent4 87" xfId="6950"/>
    <cellStyle name="Akzent4 88" xfId="6951"/>
    <cellStyle name="Akzent4 89" xfId="6952"/>
    <cellStyle name="Akzent4 9" xfId="6953"/>
    <cellStyle name="Akzent4 9 2" xfId="6954"/>
    <cellStyle name="Akzent4 90" xfId="6955"/>
    <cellStyle name="Akzent4 91" xfId="6956"/>
    <cellStyle name="Akzent4 92" xfId="6957"/>
    <cellStyle name="Akzent4 93" xfId="6958"/>
    <cellStyle name="Akzent4 94" xfId="6959"/>
    <cellStyle name="Akzent4 95" xfId="6960"/>
    <cellStyle name="Akzent4 96" xfId="6961"/>
    <cellStyle name="Akzent4 97" xfId="6962"/>
    <cellStyle name="Akzent4 98" xfId="6963"/>
    <cellStyle name="Akzent4 99" xfId="6964"/>
    <cellStyle name="Akzent5" xfId="6965"/>
    <cellStyle name="Akzent5 10" xfId="6966"/>
    <cellStyle name="Akzent5 100" xfId="6967"/>
    <cellStyle name="Akzent5 101" xfId="6968"/>
    <cellStyle name="Akzent5 102" xfId="6969"/>
    <cellStyle name="Akzent5 103" xfId="6970"/>
    <cellStyle name="Akzent5 104" xfId="6971"/>
    <cellStyle name="Akzent5 105" xfId="6972"/>
    <cellStyle name="Akzent5 106" xfId="6973"/>
    <cellStyle name="Akzent5 107" xfId="6974"/>
    <cellStyle name="Akzent5 11" xfId="6975"/>
    <cellStyle name="Akzent5 12" xfId="6976"/>
    <cellStyle name="Akzent5 13" xfId="6977"/>
    <cellStyle name="Akzent5 14" xfId="6978"/>
    <cellStyle name="Akzent5 15" xfId="6979"/>
    <cellStyle name="Akzent5 16" xfId="6980"/>
    <cellStyle name="Akzent5 17" xfId="6981"/>
    <cellStyle name="Akzent5 18" xfId="6982"/>
    <cellStyle name="Akzent5 19" xfId="6983"/>
    <cellStyle name="Akzent5 2" xfId="6984"/>
    <cellStyle name="Akzent5 20" xfId="6985"/>
    <cellStyle name="Akzent5 21" xfId="6986"/>
    <cellStyle name="Akzent5 22" xfId="6987"/>
    <cellStyle name="Akzent5 23" xfId="6988"/>
    <cellStyle name="Akzent5 24" xfId="6989"/>
    <cellStyle name="Akzent5 25" xfId="6990"/>
    <cellStyle name="Akzent5 26" xfId="6991"/>
    <cellStyle name="Akzent5 27" xfId="6992"/>
    <cellStyle name="Akzent5 28" xfId="6993"/>
    <cellStyle name="Akzent5 29" xfId="6994"/>
    <cellStyle name="Akzent5 3" xfId="6995"/>
    <cellStyle name="Akzent5 30" xfId="6996"/>
    <cellStyle name="Akzent5 31" xfId="6997"/>
    <cellStyle name="Akzent5 32" xfId="6998"/>
    <cellStyle name="Akzent5 33" xfId="6999"/>
    <cellStyle name="Akzent5 34" xfId="7000"/>
    <cellStyle name="Akzent5 35" xfId="7001"/>
    <cellStyle name="Akzent5 36" xfId="7002"/>
    <cellStyle name="Akzent5 37" xfId="7003"/>
    <cellStyle name="Akzent5 38" xfId="7004"/>
    <cellStyle name="Akzent5 39" xfId="7005"/>
    <cellStyle name="Akzent5 4" xfId="7006"/>
    <cellStyle name="Akzent5 40" xfId="7007"/>
    <cellStyle name="Akzent5 41" xfId="7008"/>
    <cellStyle name="Akzent5 42" xfId="7009"/>
    <cellStyle name="Akzent5 43" xfId="7010"/>
    <cellStyle name="Akzent5 44" xfId="7011"/>
    <cellStyle name="Akzent5 45" xfId="7012"/>
    <cellStyle name="Akzent5 46" xfId="7013"/>
    <cellStyle name="Akzent5 47" xfId="7014"/>
    <cellStyle name="Akzent5 48" xfId="7015"/>
    <cellStyle name="Akzent5 49" xfId="7016"/>
    <cellStyle name="Akzent5 5" xfId="7017"/>
    <cellStyle name="Akzent5 50" xfId="7018"/>
    <cellStyle name="Akzent5 51" xfId="7019"/>
    <cellStyle name="Akzent5 52" xfId="7020"/>
    <cellStyle name="Akzent5 53" xfId="7021"/>
    <cellStyle name="Akzent5 54" xfId="7022"/>
    <cellStyle name="Akzent5 55" xfId="7023"/>
    <cellStyle name="Akzent5 56" xfId="7024"/>
    <cellStyle name="Akzent5 57" xfId="7025"/>
    <cellStyle name="Akzent5 58" xfId="7026"/>
    <cellStyle name="Akzent5 59" xfId="7027"/>
    <cellStyle name="Akzent5 6" xfId="7028"/>
    <cellStyle name="Akzent5 60" xfId="7029"/>
    <cellStyle name="Akzent5 61" xfId="7030"/>
    <cellStyle name="Akzent5 62" xfId="7031"/>
    <cellStyle name="Akzent5 63" xfId="7032"/>
    <cellStyle name="Akzent5 64" xfId="7033"/>
    <cellStyle name="Akzent5 65" xfId="7034"/>
    <cellStyle name="Akzent5 66" xfId="7035"/>
    <cellStyle name="Akzent5 67" xfId="7036"/>
    <cellStyle name="Akzent5 68" xfId="7037"/>
    <cellStyle name="Akzent5 69" xfId="7038"/>
    <cellStyle name="Akzent5 7" xfId="7039"/>
    <cellStyle name="Akzent5 70" xfId="7040"/>
    <cellStyle name="Akzent5 71" xfId="7041"/>
    <cellStyle name="Akzent5 72" xfId="7042"/>
    <cellStyle name="Akzent5 73" xfId="7043"/>
    <cellStyle name="Akzent5 74" xfId="7044"/>
    <cellStyle name="Akzent5 75" xfId="7045"/>
    <cellStyle name="Akzent5 76" xfId="7046"/>
    <cellStyle name="Akzent5 77" xfId="7047"/>
    <cellStyle name="Akzent5 78" xfId="7048"/>
    <cellStyle name="Akzent5 79" xfId="7049"/>
    <cellStyle name="Akzent5 8" xfId="7050"/>
    <cellStyle name="Akzent5 80" xfId="7051"/>
    <cellStyle name="Akzent5 81" xfId="7052"/>
    <cellStyle name="Akzent5 82" xfId="7053"/>
    <cellStyle name="Akzent5 83" xfId="7054"/>
    <cellStyle name="Akzent5 84" xfId="7055"/>
    <cellStyle name="Akzent5 85" xfId="7056"/>
    <cellStyle name="Akzent5 86" xfId="7057"/>
    <cellStyle name="Akzent5 87" xfId="7058"/>
    <cellStyle name="Akzent5 88" xfId="7059"/>
    <cellStyle name="Akzent5 89" xfId="7060"/>
    <cellStyle name="Akzent5 9" xfId="7061"/>
    <cellStyle name="Akzent5 90" xfId="7062"/>
    <cellStyle name="Akzent5 91" xfId="7063"/>
    <cellStyle name="Akzent5 92" xfId="7064"/>
    <cellStyle name="Akzent5 93" xfId="7065"/>
    <cellStyle name="Akzent5 94" xfId="7066"/>
    <cellStyle name="Akzent5 95" xfId="7067"/>
    <cellStyle name="Akzent5 96" xfId="7068"/>
    <cellStyle name="Akzent5 97" xfId="7069"/>
    <cellStyle name="Akzent5 98" xfId="7070"/>
    <cellStyle name="Akzent5 99" xfId="7071"/>
    <cellStyle name="Akzent6" xfId="7072"/>
    <cellStyle name="Akzent6 10" xfId="7073"/>
    <cellStyle name="Akzent6 10 2" xfId="7074"/>
    <cellStyle name="Akzent6 100" xfId="7075"/>
    <cellStyle name="Akzent6 101" xfId="7076"/>
    <cellStyle name="Akzent6 102" xfId="7077"/>
    <cellStyle name="Akzent6 103" xfId="7078"/>
    <cellStyle name="Akzent6 104" xfId="7079"/>
    <cellStyle name="Akzent6 105" xfId="7080"/>
    <cellStyle name="Akzent6 106" xfId="7081"/>
    <cellStyle name="Akzent6 107" xfId="7082"/>
    <cellStyle name="Akzent6 108" xfId="7083"/>
    <cellStyle name="Akzent6 109" xfId="7084"/>
    <cellStyle name="Akzent6 11" xfId="7085"/>
    <cellStyle name="Akzent6 11 2" xfId="7086"/>
    <cellStyle name="Akzent6 110" xfId="7087"/>
    <cellStyle name="Akzent6 111" xfId="7088"/>
    <cellStyle name="Akzent6 112" xfId="7089"/>
    <cellStyle name="Akzent6 113" xfId="7090"/>
    <cellStyle name="Akzent6 114" xfId="7091"/>
    <cellStyle name="Akzent6 115" xfId="7092"/>
    <cellStyle name="Akzent6 116" xfId="7093"/>
    <cellStyle name="Akzent6 117" xfId="7094"/>
    <cellStyle name="Akzent6 118" xfId="7095"/>
    <cellStyle name="Akzent6 119" xfId="7096"/>
    <cellStyle name="Akzent6 12" xfId="7097"/>
    <cellStyle name="Akzent6 12 2" xfId="7098"/>
    <cellStyle name="Akzent6 120" xfId="7099"/>
    <cellStyle name="Akzent6 121" xfId="7100"/>
    <cellStyle name="Akzent6 122" xfId="7101"/>
    <cellStyle name="Akzent6 123" xfId="7102"/>
    <cellStyle name="Akzent6 124" xfId="7103"/>
    <cellStyle name="Akzent6 125" xfId="7104"/>
    <cellStyle name="Akzent6 126" xfId="7105"/>
    <cellStyle name="Akzent6 127" xfId="7106"/>
    <cellStyle name="Akzent6 128" xfId="7107"/>
    <cellStyle name="Akzent6 129" xfId="7108"/>
    <cellStyle name="Akzent6 13" xfId="7109"/>
    <cellStyle name="Akzent6 13 2" xfId="7110"/>
    <cellStyle name="Akzent6 130" xfId="7111"/>
    <cellStyle name="Akzent6 131" xfId="7112"/>
    <cellStyle name="Akzent6 132" xfId="7113"/>
    <cellStyle name="Akzent6 133" xfId="7114"/>
    <cellStyle name="Akzent6 134" xfId="7115"/>
    <cellStyle name="Akzent6 135" xfId="7116"/>
    <cellStyle name="Akzent6 136" xfId="7117"/>
    <cellStyle name="Akzent6 137" xfId="7118"/>
    <cellStyle name="Akzent6 138" xfId="7119"/>
    <cellStyle name="Akzent6 139" xfId="7120"/>
    <cellStyle name="Akzent6 14" xfId="7121"/>
    <cellStyle name="Akzent6 14 2" xfId="7122"/>
    <cellStyle name="Akzent6 140" xfId="7123"/>
    <cellStyle name="Akzent6 141" xfId="7124"/>
    <cellStyle name="Akzent6 142" xfId="7125"/>
    <cellStyle name="Akzent6 143" xfId="7126"/>
    <cellStyle name="Akzent6 144" xfId="7127"/>
    <cellStyle name="Akzent6 145" xfId="7128"/>
    <cellStyle name="Akzent6 146" xfId="7129"/>
    <cellStyle name="Akzent6 147" xfId="7130"/>
    <cellStyle name="Akzent6 148" xfId="7131"/>
    <cellStyle name="Akzent6 149" xfId="7132"/>
    <cellStyle name="Akzent6 15" xfId="7133"/>
    <cellStyle name="Akzent6 150" xfId="7134"/>
    <cellStyle name="Akzent6 151" xfId="7135"/>
    <cellStyle name="Akzent6 16" xfId="7136"/>
    <cellStyle name="Akzent6 17" xfId="7137"/>
    <cellStyle name="Akzent6 18" xfId="7138"/>
    <cellStyle name="Akzent6 19" xfId="7139"/>
    <cellStyle name="Akzent6 2" xfId="7140"/>
    <cellStyle name="Akzent6 2 2" xfId="7141"/>
    <cellStyle name="Akzent6 20" xfId="7142"/>
    <cellStyle name="Akzent6 21" xfId="7143"/>
    <cellStyle name="Akzent6 22" xfId="7144"/>
    <cellStyle name="Akzent6 23" xfId="7145"/>
    <cellStyle name="Akzent6 24" xfId="7146"/>
    <cellStyle name="Akzent6 25" xfId="7147"/>
    <cellStyle name="Akzent6 26" xfId="7148"/>
    <cellStyle name="Akzent6 27" xfId="7149"/>
    <cellStyle name="Akzent6 28" xfId="7150"/>
    <cellStyle name="Akzent6 29" xfId="7151"/>
    <cellStyle name="Akzent6 3" xfId="7152"/>
    <cellStyle name="Akzent6 3 2" xfId="7153"/>
    <cellStyle name="Akzent6 30" xfId="7154"/>
    <cellStyle name="Akzent6 31" xfId="7155"/>
    <cellStyle name="Akzent6 32" xfId="7156"/>
    <cellStyle name="Akzent6 33" xfId="7157"/>
    <cellStyle name="Akzent6 34" xfId="7158"/>
    <cellStyle name="Akzent6 35" xfId="7159"/>
    <cellStyle name="Akzent6 36" xfId="7160"/>
    <cellStyle name="Akzent6 37" xfId="7161"/>
    <cellStyle name="Akzent6 38" xfId="7162"/>
    <cellStyle name="Akzent6 39" xfId="7163"/>
    <cellStyle name="Akzent6 4" xfId="7164"/>
    <cellStyle name="Akzent6 4 2" xfId="7165"/>
    <cellStyle name="Akzent6 40" xfId="7166"/>
    <cellStyle name="Akzent6 41" xfId="7167"/>
    <cellStyle name="Akzent6 42" xfId="7168"/>
    <cellStyle name="Akzent6 43" xfId="7169"/>
    <cellStyle name="Akzent6 44" xfId="7170"/>
    <cellStyle name="Akzent6 45" xfId="7171"/>
    <cellStyle name="Akzent6 46" xfId="7172"/>
    <cellStyle name="Akzent6 47" xfId="7173"/>
    <cellStyle name="Akzent6 48" xfId="7174"/>
    <cellStyle name="Akzent6 49" xfId="7175"/>
    <cellStyle name="Akzent6 5" xfId="7176"/>
    <cellStyle name="Akzent6 5 2" xfId="7177"/>
    <cellStyle name="Akzent6 50" xfId="7178"/>
    <cellStyle name="Akzent6 51" xfId="7179"/>
    <cellStyle name="Akzent6 52" xfId="7180"/>
    <cellStyle name="Akzent6 53" xfId="7181"/>
    <cellStyle name="Akzent6 54" xfId="7182"/>
    <cellStyle name="Akzent6 55" xfId="7183"/>
    <cellStyle name="Akzent6 56" xfId="7184"/>
    <cellStyle name="Akzent6 57" xfId="7185"/>
    <cellStyle name="Akzent6 58" xfId="7186"/>
    <cellStyle name="Akzent6 59" xfId="7187"/>
    <cellStyle name="Akzent6 6" xfId="7188"/>
    <cellStyle name="Akzent6 6 2" xfId="7189"/>
    <cellStyle name="Akzent6 60" xfId="7190"/>
    <cellStyle name="Akzent6 61" xfId="7191"/>
    <cellStyle name="Akzent6 62" xfId="7192"/>
    <cellStyle name="Akzent6 63" xfId="7193"/>
    <cellStyle name="Akzent6 64" xfId="7194"/>
    <cellStyle name="Akzent6 65" xfId="7195"/>
    <cellStyle name="Akzent6 66" xfId="7196"/>
    <cellStyle name="Akzent6 67" xfId="7197"/>
    <cellStyle name="Akzent6 68" xfId="7198"/>
    <cellStyle name="Akzent6 69" xfId="7199"/>
    <cellStyle name="Akzent6 7" xfId="7200"/>
    <cellStyle name="Akzent6 7 2" xfId="7201"/>
    <cellStyle name="Akzent6 70" xfId="7202"/>
    <cellStyle name="Akzent6 71" xfId="7203"/>
    <cellStyle name="Akzent6 72" xfId="7204"/>
    <cellStyle name="Akzent6 73" xfId="7205"/>
    <cellStyle name="Akzent6 74" xfId="7206"/>
    <cellStyle name="Akzent6 75" xfId="7207"/>
    <cellStyle name="Akzent6 76" xfId="7208"/>
    <cellStyle name="Akzent6 77" xfId="7209"/>
    <cellStyle name="Akzent6 78" xfId="7210"/>
    <cellStyle name="Akzent6 79" xfId="7211"/>
    <cellStyle name="Akzent6 8" xfId="7212"/>
    <cellStyle name="Akzent6 8 2" xfId="7213"/>
    <cellStyle name="Akzent6 80" xfId="7214"/>
    <cellStyle name="Akzent6 81" xfId="7215"/>
    <cellStyle name="Akzent6 82" xfId="7216"/>
    <cellStyle name="Akzent6 83" xfId="7217"/>
    <cellStyle name="Akzent6 84" xfId="7218"/>
    <cellStyle name="Akzent6 85" xfId="7219"/>
    <cellStyle name="Akzent6 86" xfId="7220"/>
    <cellStyle name="Akzent6 87" xfId="7221"/>
    <cellStyle name="Akzent6 88" xfId="7222"/>
    <cellStyle name="Akzent6 89" xfId="7223"/>
    <cellStyle name="Akzent6 9" xfId="7224"/>
    <cellStyle name="Akzent6 9 2" xfId="7225"/>
    <cellStyle name="Akzent6 90" xfId="7226"/>
    <cellStyle name="Akzent6 91" xfId="7227"/>
    <cellStyle name="Akzent6 92" xfId="7228"/>
    <cellStyle name="Akzent6 93" xfId="7229"/>
    <cellStyle name="Akzent6 94" xfId="7230"/>
    <cellStyle name="Akzent6 95" xfId="7231"/>
    <cellStyle name="Akzent6 96" xfId="7232"/>
    <cellStyle name="Akzent6 97" xfId="7233"/>
    <cellStyle name="Akzent6 98" xfId="7234"/>
    <cellStyle name="Akzent6 99" xfId="7235"/>
    <cellStyle name="Ausgabe" xfId="7236"/>
    <cellStyle name="Ausgabe 10" xfId="7237"/>
    <cellStyle name="Ausgabe 10 2" xfId="7238"/>
    <cellStyle name="Ausgabe 100" xfId="7239"/>
    <cellStyle name="Ausgabe 101" xfId="7240"/>
    <cellStyle name="Ausgabe 102" xfId="7241"/>
    <cellStyle name="Ausgabe 103" xfId="7242"/>
    <cellStyle name="Ausgabe 104" xfId="7243"/>
    <cellStyle name="Ausgabe 105" xfId="7244"/>
    <cellStyle name="Ausgabe 106" xfId="7245"/>
    <cellStyle name="Ausgabe 107" xfId="7246"/>
    <cellStyle name="Ausgabe 108" xfId="7247"/>
    <cellStyle name="Ausgabe 109" xfId="7248"/>
    <cellStyle name="Ausgabe 11" xfId="7249"/>
    <cellStyle name="Ausgabe 11 2" xfId="7250"/>
    <cellStyle name="Ausgabe 110" xfId="7251"/>
    <cellStyle name="Ausgabe 111" xfId="7252"/>
    <cellStyle name="Ausgabe 112" xfId="7253"/>
    <cellStyle name="Ausgabe 113" xfId="7254"/>
    <cellStyle name="Ausgabe 114" xfId="7255"/>
    <cellStyle name="Ausgabe 115" xfId="7256"/>
    <cellStyle name="Ausgabe 116" xfId="7257"/>
    <cellStyle name="Ausgabe 117" xfId="7258"/>
    <cellStyle name="Ausgabe 118" xfId="7259"/>
    <cellStyle name="Ausgabe 119" xfId="7260"/>
    <cellStyle name="Ausgabe 12" xfId="7261"/>
    <cellStyle name="Ausgabe 12 2" xfId="7262"/>
    <cellStyle name="Ausgabe 120" xfId="7263"/>
    <cellStyle name="Ausgabe 121" xfId="7264"/>
    <cellStyle name="Ausgabe 122" xfId="7265"/>
    <cellStyle name="Ausgabe 123" xfId="7266"/>
    <cellStyle name="Ausgabe 124" xfId="7267"/>
    <cellStyle name="Ausgabe 125" xfId="7268"/>
    <cellStyle name="Ausgabe 126" xfId="7269"/>
    <cellStyle name="Ausgabe 127" xfId="7270"/>
    <cellStyle name="Ausgabe 128" xfId="7271"/>
    <cellStyle name="Ausgabe 129" xfId="7272"/>
    <cellStyle name="Ausgabe 13" xfId="7273"/>
    <cellStyle name="Ausgabe 13 2" xfId="7274"/>
    <cellStyle name="Ausgabe 130" xfId="7275"/>
    <cellStyle name="Ausgabe 131" xfId="7276"/>
    <cellStyle name="Ausgabe 132" xfId="7277"/>
    <cellStyle name="Ausgabe 133" xfId="7278"/>
    <cellStyle name="Ausgabe 134" xfId="7279"/>
    <cellStyle name="Ausgabe 135" xfId="7280"/>
    <cellStyle name="Ausgabe 136" xfId="7281"/>
    <cellStyle name="Ausgabe 137" xfId="7282"/>
    <cellStyle name="Ausgabe 138" xfId="7283"/>
    <cellStyle name="Ausgabe 139" xfId="7284"/>
    <cellStyle name="Ausgabe 14" xfId="7285"/>
    <cellStyle name="Ausgabe 14 2" xfId="7286"/>
    <cellStyle name="Ausgabe 140" xfId="7287"/>
    <cellStyle name="Ausgabe 141" xfId="7288"/>
    <cellStyle name="Ausgabe 142" xfId="7289"/>
    <cellStyle name="Ausgabe 143" xfId="7290"/>
    <cellStyle name="Ausgabe 144" xfId="7291"/>
    <cellStyle name="Ausgabe 145" xfId="7292"/>
    <cellStyle name="Ausgabe 146" xfId="7293"/>
    <cellStyle name="Ausgabe 147" xfId="7294"/>
    <cellStyle name="Ausgabe 148" xfId="7295"/>
    <cellStyle name="Ausgabe 149" xfId="7296"/>
    <cellStyle name="Ausgabe 15" xfId="7297"/>
    <cellStyle name="Ausgabe 150" xfId="7298"/>
    <cellStyle name="Ausgabe 151" xfId="7299"/>
    <cellStyle name="Ausgabe 16" xfId="7300"/>
    <cellStyle name="Ausgabe 17" xfId="7301"/>
    <cellStyle name="Ausgabe 18" xfId="7302"/>
    <cellStyle name="Ausgabe 19" xfId="7303"/>
    <cellStyle name="Ausgabe 2" xfId="7304"/>
    <cellStyle name="Ausgabe 2 2" xfId="7305"/>
    <cellStyle name="Ausgabe 20" xfId="7306"/>
    <cellStyle name="Ausgabe 21" xfId="7307"/>
    <cellStyle name="Ausgabe 22" xfId="7308"/>
    <cellStyle name="Ausgabe 23" xfId="7309"/>
    <cellStyle name="Ausgabe 24" xfId="7310"/>
    <cellStyle name="Ausgabe 25" xfId="7311"/>
    <cellStyle name="Ausgabe 26" xfId="7312"/>
    <cellStyle name="Ausgabe 27" xfId="7313"/>
    <cellStyle name="Ausgabe 28" xfId="7314"/>
    <cellStyle name="Ausgabe 29" xfId="7315"/>
    <cellStyle name="Ausgabe 3" xfId="7316"/>
    <cellStyle name="Ausgabe 3 2" xfId="7317"/>
    <cellStyle name="Ausgabe 30" xfId="7318"/>
    <cellStyle name="Ausgabe 31" xfId="7319"/>
    <cellStyle name="Ausgabe 32" xfId="7320"/>
    <cellStyle name="Ausgabe 33" xfId="7321"/>
    <cellStyle name="Ausgabe 34" xfId="7322"/>
    <cellStyle name="Ausgabe 35" xfId="7323"/>
    <cellStyle name="Ausgabe 36" xfId="7324"/>
    <cellStyle name="Ausgabe 37" xfId="7325"/>
    <cellStyle name="Ausgabe 38" xfId="7326"/>
    <cellStyle name="Ausgabe 39" xfId="7327"/>
    <cellStyle name="Ausgabe 4" xfId="7328"/>
    <cellStyle name="Ausgabe 4 2" xfId="7329"/>
    <cellStyle name="Ausgabe 40" xfId="7330"/>
    <cellStyle name="Ausgabe 41" xfId="7331"/>
    <cellStyle name="Ausgabe 42" xfId="7332"/>
    <cellStyle name="Ausgabe 43" xfId="7333"/>
    <cellStyle name="Ausgabe 44" xfId="7334"/>
    <cellStyle name="Ausgabe 45" xfId="7335"/>
    <cellStyle name="Ausgabe 46" xfId="7336"/>
    <cellStyle name="Ausgabe 47" xfId="7337"/>
    <cellStyle name="Ausgabe 48" xfId="7338"/>
    <cellStyle name="Ausgabe 49" xfId="7339"/>
    <cellStyle name="Ausgabe 5" xfId="7340"/>
    <cellStyle name="Ausgabe 5 2" xfId="7341"/>
    <cellStyle name="Ausgabe 50" xfId="7342"/>
    <cellStyle name="Ausgabe 51" xfId="7343"/>
    <cellStyle name="Ausgabe 52" xfId="7344"/>
    <cellStyle name="Ausgabe 53" xfId="7345"/>
    <cellStyle name="Ausgabe 54" xfId="7346"/>
    <cellStyle name="Ausgabe 55" xfId="7347"/>
    <cellStyle name="Ausgabe 56" xfId="7348"/>
    <cellStyle name="Ausgabe 57" xfId="7349"/>
    <cellStyle name="Ausgabe 58" xfId="7350"/>
    <cellStyle name="Ausgabe 59" xfId="7351"/>
    <cellStyle name="Ausgabe 6" xfId="7352"/>
    <cellStyle name="Ausgabe 6 2" xfId="7353"/>
    <cellStyle name="Ausgabe 60" xfId="7354"/>
    <cellStyle name="Ausgabe 61" xfId="7355"/>
    <cellStyle name="Ausgabe 62" xfId="7356"/>
    <cellStyle name="Ausgabe 63" xfId="7357"/>
    <cellStyle name="Ausgabe 64" xfId="7358"/>
    <cellStyle name="Ausgabe 65" xfId="7359"/>
    <cellStyle name="Ausgabe 66" xfId="7360"/>
    <cellStyle name="Ausgabe 67" xfId="7361"/>
    <cellStyle name="Ausgabe 68" xfId="7362"/>
    <cellStyle name="Ausgabe 69" xfId="7363"/>
    <cellStyle name="Ausgabe 7" xfId="7364"/>
    <cellStyle name="Ausgabe 7 2" xfId="7365"/>
    <cellStyle name="Ausgabe 70" xfId="7366"/>
    <cellStyle name="Ausgabe 71" xfId="7367"/>
    <cellStyle name="Ausgabe 72" xfId="7368"/>
    <cellStyle name="Ausgabe 73" xfId="7369"/>
    <cellStyle name="Ausgabe 74" xfId="7370"/>
    <cellStyle name="Ausgabe 75" xfId="7371"/>
    <cellStyle name="Ausgabe 76" xfId="7372"/>
    <cellStyle name="Ausgabe 77" xfId="7373"/>
    <cellStyle name="Ausgabe 78" xfId="7374"/>
    <cellStyle name="Ausgabe 79" xfId="7375"/>
    <cellStyle name="Ausgabe 8" xfId="7376"/>
    <cellStyle name="Ausgabe 8 2" xfId="7377"/>
    <cellStyle name="Ausgabe 80" xfId="7378"/>
    <cellStyle name="Ausgabe 81" xfId="7379"/>
    <cellStyle name="Ausgabe 82" xfId="7380"/>
    <cellStyle name="Ausgabe 83" xfId="7381"/>
    <cellStyle name="Ausgabe 84" xfId="7382"/>
    <cellStyle name="Ausgabe 85" xfId="7383"/>
    <cellStyle name="Ausgabe 86" xfId="7384"/>
    <cellStyle name="Ausgabe 87" xfId="7385"/>
    <cellStyle name="Ausgabe 88" xfId="7386"/>
    <cellStyle name="Ausgabe 89" xfId="7387"/>
    <cellStyle name="Ausgabe 9" xfId="7388"/>
    <cellStyle name="Ausgabe 9 2" xfId="7389"/>
    <cellStyle name="Ausgabe 90" xfId="7390"/>
    <cellStyle name="Ausgabe 91" xfId="7391"/>
    <cellStyle name="Ausgabe 92" xfId="7392"/>
    <cellStyle name="Ausgabe 93" xfId="7393"/>
    <cellStyle name="Ausgabe 94" xfId="7394"/>
    <cellStyle name="Ausgabe 95" xfId="7395"/>
    <cellStyle name="Ausgabe 96" xfId="7396"/>
    <cellStyle name="Ausgabe 97" xfId="7397"/>
    <cellStyle name="Ausgabe 98" xfId="7398"/>
    <cellStyle name="Ausgabe 99" xfId="7399"/>
    <cellStyle name="Bad 2" xfId="7400"/>
    <cellStyle name="Berechnung" xfId="7401"/>
    <cellStyle name="Berechnung 10" xfId="7402"/>
    <cellStyle name="Berechnung 10 2" xfId="7403"/>
    <cellStyle name="Berechnung 100" xfId="7404"/>
    <cellStyle name="Berechnung 101" xfId="7405"/>
    <cellStyle name="Berechnung 102" xfId="7406"/>
    <cellStyle name="Berechnung 103" xfId="7407"/>
    <cellStyle name="Berechnung 104" xfId="7408"/>
    <cellStyle name="Berechnung 105" xfId="7409"/>
    <cellStyle name="Berechnung 106" xfId="7410"/>
    <cellStyle name="Berechnung 107" xfId="7411"/>
    <cellStyle name="Berechnung 108" xfId="7412"/>
    <cellStyle name="Berechnung 109" xfId="7413"/>
    <cellStyle name="Berechnung 11" xfId="7414"/>
    <cellStyle name="Berechnung 11 2" xfId="7415"/>
    <cellStyle name="Berechnung 110" xfId="7416"/>
    <cellStyle name="Berechnung 111" xfId="7417"/>
    <cellStyle name="Berechnung 112" xfId="7418"/>
    <cellStyle name="Berechnung 113" xfId="7419"/>
    <cellStyle name="Berechnung 114" xfId="7420"/>
    <cellStyle name="Berechnung 115" xfId="7421"/>
    <cellStyle name="Berechnung 116" xfId="7422"/>
    <cellStyle name="Berechnung 117" xfId="7423"/>
    <cellStyle name="Berechnung 118" xfId="7424"/>
    <cellStyle name="Berechnung 119" xfId="7425"/>
    <cellStyle name="Berechnung 12" xfId="7426"/>
    <cellStyle name="Berechnung 12 2" xfId="7427"/>
    <cellStyle name="Berechnung 120" xfId="7428"/>
    <cellStyle name="Berechnung 121" xfId="7429"/>
    <cellStyle name="Berechnung 122" xfId="7430"/>
    <cellStyle name="Berechnung 123" xfId="7431"/>
    <cellStyle name="Berechnung 124" xfId="7432"/>
    <cellStyle name="Berechnung 125" xfId="7433"/>
    <cellStyle name="Berechnung 126" xfId="7434"/>
    <cellStyle name="Berechnung 127" xfId="7435"/>
    <cellStyle name="Berechnung 128" xfId="7436"/>
    <cellStyle name="Berechnung 129" xfId="7437"/>
    <cellStyle name="Berechnung 13" xfId="7438"/>
    <cellStyle name="Berechnung 13 2" xfId="7439"/>
    <cellStyle name="Berechnung 130" xfId="7440"/>
    <cellStyle name="Berechnung 131" xfId="7441"/>
    <cellStyle name="Berechnung 132" xfId="7442"/>
    <cellStyle name="Berechnung 133" xfId="7443"/>
    <cellStyle name="Berechnung 134" xfId="7444"/>
    <cellStyle name="Berechnung 135" xfId="7445"/>
    <cellStyle name="Berechnung 136" xfId="7446"/>
    <cellStyle name="Berechnung 137" xfId="7447"/>
    <cellStyle name="Berechnung 138" xfId="7448"/>
    <cellStyle name="Berechnung 139" xfId="7449"/>
    <cellStyle name="Berechnung 14" xfId="7450"/>
    <cellStyle name="Berechnung 14 2" xfId="7451"/>
    <cellStyle name="Berechnung 140" xfId="7452"/>
    <cellStyle name="Berechnung 141" xfId="7453"/>
    <cellStyle name="Berechnung 142" xfId="7454"/>
    <cellStyle name="Berechnung 143" xfId="7455"/>
    <cellStyle name="Berechnung 144" xfId="7456"/>
    <cellStyle name="Berechnung 145" xfId="7457"/>
    <cellStyle name="Berechnung 146" xfId="7458"/>
    <cellStyle name="Berechnung 147" xfId="7459"/>
    <cellStyle name="Berechnung 148" xfId="7460"/>
    <cellStyle name="Berechnung 149" xfId="7461"/>
    <cellStyle name="Berechnung 15" xfId="7462"/>
    <cellStyle name="Berechnung 150" xfId="7463"/>
    <cellStyle name="Berechnung 151" xfId="7464"/>
    <cellStyle name="Berechnung 16" xfId="7465"/>
    <cellStyle name="Berechnung 17" xfId="7466"/>
    <cellStyle name="Berechnung 18" xfId="7467"/>
    <cellStyle name="Berechnung 19" xfId="7468"/>
    <cellStyle name="Berechnung 2" xfId="7469"/>
    <cellStyle name="Berechnung 2 2" xfId="7470"/>
    <cellStyle name="Berechnung 20" xfId="7471"/>
    <cellStyle name="Berechnung 21" xfId="7472"/>
    <cellStyle name="Berechnung 22" xfId="7473"/>
    <cellStyle name="Berechnung 23" xfId="7474"/>
    <cellStyle name="Berechnung 24" xfId="7475"/>
    <cellStyle name="Berechnung 25" xfId="7476"/>
    <cellStyle name="Berechnung 26" xfId="7477"/>
    <cellStyle name="Berechnung 27" xfId="7478"/>
    <cellStyle name="Berechnung 28" xfId="7479"/>
    <cellStyle name="Berechnung 29" xfId="7480"/>
    <cellStyle name="Berechnung 3" xfId="7481"/>
    <cellStyle name="Berechnung 3 2" xfId="7482"/>
    <cellStyle name="Berechnung 30" xfId="7483"/>
    <cellStyle name="Berechnung 31" xfId="7484"/>
    <cellStyle name="Berechnung 32" xfId="7485"/>
    <cellStyle name="Berechnung 33" xfId="7486"/>
    <cellStyle name="Berechnung 34" xfId="7487"/>
    <cellStyle name="Berechnung 35" xfId="7488"/>
    <cellStyle name="Berechnung 36" xfId="7489"/>
    <cellStyle name="Berechnung 37" xfId="7490"/>
    <cellStyle name="Berechnung 38" xfId="7491"/>
    <cellStyle name="Berechnung 39" xfId="7492"/>
    <cellStyle name="Berechnung 4" xfId="7493"/>
    <cellStyle name="Berechnung 4 2" xfId="7494"/>
    <cellStyle name="Berechnung 40" xfId="7495"/>
    <cellStyle name="Berechnung 41" xfId="7496"/>
    <cellStyle name="Berechnung 42" xfId="7497"/>
    <cellStyle name="Berechnung 43" xfId="7498"/>
    <cellStyle name="Berechnung 44" xfId="7499"/>
    <cellStyle name="Berechnung 45" xfId="7500"/>
    <cellStyle name="Berechnung 46" xfId="7501"/>
    <cellStyle name="Berechnung 47" xfId="7502"/>
    <cellStyle name="Berechnung 48" xfId="7503"/>
    <cellStyle name="Berechnung 49" xfId="7504"/>
    <cellStyle name="Berechnung 5" xfId="7505"/>
    <cellStyle name="Berechnung 5 2" xfId="7506"/>
    <cellStyle name="Berechnung 50" xfId="7507"/>
    <cellStyle name="Berechnung 51" xfId="7508"/>
    <cellStyle name="Berechnung 52" xfId="7509"/>
    <cellStyle name="Berechnung 53" xfId="7510"/>
    <cellStyle name="Berechnung 54" xfId="7511"/>
    <cellStyle name="Berechnung 55" xfId="7512"/>
    <cellStyle name="Berechnung 56" xfId="7513"/>
    <cellStyle name="Berechnung 57" xfId="7514"/>
    <cellStyle name="Berechnung 58" xfId="7515"/>
    <cellStyle name="Berechnung 59" xfId="7516"/>
    <cellStyle name="Berechnung 6" xfId="7517"/>
    <cellStyle name="Berechnung 6 2" xfId="7518"/>
    <cellStyle name="Berechnung 60" xfId="7519"/>
    <cellStyle name="Berechnung 61" xfId="7520"/>
    <cellStyle name="Berechnung 62" xfId="7521"/>
    <cellStyle name="Berechnung 63" xfId="7522"/>
    <cellStyle name="Berechnung 64" xfId="7523"/>
    <cellStyle name="Berechnung 65" xfId="7524"/>
    <cellStyle name="Berechnung 66" xfId="7525"/>
    <cellStyle name="Berechnung 67" xfId="7526"/>
    <cellStyle name="Berechnung 68" xfId="7527"/>
    <cellStyle name="Berechnung 69" xfId="7528"/>
    <cellStyle name="Berechnung 7" xfId="7529"/>
    <cellStyle name="Berechnung 7 2" xfId="7530"/>
    <cellStyle name="Berechnung 70" xfId="7531"/>
    <cellStyle name="Berechnung 71" xfId="7532"/>
    <cellStyle name="Berechnung 72" xfId="7533"/>
    <cellStyle name="Berechnung 73" xfId="7534"/>
    <cellStyle name="Berechnung 74" xfId="7535"/>
    <cellStyle name="Berechnung 75" xfId="7536"/>
    <cellStyle name="Berechnung 76" xfId="7537"/>
    <cellStyle name="Berechnung 77" xfId="7538"/>
    <cellStyle name="Berechnung 78" xfId="7539"/>
    <cellStyle name="Berechnung 79" xfId="7540"/>
    <cellStyle name="Berechnung 8" xfId="7541"/>
    <cellStyle name="Berechnung 8 2" xfId="7542"/>
    <cellStyle name="Berechnung 80" xfId="7543"/>
    <cellStyle name="Berechnung 81" xfId="7544"/>
    <cellStyle name="Berechnung 82" xfId="7545"/>
    <cellStyle name="Berechnung 83" xfId="7546"/>
    <cellStyle name="Berechnung 84" xfId="7547"/>
    <cellStyle name="Berechnung 85" xfId="7548"/>
    <cellStyle name="Berechnung 86" xfId="7549"/>
    <cellStyle name="Berechnung 87" xfId="7550"/>
    <cellStyle name="Berechnung 88" xfId="7551"/>
    <cellStyle name="Berechnung 89" xfId="7552"/>
    <cellStyle name="Berechnung 9" xfId="7553"/>
    <cellStyle name="Berechnung 9 2" xfId="7554"/>
    <cellStyle name="Berechnung 90" xfId="7555"/>
    <cellStyle name="Berechnung 91" xfId="7556"/>
    <cellStyle name="Berechnung 92" xfId="7557"/>
    <cellStyle name="Berechnung 93" xfId="7558"/>
    <cellStyle name="Berechnung 94" xfId="7559"/>
    <cellStyle name="Berechnung 95" xfId="7560"/>
    <cellStyle name="Berechnung 96" xfId="7561"/>
    <cellStyle name="Berechnung 97" xfId="7562"/>
    <cellStyle name="Berechnung 98" xfId="7563"/>
    <cellStyle name="Berechnung 99" xfId="7564"/>
    <cellStyle name="Calculation 2" xfId="7565"/>
    <cellStyle name="Check Cell 2" xfId="7566"/>
    <cellStyle name="Comma 10" xfId="7567"/>
    <cellStyle name="Comma 10 2" xfId="7568"/>
    <cellStyle name="Comma 2" xfId="7569"/>
    <cellStyle name="Comma 2 2" xfId="7570"/>
    <cellStyle name="Comma 2 2 2" xfId="7571"/>
    <cellStyle name="Comma 2 2 2 2" xfId="7572"/>
    <cellStyle name="Comma 2 2 3" xfId="7573"/>
    <cellStyle name="Comma 2 3" xfId="7574"/>
    <cellStyle name="Comma 2 3 2" xfId="7575"/>
    <cellStyle name="Comma 2 4" xfId="7576"/>
    <cellStyle name="Comma 3" xfId="7577"/>
    <cellStyle name="Comma 3 2" xfId="7578"/>
    <cellStyle name="Comma 3 2 2" xfId="7579"/>
    <cellStyle name="Comma 3 3" xfId="7580"/>
    <cellStyle name="Comma 4" xfId="7581"/>
    <cellStyle name="Comma 5" xfId="7582"/>
    <cellStyle name="Comma 5 2" xfId="7583"/>
    <cellStyle name="Comma 53" xfId="7584"/>
    <cellStyle name="Comma 53 2" xfId="7585"/>
    <cellStyle name="Comma 53 2 2" xfId="7586"/>
    <cellStyle name="Comma 53 3" xfId="7587"/>
    <cellStyle name="Comma 59" xfId="7588"/>
    <cellStyle name="Comma 59 2" xfId="7589"/>
    <cellStyle name="Comma 59 2 2" xfId="7590"/>
    <cellStyle name="Comma 59 3" xfId="7591"/>
    <cellStyle name="Comma 8" xfId="7592"/>
    <cellStyle name="Comma 8 2" xfId="7593"/>
    <cellStyle name="Comma 9" xfId="7594"/>
    <cellStyle name="Comma 9 2" xfId="7595"/>
    <cellStyle name="Datum" xfId="7596"/>
    <cellStyle name="Datum 10" xfId="7597"/>
    <cellStyle name="Datum 11" xfId="7598"/>
    <cellStyle name="Datum 12" xfId="7599"/>
    <cellStyle name="Datum 8" xfId="7600"/>
    <cellStyle name="Datum 9" xfId="7601"/>
    <cellStyle name="Dezimal (0)" xfId="7602"/>
    <cellStyle name="Dezimal (0,00)" xfId="7603"/>
    <cellStyle name="Dezimal (0,00__)" xfId="7604"/>
    <cellStyle name="Dezimal (0__)" xfId="7605"/>
    <cellStyle name="Dezimal 2" xfId="7606"/>
    <cellStyle name="Dezimal 2 2" xfId="7607"/>
    <cellStyle name="Dezimal 2 2 2" xfId="7608"/>
    <cellStyle name="Dezimal 2 3" xfId="7609"/>
    <cellStyle name="Dezimal 3" xfId="7610"/>
    <cellStyle name="Dezimal 3 2" xfId="7611"/>
    <cellStyle name="Dezimal 3 3" xfId="7612"/>
    <cellStyle name="Dezimal 4" xfId="7613"/>
    <cellStyle name="Dezimal 4 2" xfId="7614"/>
    <cellStyle name="Dezimal 4 3" xfId="7615"/>
    <cellStyle name="Dezimal 5" xfId="7616"/>
    <cellStyle name="Dezimal 6" xfId="7617"/>
    <cellStyle name="Dollar (0)" xfId="7618"/>
    <cellStyle name="Dollar (0,00)" xfId="7619"/>
    <cellStyle name="Eingabe" xfId="7620"/>
    <cellStyle name="Eingabe 10" xfId="7621"/>
    <cellStyle name="Eingabe 10 2" xfId="7622"/>
    <cellStyle name="Eingabe 100" xfId="7623"/>
    <cellStyle name="Eingabe 101" xfId="7624"/>
    <cellStyle name="Eingabe 102" xfId="7625"/>
    <cellStyle name="Eingabe 103" xfId="7626"/>
    <cellStyle name="Eingabe 104" xfId="7627"/>
    <cellStyle name="Eingabe 105" xfId="7628"/>
    <cellStyle name="Eingabe 106" xfId="7629"/>
    <cellStyle name="Eingabe 107" xfId="7630"/>
    <cellStyle name="Eingabe 108" xfId="7631"/>
    <cellStyle name="Eingabe 109" xfId="7632"/>
    <cellStyle name="Eingabe 11" xfId="7633"/>
    <cellStyle name="Eingabe 11 2" xfId="7634"/>
    <cellStyle name="Eingabe 110" xfId="7635"/>
    <cellStyle name="Eingabe 111" xfId="7636"/>
    <cellStyle name="Eingabe 112" xfId="7637"/>
    <cellStyle name="Eingabe 113" xfId="7638"/>
    <cellStyle name="Eingabe 114" xfId="7639"/>
    <cellStyle name="Eingabe 115" xfId="7640"/>
    <cellStyle name="Eingabe 116" xfId="7641"/>
    <cellStyle name="Eingabe 117" xfId="7642"/>
    <cellStyle name="Eingabe 118" xfId="7643"/>
    <cellStyle name="Eingabe 119" xfId="7644"/>
    <cellStyle name="Eingabe 12" xfId="7645"/>
    <cellStyle name="Eingabe 12 2" xfId="7646"/>
    <cellStyle name="Eingabe 120" xfId="7647"/>
    <cellStyle name="Eingabe 121" xfId="7648"/>
    <cellStyle name="Eingabe 122" xfId="7649"/>
    <cellStyle name="Eingabe 123" xfId="7650"/>
    <cellStyle name="Eingabe 124" xfId="7651"/>
    <cellStyle name="Eingabe 125" xfId="7652"/>
    <cellStyle name="Eingabe 126" xfId="7653"/>
    <cellStyle name="Eingabe 127" xfId="7654"/>
    <cellStyle name="Eingabe 128" xfId="7655"/>
    <cellStyle name="Eingabe 129" xfId="7656"/>
    <cellStyle name="Eingabe 13" xfId="7657"/>
    <cellStyle name="Eingabe 13 2" xfId="7658"/>
    <cellStyle name="Eingabe 130" xfId="7659"/>
    <cellStyle name="Eingabe 131" xfId="7660"/>
    <cellStyle name="Eingabe 132" xfId="7661"/>
    <cellStyle name="Eingabe 133" xfId="7662"/>
    <cellStyle name="Eingabe 134" xfId="7663"/>
    <cellStyle name="Eingabe 135" xfId="7664"/>
    <cellStyle name="Eingabe 136" xfId="7665"/>
    <cellStyle name="Eingabe 137" xfId="7666"/>
    <cellStyle name="Eingabe 138" xfId="7667"/>
    <cellStyle name="Eingabe 139" xfId="7668"/>
    <cellStyle name="Eingabe 14" xfId="7669"/>
    <cellStyle name="Eingabe 14 2" xfId="7670"/>
    <cellStyle name="Eingabe 140" xfId="7671"/>
    <cellStyle name="Eingabe 141" xfId="7672"/>
    <cellStyle name="Eingabe 142" xfId="7673"/>
    <cellStyle name="Eingabe 143" xfId="7674"/>
    <cellStyle name="Eingabe 144" xfId="7675"/>
    <cellStyle name="Eingabe 145" xfId="7676"/>
    <cellStyle name="Eingabe 146" xfId="7677"/>
    <cellStyle name="Eingabe 147" xfId="7678"/>
    <cellStyle name="Eingabe 148" xfId="7679"/>
    <cellStyle name="Eingabe 149" xfId="7680"/>
    <cellStyle name="Eingabe 15" xfId="7681"/>
    <cellStyle name="Eingabe 150" xfId="7682"/>
    <cellStyle name="Eingabe 151" xfId="7683"/>
    <cellStyle name="Eingabe 16" xfId="7684"/>
    <cellStyle name="Eingabe 17" xfId="7685"/>
    <cellStyle name="Eingabe 18" xfId="7686"/>
    <cellStyle name="Eingabe 19" xfId="7687"/>
    <cellStyle name="Eingabe 2" xfId="7688"/>
    <cellStyle name="Eingabe 2 2" xfId="7689"/>
    <cellStyle name="Eingabe 20" xfId="7690"/>
    <cellStyle name="Eingabe 21" xfId="7691"/>
    <cellStyle name="Eingabe 22" xfId="7692"/>
    <cellStyle name="Eingabe 23" xfId="7693"/>
    <cellStyle name="Eingabe 24" xfId="7694"/>
    <cellStyle name="Eingabe 25" xfId="7695"/>
    <cellStyle name="Eingabe 26" xfId="7696"/>
    <cellStyle name="Eingabe 27" xfId="7697"/>
    <cellStyle name="Eingabe 28" xfId="7698"/>
    <cellStyle name="Eingabe 29" xfId="7699"/>
    <cellStyle name="Eingabe 3" xfId="7700"/>
    <cellStyle name="Eingabe 3 2" xfId="7701"/>
    <cellStyle name="Eingabe 30" xfId="7702"/>
    <cellStyle name="Eingabe 31" xfId="7703"/>
    <cellStyle name="Eingabe 32" xfId="7704"/>
    <cellStyle name="Eingabe 33" xfId="7705"/>
    <cellStyle name="Eingabe 34" xfId="7706"/>
    <cellStyle name="Eingabe 35" xfId="7707"/>
    <cellStyle name="Eingabe 36" xfId="7708"/>
    <cellStyle name="Eingabe 37" xfId="7709"/>
    <cellStyle name="Eingabe 38" xfId="7710"/>
    <cellStyle name="Eingabe 39" xfId="7711"/>
    <cellStyle name="Eingabe 4" xfId="7712"/>
    <cellStyle name="Eingabe 4 2" xfId="7713"/>
    <cellStyle name="Eingabe 40" xfId="7714"/>
    <cellStyle name="Eingabe 41" xfId="7715"/>
    <cellStyle name="Eingabe 42" xfId="7716"/>
    <cellStyle name="Eingabe 43" xfId="7717"/>
    <cellStyle name="Eingabe 44" xfId="7718"/>
    <cellStyle name="Eingabe 45" xfId="7719"/>
    <cellStyle name="Eingabe 46" xfId="7720"/>
    <cellStyle name="Eingabe 47" xfId="7721"/>
    <cellStyle name="Eingabe 48" xfId="7722"/>
    <cellStyle name="Eingabe 49" xfId="7723"/>
    <cellStyle name="Eingabe 5" xfId="7724"/>
    <cellStyle name="Eingabe 5 2" xfId="7725"/>
    <cellStyle name="Eingabe 50" xfId="7726"/>
    <cellStyle name="Eingabe 51" xfId="7727"/>
    <cellStyle name="Eingabe 52" xfId="7728"/>
    <cellStyle name="Eingabe 53" xfId="7729"/>
    <cellStyle name="Eingabe 54" xfId="7730"/>
    <cellStyle name="Eingabe 55" xfId="7731"/>
    <cellStyle name="Eingabe 56" xfId="7732"/>
    <cellStyle name="Eingabe 57" xfId="7733"/>
    <cellStyle name="Eingabe 58" xfId="7734"/>
    <cellStyle name="Eingabe 59" xfId="7735"/>
    <cellStyle name="Eingabe 6" xfId="7736"/>
    <cellStyle name="Eingabe 6 2" xfId="7737"/>
    <cellStyle name="Eingabe 60" xfId="7738"/>
    <cellStyle name="Eingabe 61" xfId="7739"/>
    <cellStyle name="Eingabe 62" xfId="7740"/>
    <cellStyle name="Eingabe 63" xfId="7741"/>
    <cellStyle name="Eingabe 64" xfId="7742"/>
    <cellStyle name="Eingabe 65" xfId="7743"/>
    <cellStyle name="Eingabe 66" xfId="7744"/>
    <cellStyle name="Eingabe 67" xfId="7745"/>
    <cellStyle name="Eingabe 68" xfId="7746"/>
    <cellStyle name="Eingabe 69" xfId="7747"/>
    <cellStyle name="Eingabe 7" xfId="7748"/>
    <cellStyle name="Eingabe 7 2" xfId="7749"/>
    <cellStyle name="Eingabe 70" xfId="7750"/>
    <cellStyle name="Eingabe 71" xfId="7751"/>
    <cellStyle name="Eingabe 72" xfId="7752"/>
    <cellStyle name="Eingabe 73" xfId="7753"/>
    <cellStyle name="Eingabe 74" xfId="7754"/>
    <cellStyle name="Eingabe 75" xfId="7755"/>
    <cellStyle name="Eingabe 76" xfId="7756"/>
    <cellStyle name="Eingabe 77" xfId="7757"/>
    <cellStyle name="Eingabe 78" xfId="7758"/>
    <cellStyle name="Eingabe 79" xfId="7759"/>
    <cellStyle name="Eingabe 8" xfId="7760"/>
    <cellStyle name="Eingabe 8 2" xfId="7761"/>
    <cellStyle name="Eingabe 80" xfId="7762"/>
    <cellStyle name="Eingabe 81" xfId="7763"/>
    <cellStyle name="Eingabe 82" xfId="7764"/>
    <cellStyle name="Eingabe 83" xfId="7765"/>
    <cellStyle name="Eingabe 84" xfId="7766"/>
    <cellStyle name="Eingabe 85" xfId="7767"/>
    <cellStyle name="Eingabe 86" xfId="7768"/>
    <cellStyle name="Eingabe 87" xfId="7769"/>
    <cellStyle name="Eingabe 88" xfId="7770"/>
    <cellStyle name="Eingabe 89" xfId="7771"/>
    <cellStyle name="Eingabe 9" xfId="7772"/>
    <cellStyle name="Eingabe 9 2" xfId="7773"/>
    <cellStyle name="Eingabe 90" xfId="7774"/>
    <cellStyle name="Eingabe 91" xfId="7775"/>
    <cellStyle name="Eingabe 92" xfId="7776"/>
    <cellStyle name="Eingabe 93" xfId="7777"/>
    <cellStyle name="Eingabe 94" xfId="7778"/>
    <cellStyle name="Eingabe 95" xfId="7779"/>
    <cellStyle name="Eingabe 96" xfId="7780"/>
    <cellStyle name="Eingabe 97" xfId="7781"/>
    <cellStyle name="Eingabe 98" xfId="7782"/>
    <cellStyle name="Eingabe 99" xfId="7783"/>
    <cellStyle name="Ergebnis" xfId="7784"/>
    <cellStyle name="Ergebnis 10" xfId="7785"/>
    <cellStyle name="Ergebnis 10 2" xfId="7786"/>
    <cellStyle name="Ergebnis 100" xfId="7787"/>
    <cellStyle name="Ergebnis 101" xfId="7788"/>
    <cellStyle name="Ergebnis 102" xfId="7789"/>
    <cellStyle name="Ergebnis 103" xfId="7790"/>
    <cellStyle name="Ergebnis 104" xfId="7791"/>
    <cellStyle name="Ergebnis 105" xfId="7792"/>
    <cellStyle name="Ergebnis 106" xfId="7793"/>
    <cellStyle name="Ergebnis 107" xfId="7794"/>
    <cellStyle name="Ergebnis 108" xfId="7795"/>
    <cellStyle name="Ergebnis 109" xfId="7796"/>
    <cellStyle name="Ergebnis 11" xfId="7797"/>
    <cellStyle name="Ergebnis 11 2" xfId="7798"/>
    <cellStyle name="Ergebnis 110" xfId="7799"/>
    <cellStyle name="Ergebnis 111" xfId="7800"/>
    <cellStyle name="Ergebnis 112" xfId="7801"/>
    <cellStyle name="Ergebnis 113" xfId="7802"/>
    <cellStyle name="Ergebnis 114" xfId="7803"/>
    <cellStyle name="Ergebnis 115" xfId="7804"/>
    <cellStyle name="Ergebnis 116" xfId="7805"/>
    <cellStyle name="Ergebnis 117" xfId="7806"/>
    <cellStyle name="Ergebnis 118" xfId="7807"/>
    <cellStyle name="Ergebnis 119" xfId="7808"/>
    <cellStyle name="Ergebnis 12" xfId="7809"/>
    <cellStyle name="Ergebnis 12 2" xfId="7810"/>
    <cellStyle name="Ergebnis 120" xfId="7811"/>
    <cellStyle name="Ergebnis 121" xfId="7812"/>
    <cellStyle name="Ergebnis 122" xfId="7813"/>
    <cellStyle name="Ergebnis 123" xfId="7814"/>
    <cellStyle name="Ergebnis 124" xfId="7815"/>
    <cellStyle name="Ergebnis 125" xfId="7816"/>
    <cellStyle name="Ergebnis 126" xfId="7817"/>
    <cellStyle name="Ergebnis 127" xfId="7818"/>
    <cellStyle name="Ergebnis 128" xfId="7819"/>
    <cellStyle name="Ergebnis 129" xfId="7820"/>
    <cellStyle name="Ergebnis 13" xfId="7821"/>
    <cellStyle name="Ergebnis 13 2" xfId="7822"/>
    <cellStyle name="Ergebnis 130" xfId="7823"/>
    <cellStyle name="Ergebnis 131" xfId="7824"/>
    <cellStyle name="Ergebnis 132" xfId="7825"/>
    <cellStyle name="Ergebnis 133" xfId="7826"/>
    <cellStyle name="Ergebnis 134" xfId="7827"/>
    <cellStyle name="Ergebnis 135" xfId="7828"/>
    <cellStyle name="Ergebnis 136" xfId="7829"/>
    <cellStyle name="Ergebnis 137" xfId="7830"/>
    <cellStyle name="Ergebnis 138" xfId="7831"/>
    <cellStyle name="Ergebnis 139" xfId="7832"/>
    <cellStyle name="Ergebnis 14" xfId="7833"/>
    <cellStyle name="Ergebnis 14 2" xfId="7834"/>
    <cellStyle name="Ergebnis 140" xfId="7835"/>
    <cellStyle name="Ergebnis 141" xfId="7836"/>
    <cellStyle name="Ergebnis 142" xfId="7837"/>
    <cellStyle name="Ergebnis 143" xfId="7838"/>
    <cellStyle name="Ergebnis 144" xfId="7839"/>
    <cellStyle name="Ergebnis 145" xfId="7840"/>
    <cellStyle name="Ergebnis 146" xfId="7841"/>
    <cellStyle name="Ergebnis 147" xfId="7842"/>
    <cellStyle name="Ergebnis 148" xfId="7843"/>
    <cellStyle name="Ergebnis 149" xfId="7844"/>
    <cellStyle name="Ergebnis 15" xfId="7845"/>
    <cellStyle name="Ergebnis 150" xfId="7846"/>
    <cellStyle name="Ergebnis 151" xfId="7847"/>
    <cellStyle name="Ergebnis 16" xfId="7848"/>
    <cellStyle name="Ergebnis 17" xfId="7849"/>
    <cellStyle name="Ergebnis 18" xfId="7850"/>
    <cellStyle name="Ergebnis 19" xfId="7851"/>
    <cellStyle name="Ergebnis 2" xfId="7852"/>
    <cellStyle name="Ergebnis 2 2" xfId="7853"/>
    <cellStyle name="Ergebnis 20" xfId="7854"/>
    <cellStyle name="Ergebnis 21" xfId="7855"/>
    <cellStyle name="Ergebnis 22" xfId="7856"/>
    <cellStyle name="Ergebnis 23" xfId="7857"/>
    <cellStyle name="Ergebnis 24" xfId="7858"/>
    <cellStyle name="Ergebnis 25" xfId="7859"/>
    <cellStyle name="Ergebnis 26" xfId="7860"/>
    <cellStyle name="Ergebnis 27" xfId="7861"/>
    <cellStyle name="Ergebnis 28" xfId="7862"/>
    <cellStyle name="Ergebnis 29" xfId="7863"/>
    <cellStyle name="Ergebnis 3" xfId="7864"/>
    <cellStyle name="Ergebnis 3 2" xfId="7865"/>
    <cellStyle name="Ergebnis 30" xfId="7866"/>
    <cellStyle name="Ergebnis 31" xfId="7867"/>
    <cellStyle name="Ergebnis 32" xfId="7868"/>
    <cellStyle name="Ergebnis 33" xfId="7869"/>
    <cellStyle name="Ergebnis 34" xfId="7870"/>
    <cellStyle name="Ergebnis 35" xfId="7871"/>
    <cellStyle name="Ergebnis 36" xfId="7872"/>
    <cellStyle name="Ergebnis 37" xfId="7873"/>
    <cellStyle name="Ergebnis 38" xfId="7874"/>
    <cellStyle name="Ergebnis 39" xfId="7875"/>
    <cellStyle name="Ergebnis 4" xfId="7876"/>
    <cellStyle name="Ergebnis 4 2" xfId="7877"/>
    <cellStyle name="Ergebnis 40" xfId="7878"/>
    <cellStyle name="Ergebnis 41" xfId="7879"/>
    <cellStyle name="Ergebnis 42" xfId="7880"/>
    <cellStyle name="Ergebnis 43" xfId="7881"/>
    <cellStyle name="Ergebnis 44" xfId="7882"/>
    <cellStyle name="Ergebnis 45" xfId="7883"/>
    <cellStyle name="Ergebnis 46" xfId="7884"/>
    <cellStyle name="Ergebnis 47" xfId="7885"/>
    <cellStyle name="Ergebnis 48" xfId="7886"/>
    <cellStyle name="Ergebnis 49" xfId="7887"/>
    <cellStyle name="Ergebnis 5" xfId="7888"/>
    <cellStyle name="Ergebnis 5 2" xfId="7889"/>
    <cellStyle name="Ergebnis 50" xfId="7890"/>
    <cellStyle name="Ergebnis 51" xfId="7891"/>
    <cellStyle name="Ergebnis 52" xfId="7892"/>
    <cellStyle name="Ergebnis 53" xfId="7893"/>
    <cellStyle name="Ergebnis 54" xfId="7894"/>
    <cellStyle name="Ergebnis 55" xfId="7895"/>
    <cellStyle name="Ergebnis 56" xfId="7896"/>
    <cellStyle name="Ergebnis 57" xfId="7897"/>
    <cellStyle name="Ergebnis 58" xfId="7898"/>
    <cellStyle name="Ergebnis 59" xfId="7899"/>
    <cellStyle name="Ergebnis 6" xfId="7900"/>
    <cellStyle name="Ergebnis 6 2" xfId="7901"/>
    <cellStyle name="Ergebnis 60" xfId="7902"/>
    <cellStyle name="Ergebnis 61" xfId="7903"/>
    <cellStyle name="Ergebnis 62" xfId="7904"/>
    <cellStyle name="Ergebnis 63" xfId="7905"/>
    <cellStyle name="Ergebnis 64" xfId="7906"/>
    <cellStyle name="Ergebnis 65" xfId="7907"/>
    <cellStyle name="Ergebnis 66" xfId="7908"/>
    <cellStyle name="Ergebnis 67" xfId="7909"/>
    <cellStyle name="Ergebnis 68" xfId="7910"/>
    <cellStyle name="Ergebnis 69" xfId="7911"/>
    <cellStyle name="Ergebnis 7" xfId="7912"/>
    <cellStyle name="Ergebnis 7 2" xfId="7913"/>
    <cellStyle name="Ergebnis 70" xfId="7914"/>
    <cellStyle name="Ergebnis 71" xfId="7915"/>
    <cellStyle name="Ergebnis 72" xfId="7916"/>
    <cellStyle name="Ergebnis 73" xfId="7917"/>
    <cellStyle name="Ergebnis 74" xfId="7918"/>
    <cellStyle name="Ergebnis 75" xfId="7919"/>
    <cellStyle name="Ergebnis 76" xfId="7920"/>
    <cellStyle name="Ergebnis 77" xfId="7921"/>
    <cellStyle name="Ergebnis 78" xfId="7922"/>
    <cellStyle name="Ergebnis 79" xfId="7923"/>
    <cellStyle name="Ergebnis 8" xfId="7924"/>
    <cellStyle name="Ergebnis 8 2" xfId="7925"/>
    <cellStyle name="Ergebnis 80" xfId="7926"/>
    <cellStyle name="Ergebnis 81" xfId="7927"/>
    <cellStyle name="Ergebnis 82" xfId="7928"/>
    <cellStyle name="Ergebnis 83" xfId="7929"/>
    <cellStyle name="Ergebnis 84" xfId="7930"/>
    <cellStyle name="Ergebnis 85" xfId="7931"/>
    <cellStyle name="Ergebnis 86" xfId="7932"/>
    <cellStyle name="Ergebnis 87" xfId="7933"/>
    <cellStyle name="Ergebnis 88" xfId="7934"/>
    <cellStyle name="Ergebnis 89" xfId="7935"/>
    <cellStyle name="Ergebnis 9" xfId="7936"/>
    <cellStyle name="Ergebnis 9 2" xfId="7937"/>
    <cellStyle name="Ergebnis 90" xfId="7938"/>
    <cellStyle name="Ergebnis 91" xfId="7939"/>
    <cellStyle name="Ergebnis 92" xfId="7940"/>
    <cellStyle name="Ergebnis 93" xfId="7941"/>
    <cellStyle name="Ergebnis 94" xfId="7942"/>
    <cellStyle name="Ergebnis 95" xfId="7943"/>
    <cellStyle name="Ergebnis 96" xfId="7944"/>
    <cellStyle name="Ergebnis 97" xfId="7945"/>
    <cellStyle name="Ergebnis 98" xfId="7946"/>
    <cellStyle name="Ergebnis 99" xfId="7947"/>
    <cellStyle name="Erklärender Text" xfId="7948"/>
    <cellStyle name="Erklärender Text 10" xfId="7949"/>
    <cellStyle name="Erklärender Text 100" xfId="7950"/>
    <cellStyle name="Erklärender Text 101" xfId="7951"/>
    <cellStyle name="Erklärender Text 102" xfId="7952"/>
    <cellStyle name="Erklärender Text 103" xfId="7953"/>
    <cellStyle name="Erklärender Text 104" xfId="7954"/>
    <cellStyle name="Erklärender Text 105" xfId="7955"/>
    <cellStyle name="Erklärender Text 106" xfId="7956"/>
    <cellStyle name="Erklärender Text 107" xfId="7957"/>
    <cellStyle name="Erklärender Text 11" xfId="7958"/>
    <cellStyle name="Erklärender Text 12" xfId="7959"/>
    <cellStyle name="Erklärender Text 13" xfId="7960"/>
    <cellStyle name="Erklärender Text 14" xfId="7961"/>
    <cellStyle name="Erklärender Text 15" xfId="7962"/>
    <cellStyle name="Erklärender Text 16" xfId="7963"/>
    <cellStyle name="Erklärender Text 17" xfId="7964"/>
    <cellStyle name="Erklärender Text 18" xfId="7965"/>
    <cellStyle name="Erklärender Text 19" xfId="7966"/>
    <cellStyle name="Erklärender Text 2" xfId="7967"/>
    <cellStyle name="Erklärender Text 20" xfId="7968"/>
    <cellStyle name="Erklärender Text 21" xfId="7969"/>
    <cellStyle name="Erklärender Text 22" xfId="7970"/>
    <cellStyle name="Erklärender Text 23" xfId="7971"/>
    <cellStyle name="Erklärender Text 24" xfId="7972"/>
    <cellStyle name="Erklärender Text 25" xfId="7973"/>
    <cellStyle name="Erklärender Text 26" xfId="7974"/>
    <cellStyle name="Erklärender Text 27" xfId="7975"/>
    <cellStyle name="Erklärender Text 28" xfId="7976"/>
    <cellStyle name="Erklärender Text 29" xfId="7977"/>
    <cellStyle name="Erklärender Text 3" xfId="7978"/>
    <cellStyle name="Erklärender Text 30" xfId="7979"/>
    <cellStyle name="Erklärender Text 31" xfId="7980"/>
    <cellStyle name="Erklärender Text 32" xfId="7981"/>
    <cellStyle name="Erklärender Text 33" xfId="7982"/>
    <cellStyle name="Erklärender Text 34" xfId="7983"/>
    <cellStyle name="Erklärender Text 35" xfId="7984"/>
    <cellStyle name="Erklärender Text 36" xfId="7985"/>
    <cellStyle name="Erklärender Text 37" xfId="7986"/>
    <cellStyle name="Erklärender Text 38" xfId="7987"/>
    <cellStyle name="Erklärender Text 39" xfId="7988"/>
    <cellStyle name="Erklärender Text 4" xfId="7989"/>
    <cellStyle name="Erklärender Text 40" xfId="7990"/>
    <cellStyle name="Erklärender Text 41" xfId="7991"/>
    <cellStyle name="Erklärender Text 42" xfId="7992"/>
    <cellStyle name="Erklärender Text 43" xfId="7993"/>
    <cellStyle name="Erklärender Text 44" xfId="7994"/>
    <cellStyle name="Erklärender Text 45" xfId="7995"/>
    <cellStyle name="Erklärender Text 46" xfId="7996"/>
    <cellStyle name="Erklärender Text 47" xfId="7997"/>
    <cellStyle name="Erklärender Text 48" xfId="7998"/>
    <cellStyle name="Erklärender Text 49" xfId="7999"/>
    <cellStyle name="Erklärender Text 5" xfId="8000"/>
    <cellStyle name="Erklärender Text 50" xfId="8001"/>
    <cellStyle name="Erklärender Text 51" xfId="8002"/>
    <cellStyle name="Erklärender Text 52" xfId="8003"/>
    <cellStyle name="Erklärender Text 53" xfId="8004"/>
    <cellStyle name="Erklärender Text 54" xfId="8005"/>
    <cellStyle name="Erklärender Text 55" xfId="8006"/>
    <cellStyle name="Erklärender Text 56" xfId="8007"/>
    <cellStyle name="Erklärender Text 57" xfId="8008"/>
    <cellStyle name="Erklärender Text 58" xfId="8009"/>
    <cellStyle name="Erklärender Text 59" xfId="8010"/>
    <cellStyle name="Erklärender Text 6" xfId="8011"/>
    <cellStyle name="Erklärender Text 60" xfId="8012"/>
    <cellStyle name="Erklärender Text 61" xfId="8013"/>
    <cellStyle name="Erklärender Text 62" xfId="8014"/>
    <cellStyle name="Erklärender Text 63" xfId="8015"/>
    <cellStyle name="Erklärender Text 64" xfId="8016"/>
    <cellStyle name="Erklärender Text 65" xfId="8017"/>
    <cellStyle name="Erklärender Text 66" xfId="8018"/>
    <cellStyle name="Erklärender Text 67" xfId="8019"/>
    <cellStyle name="Erklärender Text 68" xfId="8020"/>
    <cellStyle name="Erklärender Text 69" xfId="8021"/>
    <cellStyle name="Erklärender Text 7" xfId="8022"/>
    <cellStyle name="Erklärender Text 70" xfId="8023"/>
    <cellStyle name="Erklärender Text 71" xfId="8024"/>
    <cellStyle name="Erklärender Text 72" xfId="8025"/>
    <cellStyle name="Erklärender Text 73" xfId="8026"/>
    <cellStyle name="Erklärender Text 74" xfId="8027"/>
    <cellStyle name="Erklärender Text 75" xfId="8028"/>
    <cellStyle name="Erklärender Text 76" xfId="8029"/>
    <cellStyle name="Erklärender Text 77" xfId="8030"/>
    <cellStyle name="Erklärender Text 78" xfId="8031"/>
    <cellStyle name="Erklärender Text 79" xfId="8032"/>
    <cellStyle name="Erklärender Text 8" xfId="8033"/>
    <cellStyle name="Erklärender Text 80" xfId="8034"/>
    <cellStyle name="Erklärender Text 81" xfId="8035"/>
    <cellStyle name="Erklärender Text 82" xfId="8036"/>
    <cellStyle name="Erklärender Text 83" xfId="8037"/>
    <cellStyle name="Erklärender Text 84" xfId="8038"/>
    <cellStyle name="Erklärender Text 85" xfId="8039"/>
    <cellStyle name="Erklärender Text 86" xfId="8040"/>
    <cellStyle name="Erklärender Text 87" xfId="8041"/>
    <cellStyle name="Erklärender Text 88" xfId="8042"/>
    <cellStyle name="Erklärender Text 89" xfId="8043"/>
    <cellStyle name="Erklärender Text 9" xfId="8044"/>
    <cellStyle name="Erklärender Text 90" xfId="8045"/>
    <cellStyle name="Erklärender Text 91" xfId="8046"/>
    <cellStyle name="Erklärender Text 92" xfId="8047"/>
    <cellStyle name="Erklärender Text 93" xfId="8048"/>
    <cellStyle name="Erklärender Text 94" xfId="8049"/>
    <cellStyle name="Erklärender Text 95" xfId="8050"/>
    <cellStyle name="Erklärender Text 96" xfId="8051"/>
    <cellStyle name="Erklärender Text 97" xfId="8052"/>
    <cellStyle name="Erklärender Text 98" xfId="8053"/>
    <cellStyle name="Erklärender Text 99" xfId="8054"/>
    <cellStyle name="Euro" xfId="8055"/>
    <cellStyle name="EURO (0)" xfId="8056"/>
    <cellStyle name="EURO (0,00)" xfId="8057"/>
    <cellStyle name="Euro 2" xfId="8058"/>
    <cellStyle name="Explanatory Text 2" xfId="8059"/>
    <cellStyle name="führ. Null (2)" xfId="8060"/>
    <cellStyle name="führ. Null (3)" xfId="8061"/>
    <cellStyle name="führ. Null (4)" xfId="8062"/>
    <cellStyle name="Funk" xfId="8063"/>
    <cellStyle name="Good 2" xfId="8064"/>
    <cellStyle name="Gut" xfId="8065"/>
    <cellStyle name="Gut 10" xfId="8066"/>
    <cellStyle name="Gut 10 2" xfId="8067"/>
    <cellStyle name="Gut 100" xfId="8068"/>
    <cellStyle name="Gut 101" xfId="8069"/>
    <cellStyle name="Gut 102" xfId="8070"/>
    <cellStyle name="Gut 103" xfId="8071"/>
    <cellStyle name="Gut 104" xfId="8072"/>
    <cellStyle name="Gut 105" xfId="8073"/>
    <cellStyle name="Gut 106" xfId="8074"/>
    <cellStyle name="Gut 107" xfId="8075"/>
    <cellStyle name="Gut 108" xfId="8076"/>
    <cellStyle name="Gut 109" xfId="8077"/>
    <cellStyle name="Gut 11" xfId="8078"/>
    <cellStyle name="Gut 11 2" xfId="8079"/>
    <cellStyle name="Gut 110" xfId="8080"/>
    <cellStyle name="Gut 111" xfId="8081"/>
    <cellStyle name="Gut 112" xfId="8082"/>
    <cellStyle name="Gut 113" xfId="8083"/>
    <cellStyle name="Gut 114" xfId="8084"/>
    <cellStyle name="Gut 115" xfId="8085"/>
    <cellStyle name="Gut 116" xfId="8086"/>
    <cellStyle name="Gut 117" xfId="8087"/>
    <cellStyle name="Gut 118" xfId="8088"/>
    <cellStyle name="Gut 119" xfId="8089"/>
    <cellStyle name="Gut 12" xfId="8090"/>
    <cellStyle name="Gut 12 2" xfId="8091"/>
    <cellStyle name="Gut 120" xfId="8092"/>
    <cellStyle name="Gut 121" xfId="8093"/>
    <cellStyle name="Gut 122" xfId="8094"/>
    <cellStyle name="Gut 123" xfId="8095"/>
    <cellStyle name="Gut 124" xfId="8096"/>
    <cellStyle name="Gut 125" xfId="8097"/>
    <cellStyle name="Gut 126" xfId="8098"/>
    <cellStyle name="Gut 127" xfId="8099"/>
    <cellStyle name="Gut 128" xfId="8100"/>
    <cellStyle name="Gut 129" xfId="8101"/>
    <cellStyle name="Gut 13" xfId="8102"/>
    <cellStyle name="Gut 13 2" xfId="8103"/>
    <cellStyle name="Gut 130" xfId="8104"/>
    <cellStyle name="Gut 131" xfId="8105"/>
    <cellStyle name="Gut 132" xfId="8106"/>
    <cellStyle name="Gut 133" xfId="8107"/>
    <cellStyle name="Gut 134" xfId="8108"/>
    <cellStyle name="Gut 135" xfId="8109"/>
    <cellStyle name="Gut 136" xfId="8110"/>
    <cellStyle name="Gut 137" xfId="8111"/>
    <cellStyle name="Gut 138" xfId="8112"/>
    <cellStyle name="Gut 139" xfId="8113"/>
    <cellStyle name="Gut 14" xfId="8114"/>
    <cellStyle name="Gut 14 2" xfId="8115"/>
    <cellStyle name="Gut 140" xfId="8116"/>
    <cellStyle name="Gut 141" xfId="8117"/>
    <cellStyle name="Gut 142" xfId="8118"/>
    <cellStyle name="Gut 143" xfId="8119"/>
    <cellStyle name="Gut 144" xfId="8120"/>
    <cellStyle name="Gut 145" xfId="8121"/>
    <cellStyle name="Gut 146" xfId="8122"/>
    <cellStyle name="Gut 147" xfId="8123"/>
    <cellStyle name="Gut 148" xfId="8124"/>
    <cellStyle name="Gut 149" xfId="8125"/>
    <cellStyle name="Gut 15" xfId="8126"/>
    <cellStyle name="Gut 150" xfId="8127"/>
    <cellStyle name="Gut 151" xfId="8128"/>
    <cellStyle name="Gut 16" xfId="8129"/>
    <cellStyle name="Gut 17" xfId="8130"/>
    <cellStyle name="Gut 18" xfId="8131"/>
    <cellStyle name="Gut 19" xfId="8132"/>
    <cellStyle name="Gut 2" xfId="8133"/>
    <cellStyle name="Gut 2 2" xfId="8134"/>
    <cellStyle name="Gut 20" xfId="8135"/>
    <cellStyle name="Gut 21" xfId="8136"/>
    <cellStyle name="Gut 22" xfId="8137"/>
    <cellStyle name="Gut 23" xfId="8138"/>
    <cellStyle name="Gut 24" xfId="8139"/>
    <cellStyle name="Gut 25" xfId="8140"/>
    <cellStyle name="Gut 26" xfId="8141"/>
    <cellStyle name="Gut 27" xfId="8142"/>
    <cellStyle name="Gut 28" xfId="8143"/>
    <cellStyle name="Gut 29" xfId="8144"/>
    <cellStyle name="Gut 3" xfId="8145"/>
    <cellStyle name="Gut 3 2" xfId="8146"/>
    <cellStyle name="Gut 30" xfId="8147"/>
    <cellStyle name="Gut 31" xfId="8148"/>
    <cellStyle name="Gut 32" xfId="8149"/>
    <cellStyle name="Gut 33" xfId="8150"/>
    <cellStyle name="Gut 34" xfId="8151"/>
    <cellStyle name="Gut 35" xfId="8152"/>
    <cellStyle name="Gut 36" xfId="8153"/>
    <cellStyle name="Gut 37" xfId="8154"/>
    <cellStyle name="Gut 38" xfId="8155"/>
    <cellStyle name="Gut 39" xfId="8156"/>
    <cellStyle name="Gut 4" xfId="8157"/>
    <cellStyle name="Gut 4 2" xfId="8158"/>
    <cellStyle name="Gut 40" xfId="8159"/>
    <cellStyle name="Gut 41" xfId="8160"/>
    <cellStyle name="Gut 42" xfId="8161"/>
    <cellStyle name="Gut 43" xfId="8162"/>
    <cellStyle name="Gut 44" xfId="8163"/>
    <cellStyle name="Gut 45" xfId="8164"/>
    <cellStyle name="Gut 46" xfId="8165"/>
    <cellStyle name="Gut 47" xfId="8166"/>
    <cellStyle name="Gut 48" xfId="8167"/>
    <cellStyle name="Gut 49" xfId="8168"/>
    <cellStyle name="Gut 5" xfId="8169"/>
    <cellStyle name="Gut 5 2" xfId="8170"/>
    <cellStyle name="Gut 50" xfId="8171"/>
    <cellStyle name="Gut 51" xfId="8172"/>
    <cellStyle name="Gut 52" xfId="8173"/>
    <cellStyle name="Gut 53" xfId="8174"/>
    <cellStyle name="Gut 54" xfId="8175"/>
    <cellStyle name="Gut 55" xfId="8176"/>
    <cellStyle name="Gut 56" xfId="8177"/>
    <cellStyle name="Gut 57" xfId="8178"/>
    <cellStyle name="Gut 58" xfId="8179"/>
    <cellStyle name="Gut 59" xfId="8180"/>
    <cellStyle name="Gut 6" xfId="8181"/>
    <cellStyle name="Gut 6 2" xfId="8182"/>
    <cellStyle name="Gut 60" xfId="8183"/>
    <cellStyle name="Gut 61" xfId="8184"/>
    <cellStyle name="Gut 62" xfId="8185"/>
    <cellStyle name="Gut 63" xfId="8186"/>
    <cellStyle name="Gut 64" xfId="8187"/>
    <cellStyle name="Gut 65" xfId="8188"/>
    <cellStyle name="Gut 66" xfId="8189"/>
    <cellStyle name="Gut 67" xfId="8190"/>
    <cellStyle name="Gut 68" xfId="8191"/>
    <cellStyle name="Gut 69" xfId="8192"/>
    <cellStyle name="Gut 7" xfId="8193"/>
    <cellStyle name="Gut 7 2" xfId="8194"/>
    <cellStyle name="Gut 70" xfId="8195"/>
    <cellStyle name="Gut 71" xfId="8196"/>
    <cellStyle name="Gut 72" xfId="8197"/>
    <cellStyle name="Gut 73" xfId="8198"/>
    <cellStyle name="Gut 74" xfId="8199"/>
    <cellStyle name="Gut 75" xfId="8200"/>
    <cellStyle name="Gut 76" xfId="8201"/>
    <cellStyle name="Gut 77" xfId="8202"/>
    <cellStyle name="Gut 78" xfId="8203"/>
    <cellStyle name="Gut 79" xfId="8204"/>
    <cellStyle name="Gut 8" xfId="8205"/>
    <cellStyle name="Gut 8 2" xfId="8206"/>
    <cellStyle name="Gut 80" xfId="8207"/>
    <cellStyle name="Gut 81" xfId="8208"/>
    <cellStyle name="Gut 82" xfId="8209"/>
    <cellStyle name="Gut 83" xfId="8210"/>
    <cellStyle name="Gut 84" xfId="8211"/>
    <cellStyle name="Gut 85" xfId="8212"/>
    <cellStyle name="Gut 86" xfId="8213"/>
    <cellStyle name="Gut 87" xfId="8214"/>
    <cellStyle name="Gut 88" xfId="8215"/>
    <cellStyle name="Gut 89" xfId="8216"/>
    <cellStyle name="Gut 9" xfId="8217"/>
    <cellStyle name="Gut 9 2" xfId="8218"/>
    <cellStyle name="Gut 90" xfId="8219"/>
    <cellStyle name="Gut 91" xfId="8220"/>
    <cellStyle name="Gut 92" xfId="8221"/>
    <cellStyle name="Gut 93" xfId="8222"/>
    <cellStyle name="Gut 94" xfId="8223"/>
    <cellStyle name="Gut 95" xfId="8224"/>
    <cellStyle name="Gut 96" xfId="8225"/>
    <cellStyle name="Gut 97" xfId="8226"/>
    <cellStyle name="Gut 98" xfId="8227"/>
    <cellStyle name="Gut 99" xfId="8228"/>
    <cellStyle name="Heading 1 2" xfId="8229"/>
    <cellStyle name="Heading 2 2" xfId="8230"/>
    <cellStyle name="Heading 3 2" xfId="8231"/>
    <cellStyle name="Heading 4 2" xfId="8232"/>
    <cellStyle name="hellgrau" xfId="8233"/>
    <cellStyle name="Input 2" xfId="8234"/>
    <cellStyle name="Komma 2" xfId="8235"/>
    <cellStyle name="Komma 3" xfId="8236"/>
    <cellStyle name="kW (0)" xfId="8237"/>
    <cellStyle name="kW (0,00)" xfId="8238"/>
    <cellStyle name="Linked Cell 2" xfId="8239"/>
    <cellStyle name="Neutral 10" xfId="8240"/>
    <cellStyle name="Neutral 10 2" xfId="8241"/>
    <cellStyle name="Neutral 100" xfId="8242"/>
    <cellStyle name="Neutral 101" xfId="8243"/>
    <cellStyle name="Neutral 102" xfId="8244"/>
    <cellStyle name="Neutral 103" xfId="8245"/>
    <cellStyle name="Neutral 104" xfId="8246"/>
    <cellStyle name="Neutral 105" xfId="8247"/>
    <cellStyle name="Neutral 106" xfId="8248"/>
    <cellStyle name="Neutral 107" xfId="8249"/>
    <cellStyle name="Neutral 108" xfId="8250"/>
    <cellStyle name="Neutral 109" xfId="8251"/>
    <cellStyle name="Neutral 11" xfId="8252"/>
    <cellStyle name="Neutral 11 2" xfId="8253"/>
    <cellStyle name="Neutral 110" xfId="8254"/>
    <cellStyle name="Neutral 111" xfId="8255"/>
    <cellStyle name="Neutral 112" xfId="8256"/>
    <cellStyle name="Neutral 113" xfId="8257"/>
    <cellStyle name="Neutral 114" xfId="8258"/>
    <cellStyle name="Neutral 115" xfId="8259"/>
    <cellStyle name="Neutral 116" xfId="8260"/>
    <cellStyle name="Neutral 117" xfId="8261"/>
    <cellStyle name="Neutral 118" xfId="8262"/>
    <cellStyle name="Neutral 119" xfId="8263"/>
    <cellStyle name="Neutral 12" xfId="8264"/>
    <cellStyle name="Neutral 12 2" xfId="8265"/>
    <cellStyle name="Neutral 120" xfId="8266"/>
    <cellStyle name="Neutral 121" xfId="8267"/>
    <cellStyle name="Neutral 122" xfId="8268"/>
    <cellStyle name="Neutral 123" xfId="8269"/>
    <cellStyle name="Neutral 124" xfId="8270"/>
    <cellStyle name="Neutral 125" xfId="8271"/>
    <cellStyle name="Neutral 126" xfId="8272"/>
    <cellStyle name="Neutral 127" xfId="8273"/>
    <cellStyle name="Neutral 128" xfId="8274"/>
    <cellStyle name="Neutral 129" xfId="8275"/>
    <cellStyle name="Neutral 13" xfId="8276"/>
    <cellStyle name="Neutral 13 2" xfId="8277"/>
    <cellStyle name="Neutral 130" xfId="8278"/>
    <cellStyle name="Neutral 131" xfId="8279"/>
    <cellStyle name="Neutral 132" xfId="8280"/>
    <cellStyle name="Neutral 133" xfId="8281"/>
    <cellStyle name="Neutral 134" xfId="8282"/>
    <cellStyle name="Neutral 135" xfId="8283"/>
    <cellStyle name="Neutral 136" xfId="8284"/>
    <cellStyle name="Neutral 137" xfId="8285"/>
    <cellStyle name="Neutral 138" xfId="8286"/>
    <cellStyle name="Neutral 139" xfId="8287"/>
    <cellStyle name="Neutral 14" xfId="8288"/>
    <cellStyle name="Neutral 14 2" xfId="8289"/>
    <cellStyle name="Neutral 140" xfId="8290"/>
    <cellStyle name="Neutral 141" xfId="8291"/>
    <cellStyle name="Neutral 142" xfId="8292"/>
    <cellStyle name="Neutral 143" xfId="8293"/>
    <cellStyle name="Neutral 144" xfId="8294"/>
    <cellStyle name="Neutral 145" xfId="8295"/>
    <cellStyle name="Neutral 146" xfId="8296"/>
    <cellStyle name="Neutral 147" xfId="8297"/>
    <cellStyle name="Neutral 148" xfId="8298"/>
    <cellStyle name="Neutral 149" xfId="8299"/>
    <cellStyle name="Neutral 15" xfId="8300"/>
    <cellStyle name="Neutral 150" xfId="8301"/>
    <cellStyle name="Neutral 151" xfId="8302"/>
    <cellStyle name="Neutral 16" xfId="8303"/>
    <cellStyle name="Neutral 17" xfId="8304"/>
    <cellStyle name="Neutral 18" xfId="8305"/>
    <cellStyle name="Neutral 19" xfId="8306"/>
    <cellStyle name="Neutral 2" xfId="8307"/>
    <cellStyle name="Neutral 2 2" xfId="8308"/>
    <cellStyle name="Neutral 20" xfId="8309"/>
    <cellStyle name="Neutral 21" xfId="8310"/>
    <cellStyle name="Neutral 22" xfId="8311"/>
    <cellStyle name="Neutral 23" xfId="8312"/>
    <cellStyle name="Neutral 24" xfId="8313"/>
    <cellStyle name="Neutral 25" xfId="8314"/>
    <cellStyle name="Neutral 26" xfId="8315"/>
    <cellStyle name="Neutral 27" xfId="8316"/>
    <cellStyle name="Neutral 28" xfId="8317"/>
    <cellStyle name="Neutral 29" xfId="8318"/>
    <cellStyle name="Neutral 3" xfId="8319"/>
    <cellStyle name="Neutral 3 2" xfId="8320"/>
    <cellStyle name="Neutral 30" xfId="8321"/>
    <cellStyle name="Neutral 31" xfId="8322"/>
    <cellStyle name="Neutral 32" xfId="8323"/>
    <cellStyle name="Neutral 33" xfId="8324"/>
    <cellStyle name="Neutral 34" xfId="8325"/>
    <cellStyle name="Neutral 35" xfId="8326"/>
    <cellStyle name="Neutral 36" xfId="8327"/>
    <cellStyle name="Neutral 37" xfId="8328"/>
    <cellStyle name="Neutral 38" xfId="8329"/>
    <cellStyle name="Neutral 39" xfId="8330"/>
    <cellStyle name="Neutral 4" xfId="8331"/>
    <cellStyle name="Neutral 4 2" xfId="8332"/>
    <cellStyle name="Neutral 40" xfId="8333"/>
    <cellStyle name="Neutral 41" xfId="8334"/>
    <cellStyle name="Neutral 42" xfId="8335"/>
    <cellStyle name="Neutral 43" xfId="8336"/>
    <cellStyle name="Neutral 44" xfId="8337"/>
    <cellStyle name="Neutral 45" xfId="8338"/>
    <cellStyle name="Neutral 46" xfId="8339"/>
    <cellStyle name="Neutral 47" xfId="8340"/>
    <cellStyle name="Neutral 48" xfId="8341"/>
    <cellStyle name="Neutral 49" xfId="8342"/>
    <cellStyle name="Neutral 5" xfId="8343"/>
    <cellStyle name="Neutral 5 2" xfId="8344"/>
    <cellStyle name="Neutral 50" xfId="8345"/>
    <cellStyle name="Neutral 51" xfId="8346"/>
    <cellStyle name="Neutral 52" xfId="8347"/>
    <cellStyle name="Neutral 53" xfId="8348"/>
    <cellStyle name="Neutral 54" xfId="8349"/>
    <cellStyle name="Neutral 55" xfId="8350"/>
    <cellStyle name="Neutral 56" xfId="8351"/>
    <cellStyle name="Neutral 57" xfId="8352"/>
    <cellStyle name="Neutral 58" xfId="8353"/>
    <cellStyle name="Neutral 59" xfId="8354"/>
    <cellStyle name="Neutral 6" xfId="8355"/>
    <cellStyle name="Neutral 6 2" xfId="8356"/>
    <cellStyle name="Neutral 60" xfId="8357"/>
    <cellStyle name="Neutral 61" xfId="8358"/>
    <cellStyle name="Neutral 62" xfId="8359"/>
    <cellStyle name="Neutral 63" xfId="8360"/>
    <cellStyle name="Neutral 64" xfId="8361"/>
    <cellStyle name="Neutral 65" xfId="8362"/>
    <cellStyle name="Neutral 66" xfId="8363"/>
    <cellStyle name="Neutral 67" xfId="8364"/>
    <cellStyle name="Neutral 68" xfId="8365"/>
    <cellStyle name="Neutral 69" xfId="8366"/>
    <cellStyle name="Neutral 7" xfId="8367"/>
    <cellStyle name="Neutral 7 2" xfId="8368"/>
    <cellStyle name="Neutral 70" xfId="8369"/>
    <cellStyle name="Neutral 71" xfId="8370"/>
    <cellStyle name="Neutral 72" xfId="8371"/>
    <cellStyle name="Neutral 73" xfId="8372"/>
    <cellStyle name="Neutral 74" xfId="8373"/>
    <cellStyle name="Neutral 75" xfId="8374"/>
    <cellStyle name="Neutral 76" xfId="8375"/>
    <cellStyle name="Neutral 77" xfId="8376"/>
    <cellStyle name="Neutral 78" xfId="8377"/>
    <cellStyle name="Neutral 79" xfId="8378"/>
    <cellStyle name="Neutral 8" xfId="8379"/>
    <cellStyle name="Neutral 8 2" xfId="8380"/>
    <cellStyle name="Neutral 80" xfId="8381"/>
    <cellStyle name="Neutral 81" xfId="8382"/>
    <cellStyle name="Neutral 82" xfId="8383"/>
    <cellStyle name="Neutral 83" xfId="8384"/>
    <cellStyle name="Neutral 84" xfId="8385"/>
    <cellStyle name="Neutral 85" xfId="8386"/>
    <cellStyle name="Neutral 86" xfId="8387"/>
    <cellStyle name="Neutral 87" xfId="8388"/>
    <cellStyle name="Neutral 88" xfId="8389"/>
    <cellStyle name="Neutral 89" xfId="8390"/>
    <cellStyle name="Neutral 9" xfId="8391"/>
    <cellStyle name="Neutral 9 2" xfId="8392"/>
    <cellStyle name="Neutral 90" xfId="8393"/>
    <cellStyle name="Neutral 91" xfId="8394"/>
    <cellStyle name="Neutral 92" xfId="8395"/>
    <cellStyle name="Neutral 93" xfId="8396"/>
    <cellStyle name="Neutral 94" xfId="8397"/>
    <cellStyle name="Neutral 95" xfId="8398"/>
    <cellStyle name="Neutral 96" xfId="8399"/>
    <cellStyle name="Neutral 97" xfId="8400"/>
    <cellStyle name="Neutral 98" xfId="8401"/>
    <cellStyle name="Neutral 99" xfId="8402"/>
    <cellStyle name="Normal 10" xfId="8403"/>
    <cellStyle name="Normal 10 2" xfId="8404"/>
    <cellStyle name="Normal 10 2 2" xfId="8405"/>
    <cellStyle name="Normal 10 3" xfId="8406"/>
    <cellStyle name="Normal 100" xfId="8407"/>
    <cellStyle name="Normal 100 2" xfId="8408"/>
    <cellStyle name="Normal 101" xfId="8409"/>
    <cellStyle name="Normal 101 2" xfId="8410"/>
    <cellStyle name="Normal 102" xfId="8411"/>
    <cellStyle name="Normal 102 2" xfId="8412"/>
    <cellStyle name="Normal 103" xfId="8413"/>
    <cellStyle name="Normal 103 2" xfId="8414"/>
    <cellStyle name="Normal 104" xfId="8415"/>
    <cellStyle name="Normal 104 2" xfId="8416"/>
    <cellStyle name="Normal 105" xfId="8417"/>
    <cellStyle name="Normal 105 2" xfId="8418"/>
    <cellStyle name="Normal 106" xfId="8419"/>
    <cellStyle name="Normal 106 2" xfId="8420"/>
    <cellStyle name="Normal 107" xfId="8421"/>
    <cellStyle name="Normal 107 2" xfId="8422"/>
    <cellStyle name="Normal 108" xfId="8423"/>
    <cellStyle name="Normal 109" xfId="8424"/>
    <cellStyle name="Normal 109 2" xfId="8425"/>
    <cellStyle name="Normal 11" xfId="8426"/>
    <cellStyle name="Normal 11 2" xfId="8427"/>
    <cellStyle name="Normal 110" xfId="8428"/>
    <cellStyle name="Normal 110 2" xfId="8429"/>
    <cellStyle name="Normal 111" xfId="8430"/>
    <cellStyle name="Normal 111 2" xfId="8431"/>
    <cellStyle name="Normal 112" xfId="8432"/>
    <cellStyle name="Normal 112 2" xfId="8433"/>
    <cellStyle name="Normal 113" xfId="8434"/>
    <cellStyle name="Normal 113 2" xfId="8435"/>
    <cellStyle name="Normal 114" xfId="8436"/>
    <cellStyle name="Normal 114 2" xfId="8437"/>
    <cellStyle name="Normal 115" xfId="8438"/>
    <cellStyle name="Normal 115 2" xfId="8439"/>
    <cellStyle name="Normal 116" xfId="8440"/>
    <cellStyle name="Normal 116 2" xfId="8441"/>
    <cellStyle name="Normal 117" xfId="8442"/>
    <cellStyle name="Normal 117 2" xfId="8443"/>
    <cellStyle name="Normal 118" xfId="8444"/>
    <cellStyle name="Normal 118 2" xfId="8445"/>
    <cellStyle name="Normal 119" xfId="8446"/>
    <cellStyle name="Normal 119 2" xfId="8447"/>
    <cellStyle name="Normal 12" xfId="8448"/>
    <cellStyle name="Normal 12 2" xfId="8449"/>
    <cellStyle name="Normal 120" xfId="8450"/>
    <cellStyle name="Normal 120 2" xfId="8451"/>
    <cellStyle name="Normal 121" xfId="8452"/>
    <cellStyle name="Normal 122" xfId="8453"/>
    <cellStyle name="Normal 122 2" xfId="8454"/>
    <cellStyle name="Normal 123" xfId="8455"/>
    <cellStyle name="Normal 123 2" xfId="8456"/>
    <cellStyle name="Normal 124" xfId="8457"/>
    <cellStyle name="Normal 124 2" xfId="8458"/>
    <cellStyle name="Normal 125" xfId="8459"/>
    <cellStyle name="Normal 125 2" xfId="8460"/>
    <cellStyle name="Normal 126" xfId="8461"/>
    <cellStyle name="Normal 126 2" xfId="8462"/>
    <cellStyle name="Normal 127" xfId="8463"/>
    <cellStyle name="Normal 127 2" xfId="8464"/>
    <cellStyle name="Normal 128" xfId="8465"/>
    <cellStyle name="Normal 128 2" xfId="8466"/>
    <cellStyle name="Normal 129" xfId="8467"/>
    <cellStyle name="Normal 13" xfId="8468"/>
    <cellStyle name="Normal 13 2" xfId="8469"/>
    <cellStyle name="Normal 13 2 2" xfId="8470"/>
    <cellStyle name="Normal 13 3" xfId="8471"/>
    <cellStyle name="Normal 130" xfId="8472"/>
    <cellStyle name="Normal 130 2" xfId="8473"/>
    <cellStyle name="Normal 131" xfId="8474"/>
    <cellStyle name="Normal 131 2" xfId="8475"/>
    <cellStyle name="Normal 133" xfId="8476"/>
    <cellStyle name="Normal 133 2" xfId="8477"/>
    <cellStyle name="Normal 135" xfId="8478"/>
    <cellStyle name="Normal 135 2" xfId="8479"/>
    <cellStyle name="Normal 136" xfId="8480"/>
    <cellStyle name="Normal 136 2" xfId="8481"/>
    <cellStyle name="Normal 138" xfId="8482"/>
    <cellStyle name="Normal 138 2" xfId="8483"/>
    <cellStyle name="Normal 139" xfId="8484"/>
    <cellStyle name="Normal 139 2" xfId="8485"/>
    <cellStyle name="Normal 14" xfId="8486"/>
    <cellStyle name="Normal 14 2" xfId="8487"/>
    <cellStyle name="Normal 14 2 2" xfId="8488"/>
    <cellStyle name="Normal 14 3" xfId="8489"/>
    <cellStyle name="Normal 140" xfId="8490"/>
    <cellStyle name="Normal 140 2" xfId="8491"/>
    <cellStyle name="Normal 141" xfId="8492"/>
    <cellStyle name="Normal 141 2" xfId="8493"/>
    <cellStyle name="Normal 142" xfId="8494"/>
    <cellStyle name="Normal 142 2" xfId="8495"/>
    <cellStyle name="Normal 143" xfId="8496"/>
    <cellStyle name="Normal 143 2" xfId="8497"/>
    <cellStyle name="Normal 15" xfId="8498"/>
    <cellStyle name="Normal 15 2" xfId="8499"/>
    <cellStyle name="Normal 15 2 2" xfId="8500"/>
    <cellStyle name="Normal 15 3" xfId="8501"/>
    <cellStyle name="Normal 16" xfId="8502"/>
    <cellStyle name="Normal 16 2" xfId="8503"/>
    <cellStyle name="Normal 16 2 2" xfId="8504"/>
    <cellStyle name="Normal 16 3" xfId="8505"/>
    <cellStyle name="Normal 17" xfId="8506"/>
    <cellStyle name="Normal 17 2" xfId="8507"/>
    <cellStyle name="Normal 18" xfId="8508"/>
    <cellStyle name="Normal 18 2" xfId="8509"/>
    <cellStyle name="Normal 18 2 2" xfId="8510"/>
    <cellStyle name="Normal 18 3" xfId="8511"/>
    <cellStyle name="Normal 19" xfId="8512"/>
    <cellStyle name="Normal 19 2" xfId="8513"/>
    <cellStyle name="Normal 19 2 2" xfId="8514"/>
    <cellStyle name="Normal 19 3" xfId="8515"/>
    <cellStyle name="Normal 2 2 2" xfId="8516"/>
    <cellStyle name="Normal 2 2 3" xfId="8517"/>
    <cellStyle name="Normal 2 3" xfId="8518"/>
    <cellStyle name="Normal 2 4" xfId="8519"/>
    <cellStyle name="Normal 2 5" xfId="8520"/>
    <cellStyle name="Normal 2_AE_FC_QuoteMaster" xfId="8521"/>
    <cellStyle name="Normal 20" xfId="8522"/>
    <cellStyle name="Normal 20 2" xfId="8523"/>
    <cellStyle name="Normal 20 2 2" xfId="8524"/>
    <cellStyle name="Normal 20 3" xfId="8525"/>
    <cellStyle name="Normal 21" xfId="8526"/>
    <cellStyle name="Normal 21 2" xfId="8527"/>
    <cellStyle name="Normal 21 2 2" xfId="8528"/>
    <cellStyle name="Normal 21 3" xfId="8529"/>
    <cellStyle name="Normal 22" xfId="8530"/>
    <cellStyle name="Normal 22 2" xfId="8531"/>
    <cellStyle name="Normal 22 2 2" xfId="8532"/>
    <cellStyle name="Normal 22 3" xfId="8533"/>
    <cellStyle name="Normal 23" xfId="8534"/>
    <cellStyle name="Normal 23 2" xfId="8535"/>
    <cellStyle name="Normal 23 2 2" xfId="8536"/>
    <cellStyle name="Normal 23 3" xfId="8537"/>
    <cellStyle name="Normal 24" xfId="8538"/>
    <cellStyle name="Normal 24 2" xfId="8539"/>
    <cellStyle name="Normal 25" xfId="8540"/>
    <cellStyle name="Normal 25 2" xfId="8541"/>
    <cellStyle name="Normal 25 2 2" xfId="8542"/>
    <cellStyle name="Normal 25 3" xfId="8543"/>
    <cellStyle name="Normal 26" xfId="8544"/>
    <cellStyle name="Normal 26 2" xfId="8545"/>
    <cellStyle name="Normal 26 2 2" xfId="8546"/>
    <cellStyle name="Normal 26 3" xfId="8547"/>
    <cellStyle name="Normal 27" xfId="8548"/>
    <cellStyle name="Normal 27 2" xfId="8549"/>
    <cellStyle name="Normal 27 2 2" xfId="8550"/>
    <cellStyle name="Normal 27 3" xfId="8551"/>
    <cellStyle name="Normal 28" xfId="8552"/>
    <cellStyle name="Normal 28 2" xfId="8553"/>
    <cellStyle name="Normal 28 2 2" xfId="8554"/>
    <cellStyle name="Normal 28 3" xfId="8555"/>
    <cellStyle name="Normal 29" xfId="8556"/>
    <cellStyle name="Normal 29 2" xfId="8557"/>
    <cellStyle name="Normal 29 2 2" xfId="8558"/>
    <cellStyle name="Normal 29 3" xfId="8559"/>
    <cellStyle name="Normal 3 2" xfId="8560"/>
    <cellStyle name="Normal 3 2 2" xfId="8561"/>
    <cellStyle name="Normal 3 2 2 2" xfId="8562"/>
    <cellStyle name="Normal 3 2 3" xfId="8563"/>
    <cellStyle name="Normal 3 3" xfId="8564"/>
    <cellStyle name="Normal 3 3 2" xfId="8565"/>
    <cellStyle name="Normal 3 4" xfId="8566"/>
    <cellStyle name="Normal 3 5" xfId="8567"/>
    <cellStyle name="Normal 3 6" xfId="8568"/>
    <cellStyle name="Normal 30" xfId="8569"/>
    <cellStyle name="Normal 30 2" xfId="8570"/>
    <cellStyle name="Normal 30 2 2" xfId="8571"/>
    <cellStyle name="Normal 30 3" xfId="8572"/>
    <cellStyle name="Normal 31" xfId="8573"/>
    <cellStyle name="Normal 31 2" xfId="8574"/>
    <cellStyle name="Normal 32" xfId="8575"/>
    <cellStyle name="Normal 32 2" xfId="8576"/>
    <cellStyle name="Normal 32 2 2" xfId="8577"/>
    <cellStyle name="Normal 32 3" xfId="8578"/>
    <cellStyle name="Normal 33" xfId="8579"/>
    <cellStyle name="Normal 33 2" xfId="8580"/>
    <cellStyle name="Normal 33 2 2" xfId="8581"/>
    <cellStyle name="Normal 33 3" xfId="8582"/>
    <cellStyle name="Normal 34" xfId="8583"/>
    <cellStyle name="Normal 34 2" xfId="8584"/>
    <cellStyle name="Normal 34 2 2" xfId="8585"/>
    <cellStyle name="Normal 34 3" xfId="8586"/>
    <cellStyle name="Normal 35" xfId="8587"/>
    <cellStyle name="Normal 35 2" xfId="8588"/>
    <cellStyle name="Normal 35 2 2" xfId="8589"/>
    <cellStyle name="Normal 35 3" xfId="8590"/>
    <cellStyle name="Normal 36" xfId="8591"/>
    <cellStyle name="Normal 36 2" xfId="8592"/>
    <cellStyle name="Normal 36 2 2" xfId="8593"/>
    <cellStyle name="Normal 36 3" xfId="8594"/>
    <cellStyle name="Normal 37" xfId="8595"/>
    <cellStyle name="Normal 37 2" xfId="8596"/>
    <cellStyle name="Normal 37 2 2" xfId="8597"/>
    <cellStyle name="Normal 37 3" xfId="8598"/>
    <cellStyle name="Normal 38" xfId="8599"/>
    <cellStyle name="Normal 38 2" xfId="8600"/>
    <cellStyle name="Normal 38 2 2" xfId="8601"/>
    <cellStyle name="Normal 38 3" xfId="8602"/>
    <cellStyle name="Normal 39" xfId="8603"/>
    <cellStyle name="Normal 39 2" xfId="8604"/>
    <cellStyle name="Normal 39 2 2" xfId="8605"/>
    <cellStyle name="Normal 39 3" xfId="8606"/>
    <cellStyle name="Normal 4" xfId="8607"/>
    <cellStyle name="Normal 4 2" xfId="8608"/>
    <cellStyle name="Normal 4 2 2" xfId="8609"/>
    <cellStyle name="Normal 4 2 2 2" xfId="8610"/>
    <cellStyle name="Normal 4 2 3" xfId="8611"/>
    <cellStyle name="Normal 4 3" xfId="8612"/>
    <cellStyle name="Normal 4 3 2" xfId="8613"/>
    <cellStyle name="Normal 4 4" xfId="8614"/>
    <cellStyle name="Normal 40" xfId="8615"/>
    <cellStyle name="Normal 40 2" xfId="8616"/>
    <cellStyle name="Normal 40 2 2" xfId="8617"/>
    <cellStyle name="Normal 40 3" xfId="8618"/>
    <cellStyle name="Normal 41" xfId="8619"/>
    <cellStyle name="Normal 41 2" xfId="8620"/>
    <cellStyle name="Normal 41 2 2" xfId="8621"/>
    <cellStyle name="Normal 41 3" xfId="8622"/>
    <cellStyle name="Normal 42" xfId="8623"/>
    <cellStyle name="Normal 42 2" xfId="8624"/>
    <cellStyle name="Normal 42 2 2" xfId="8625"/>
    <cellStyle name="Normal 42 3" xfId="8626"/>
    <cellStyle name="Normal 43" xfId="8627"/>
    <cellStyle name="Normal 43 2" xfId="8628"/>
    <cellStyle name="Normal 43 2 2" xfId="8629"/>
    <cellStyle name="Normal 43 3" xfId="8630"/>
    <cellStyle name="Normal 44" xfId="8631"/>
    <cellStyle name="Normal 44 2" xfId="8632"/>
    <cellStyle name="Normal 44 2 2" xfId="8633"/>
    <cellStyle name="Normal 44 3" xfId="8634"/>
    <cellStyle name="Normal 45" xfId="8635"/>
    <cellStyle name="Normal 45 2" xfId="8636"/>
    <cellStyle name="Normal 45 2 2" xfId="8637"/>
    <cellStyle name="Normal 45 3" xfId="8638"/>
    <cellStyle name="Normal 46" xfId="8639"/>
    <cellStyle name="Normal 46 2" xfId="8640"/>
    <cellStyle name="Normal 46 2 2" xfId="8641"/>
    <cellStyle name="Normal 46 3" xfId="8642"/>
    <cellStyle name="Normal 47" xfId="8643"/>
    <cellStyle name="Normal 47 2" xfId="8644"/>
    <cellStyle name="Normal 47 2 2" xfId="8645"/>
    <cellStyle name="Normal 47 3" xfId="8646"/>
    <cellStyle name="Normal 48" xfId="8647"/>
    <cellStyle name="Normal 48 2" xfId="8648"/>
    <cellStyle name="Normal 48 2 2" xfId="8649"/>
    <cellStyle name="Normal 48 3" xfId="8650"/>
    <cellStyle name="Normal 49" xfId="8651"/>
    <cellStyle name="Normal 49 2" xfId="8652"/>
    <cellStyle name="Normal 5" xfId="8653"/>
    <cellStyle name="Normal 5 2" xfId="8654"/>
    <cellStyle name="Normal 5 2 2" xfId="8655"/>
    <cellStyle name="Normal 5 2 2 2" xfId="8656"/>
    <cellStyle name="Normal 5 2 3" xfId="8657"/>
    <cellStyle name="Normal 5 3" xfId="8658"/>
    <cellStyle name="Normal 5 3 2" xfId="8659"/>
    <cellStyle name="Normal 5 4" xfId="8660"/>
    <cellStyle name="Normal 50" xfId="8661"/>
    <cellStyle name="Normal 50 2" xfId="8662"/>
    <cellStyle name="Normal 50 2 2" xfId="8663"/>
    <cellStyle name="Normal 50 3" xfId="8664"/>
    <cellStyle name="Normal 51" xfId="8665"/>
    <cellStyle name="Normal 51 2" xfId="8666"/>
    <cellStyle name="Normal 52" xfId="8667"/>
    <cellStyle name="Normal 52 2" xfId="8668"/>
    <cellStyle name="Normal 53" xfId="8669"/>
    <cellStyle name="Normal 53 2" xfId="8670"/>
    <cellStyle name="Normal 54" xfId="8671"/>
    <cellStyle name="Normal 54 2" xfId="8672"/>
    <cellStyle name="Normal 55" xfId="8673"/>
    <cellStyle name="Normal 55 2" xfId="8674"/>
    <cellStyle name="Normal 56" xfId="8675"/>
    <cellStyle name="Normal 56 2" xfId="8676"/>
    <cellStyle name="Normal 57" xfId="8677"/>
    <cellStyle name="Normal 57 2" xfId="8678"/>
    <cellStyle name="Normal 58" xfId="8679"/>
    <cellStyle name="Normal 58 2" xfId="8680"/>
    <cellStyle name="Normal 59" xfId="8681"/>
    <cellStyle name="Normal 59 2" xfId="8682"/>
    <cellStyle name="Normal 59 2 2" xfId="8683"/>
    <cellStyle name="Normal 59 3" xfId="8684"/>
    <cellStyle name="Normal 6" xfId="8685"/>
    <cellStyle name="Normal 6 2" xfId="8686"/>
    <cellStyle name="Normal 6 2 2" xfId="8687"/>
    <cellStyle name="Normal 6 3" xfId="8688"/>
    <cellStyle name="Normal 60" xfId="8689"/>
    <cellStyle name="Normal 60 2" xfId="8690"/>
    <cellStyle name="Normal 61" xfId="8691"/>
    <cellStyle name="Normal 61 2" xfId="8692"/>
    <cellStyle name="Normal 61 2 2" xfId="8693"/>
    <cellStyle name="Normal 61 3" xfId="8694"/>
    <cellStyle name="Normal 62" xfId="8695"/>
    <cellStyle name="Normal 62 2" xfId="8696"/>
    <cellStyle name="Normal 63" xfId="8697"/>
    <cellStyle name="Normal 63 2" xfId="8698"/>
    <cellStyle name="Normal 63 2 2" xfId="8699"/>
    <cellStyle name="Normal 63 3" xfId="8700"/>
    <cellStyle name="Normal 64" xfId="8701"/>
    <cellStyle name="Normal 64 2" xfId="8702"/>
    <cellStyle name="Normal 65" xfId="8703"/>
    <cellStyle name="Normal 65 2" xfId="8704"/>
    <cellStyle name="Normal 66" xfId="8705"/>
    <cellStyle name="Normal 66 2" xfId="8706"/>
    <cellStyle name="Normal 67" xfId="8707"/>
    <cellStyle name="Normal 67 2" xfId="8708"/>
    <cellStyle name="Normal 68" xfId="8709"/>
    <cellStyle name="Normal 68 2" xfId="8710"/>
    <cellStyle name="Normal 69" xfId="8711"/>
    <cellStyle name="Normal 69 2" xfId="8712"/>
    <cellStyle name="Normal 7" xfId="8713"/>
    <cellStyle name="Normal 7 2" xfId="8714"/>
    <cellStyle name="Normal 7 2 2" xfId="8715"/>
    <cellStyle name="Normal 7 3" xfId="8716"/>
    <cellStyle name="Normal 70" xfId="8717"/>
    <cellStyle name="Normal 70 2" xfId="8718"/>
    <cellStyle name="Normal 71" xfId="8719"/>
    <cellStyle name="Normal 71 2" xfId="8720"/>
    <cellStyle name="Normal 72" xfId="8721"/>
    <cellStyle name="Normal 72 2" xfId="8722"/>
    <cellStyle name="Normal 73" xfId="8723"/>
    <cellStyle name="Normal 73 2" xfId="8724"/>
    <cellStyle name="Normal 74" xfId="8725"/>
    <cellStyle name="Normal 74 2" xfId="8726"/>
    <cellStyle name="Normal 75" xfId="8727"/>
    <cellStyle name="Normal 75 2" xfId="8728"/>
    <cellStyle name="Normal 76" xfId="8729"/>
    <cellStyle name="Normal 76 2" xfId="8730"/>
    <cellStyle name="Normal 77" xfId="8731"/>
    <cellStyle name="Normal 77 2" xfId="8732"/>
    <cellStyle name="Normal 78" xfId="8733"/>
    <cellStyle name="Normal 78 2" xfId="8734"/>
    <cellStyle name="Normal 79" xfId="8735"/>
    <cellStyle name="Normal 79 2" xfId="8736"/>
    <cellStyle name="Normal 8" xfId="8737"/>
    <cellStyle name="Normal 8 2" xfId="8738"/>
    <cellStyle name="Normal 80" xfId="8739"/>
    <cellStyle name="Normal 80 2" xfId="8740"/>
    <cellStyle name="Normal 81" xfId="8741"/>
    <cellStyle name="Normal 81 2" xfId="8742"/>
    <cellStyle name="Normal 82" xfId="8743"/>
    <cellStyle name="Normal 82 2" xfId="8744"/>
    <cellStyle name="Normal 83" xfId="8745"/>
    <cellStyle name="Normal 83 2" xfId="8746"/>
    <cellStyle name="Normal 84" xfId="8747"/>
    <cellStyle name="Normal 84 2" xfId="8748"/>
    <cellStyle name="Normal 85" xfId="8749"/>
    <cellStyle name="Normal 85 2" xfId="8750"/>
    <cellStyle name="Normal 86" xfId="8751"/>
    <cellStyle name="Normal 86 2" xfId="8752"/>
    <cellStyle name="Normal 87" xfId="8753"/>
    <cellStyle name="Normal 87 2" xfId="8754"/>
    <cellStyle name="Normal 88" xfId="8755"/>
    <cellStyle name="Normal 88 2" xfId="8756"/>
    <cellStyle name="Normal 89" xfId="8757"/>
    <cellStyle name="Normal 89 2" xfId="8758"/>
    <cellStyle name="Normal 9" xfId="8759"/>
    <cellStyle name="Normal 9 2" xfId="8760"/>
    <cellStyle name="Normal 9 2 2" xfId="8761"/>
    <cellStyle name="Normal 9 3" xfId="8762"/>
    <cellStyle name="Normal 90" xfId="8763"/>
    <cellStyle name="Normal 90 2" xfId="8764"/>
    <cellStyle name="Normal 91" xfId="8765"/>
    <cellStyle name="Normal 91 2" xfId="8766"/>
    <cellStyle name="Normal 92" xfId="8767"/>
    <cellStyle name="Normal 92 2" xfId="8768"/>
    <cellStyle name="Normal 93" xfId="8769"/>
    <cellStyle name="Normal 93 2" xfId="8770"/>
    <cellStyle name="Normal 94" xfId="8771"/>
    <cellStyle name="Normal 94 2" xfId="8772"/>
    <cellStyle name="Normal 95" xfId="8773"/>
    <cellStyle name="Normal 95 2" xfId="8774"/>
    <cellStyle name="Normal 96" xfId="8775"/>
    <cellStyle name="Normal 96 2" xfId="8776"/>
    <cellStyle name="Normal 97" xfId="8777"/>
    <cellStyle name="Normal 97 2" xfId="8778"/>
    <cellStyle name="Normal 98" xfId="8779"/>
    <cellStyle name="Normal 98 2" xfId="8780"/>
    <cellStyle name="Normal 99" xfId="8781"/>
    <cellStyle name="Normal 99 2" xfId="8782"/>
    <cellStyle name="Note 10" xfId="8783"/>
    <cellStyle name="Note 10 2" xfId="8784"/>
    <cellStyle name="Note 10 2 2" xfId="8785"/>
    <cellStyle name="Note 10 3" xfId="8786"/>
    <cellStyle name="Note 100" xfId="8787"/>
    <cellStyle name="Note 100 2" xfId="8788"/>
    <cellStyle name="Note 101" xfId="8789"/>
    <cellStyle name="Note 101 2" xfId="8790"/>
    <cellStyle name="Note 102" xfId="8791"/>
    <cellStyle name="Note 102 2" xfId="8792"/>
    <cellStyle name="Note 103" xfId="8793"/>
    <cellStyle name="Note 103 2" xfId="8794"/>
    <cellStyle name="Note 104" xfId="8795"/>
    <cellStyle name="Note 104 2" xfId="8796"/>
    <cellStyle name="Note 105" xfId="8797"/>
    <cellStyle name="Note 105 2" xfId="8798"/>
    <cellStyle name="Note 106" xfId="8799"/>
    <cellStyle name="Note 106 2" xfId="8800"/>
    <cellStyle name="Note 107" xfId="8801"/>
    <cellStyle name="Note 107 2" xfId="8802"/>
    <cellStyle name="Note 108" xfId="8803"/>
    <cellStyle name="Note 108 2" xfId="8804"/>
    <cellStyle name="Note 109" xfId="8805"/>
    <cellStyle name="Note 109 2" xfId="8806"/>
    <cellStyle name="Note 11" xfId="8807"/>
    <cellStyle name="Note 11 2" xfId="8808"/>
    <cellStyle name="Note 11 2 2" xfId="8809"/>
    <cellStyle name="Note 11 3" xfId="8810"/>
    <cellStyle name="Note 110" xfId="8811"/>
    <cellStyle name="Note 110 2" xfId="8812"/>
    <cellStyle name="Note 111" xfId="8813"/>
    <cellStyle name="Note 111 2" xfId="8814"/>
    <cellStyle name="Note 112" xfId="8815"/>
    <cellStyle name="Note 112 2" xfId="8816"/>
    <cellStyle name="Note 113" xfId="8817"/>
    <cellStyle name="Note 113 2" xfId="8818"/>
    <cellStyle name="Note 114" xfId="8819"/>
    <cellStyle name="Note 114 2" xfId="8820"/>
    <cellStyle name="Note 115" xfId="8821"/>
    <cellStyle name="Note 115 2" xfId="8822"/>
    <cellStyle name="Note 116" xfId="8823"/>
    <cellStyle name="Note 116 2" xfId="8824"/>
    <cellStyle name="Note 117" xfId="8825"/>
    <cellStyle name="Note 117 2" xfId="8826"/>
    <cellStyle name="Note 118" xfId="8827"/>
    <cellStyle name="Note 118 2" xfId="8828"/>
    <cellStyle name="Note 119" xfId="8829"/>
    <cellStyle name="Note 119 2" xfId="8830"/>
    <cellStyle name="Note 12" xfId="8831"/>
    <cellStyle name="Note 12 2" xfId="8832"/>
    <cellStyle name="Note 12 2 2" xfId="8833"/>
    <cellStyle name="Note 12 3" xfId="8834"/>
    <cellStyle name="Note 120" xfId="8835"/>
    <cellStyle name="Note 120 2" xfId="8836"/>
    <cellStyle name="Note 121" xfId="8837"/>
    <cellStyle name="Note 121 2" xfId="8838"/>
    <cellStyle name="Note 122" xfId="8839"/>
    <cellStyle name="Note 122 2" xfId="8840"/>
    <cellStyle name="Note 123" xfId="8841"/>
    <cellStyle name="Note 123 2" xfId="8842"/>
    <cellStyle name="Note 124" xfId="8843"/>
    <cellStyle name="Note 124 2" xfId="8844"/>
    <cellStyle name="Note 125" xfId="8845"/>
    <cellStyle name="Note 125 2" xfId="8846"/>
    <cellStyle name="Note 126" xfId="8847"/>
    <cellStyle name="Note 126 2" xfId="8848"/>
    <cellStyle name="Note 127" xfId="8849"/>
    <cellStyle name="Note 127 2" xfId="8850"/>
    <cellStyle name="Note 128" xfId="8851"/>
    <cellStyle name="Note 128 2" xfId="8852"/>
    <cellStyle name="Note 129" xfId="8853"/>
    <cellStyle name="Note 129 2" xfId="8854"/>
    <cellStyle name="Note 13" xfId="8855"/>
    <cellStyle name="Note 13 2" xfId="8856"/>
    <cellStyle name="Note 13 2 2" xfId="8857"/>
    <cellStyle name="Note 13 3" xfId="8858"/>
    <cellStyle name="Note 130" xfId="8859"/>
    <cellStyle name="Note 130 2" xfId="8860"/>
    <cellStyle name="Note 131" xfId="8861"/>
    <cellStyle name="Note 131 2" xfId="8862"/>
    <cellStyle name="Note 132" xfId="8863"/>
    <cellStyle name="Note 132 2" xfId="8864"/>
    <cellStyle name="Note 133" xfId="8865"/>
    <cellStyle name="Note 133 2" xfId="8866"/>
    <cellStyle name="Note 134" xfId="8867"/>
    <cellStyle name="Note 134 2" xfId="8868"/>
    <cellStyle name="Note 135" xfId="8869"/>
    <cellStyle name="Note 135 2" xfId="8870"/>
    <cellStyle name="Note 136" xfId="8871"/>
    <cellStyle name="Note 136 2" xfId="8872"/>
    <cellStyle name="Note 137" xfId="8873"/>
    <cellStyle name="Note 137 2" xfId="8874"/>
    <cellStyle name="Note 138" xfId="8875"/>
    <cellStyle name="Note 138 2" xfId="8876"/>
    <cellStyle name="Note 139" xfId="8877"/>
    <cellStyle name="Note 139 2" xfId="8878"/>
    <cellStyle name="Note 14" xfId="8879"/>
    <cellStyle name="Note 14 2" xfId="8880"/>
    <cellStyle name="Note 14 2 2" xfId="8881"/>
    <cellStyle name="Note 14 3" xfId="8882"/>
    <cellStyle name="Note 140" xfId="8883"/>
    <cellStyle name="Note 140 2" xfId="8884"/>
    <cellStyle name="Note 141" xfId="8885"/>
    <cellStyle name="Note 141 2" xfId="8886"/>
    <cellStyle name="Note 142" xfId="8887"/>
    <cellStyle name="Note 142 2" xfId="8888"/>
    <cellStyle name="Note 143" xfId="8889"/>
    <cellStyle name="Note 143 2" xfId="8890"/>
    <cellStyle name="Note 144" xfId="8891"/>
    <cellStyle name="Note 144 2" xfId="8892"/>
    <cellStyle name="Note 145" xfId="8893"/>
    <cellStyle name="Note 145 2" xfId="8894"/>
    <cellStyle name="Note 146" xfId="8895"/>
    <cellStyle name="Note 146 2" xfId="8896"/>
    <cellStyle name="Note 147" xfId="8897"/>
    <cellStyle name="Note 147 2" xfId="8898"/>
    <cellStyle name="Note 148" xfId="8899"/>
    <cellStyle name="Note 148 2" xfId="8900"/>
    <cellStyle name="Note 149" xfId="8901"/>
    <cellStyle name="Note 149 2" xfId="8902"/>
    <cellStyle name="Note 15" xfId="8903"/>
    <cellStyle name="Note 15 2" xfId="8904"/>
    <cellStyle name="Note 15 2 2" xfId="8905"/>
    <cellStyle name="Note 15 3" xfId="8906"/>
    <cellStyle name="Note 150" xfId="8907"/>
    <cellStyle name="Note 150 2" xfId="8908"/>
    <cellStyle name="Note 151" xfId="8909"/>
    <cellStyle name="Note 151 2" xfId="8910"/>
    <cellStyle name="Note 152" xfId="8911"/>
    <cellStyle name="Note 152 2" xfId="8912"/>
    <cellStyle name="Note 153" xfId="8913"/>
    <cellStyle name="Note 153 2" xfId="8914"/>
    <cellStyle name="Note 154" xfId="8915"/>
    <cellStyle name="Note 154 2" xfId="8916"/>
    <cellStyle name="Note 155" xfId="8917"/>
    <cellStyle name="Note 155 2" xfId="8918"/>
    <cellStyle name="Note 156" xfId="8919"/>
    <cellStyle name="Note 156 2" xfId="8920"/>
    <cellStyle name="Note 157" xfId="8921"/>
    <cellStyle name="Note 157 2" xfId="8922"/>
    <cellStyle name="Note 158" xfId="8923"/>
    <cellStyle name="Note 158 2" xfId="8924"/>
    <cellStyle name="Note 159" xfId="8925"/>
    <cellStyle name="Note 159 2" xfId="8926"/>
    <cellStyle name="Note 16" xfId="8927"/>
    <cellStyle name="Note 16 2" xfId="8928"/>
    <cellStyle name="Note 16 2 2" xfId="8929"/>
    <cellStyle name="Note 16 3" xfId="8930"/>
    <cellStyle name="Note 160" xfId="8931"/>
    <cellStyle name="Note 160 2" xfId="8932"/>
    <cellStyle name="Note 161" xfId="8933"/>
    <cellStyle name="Note 161 2" xfId="8934"/>
    <cellStyle name="Note 162" xfId="8935"/>
    <cellStyle name="Note 162 2" xfId="8936"/>
    <cellStyle name="Note 163" xfId="8937"/>
    <cellStyle name="Note 163 2" xfId="8938"/>
    <cellStyle name="Note 164" xfId="8939"/>
    <cellStyle name="Note 164 2" xfId="8940"/>
    <cellStyle name="Note 165" xfId="8941"/>
    <cellStyle name="Note 166" xfId="8942"/>
    <cellStyle name="Note 167" xfId="8943"/>
    <cellStyle name="Note 168" xfId="8944"/>
    <cellStyle name="Note 17" xfId="8945"/>
    <cellStyle name="Note 17 2" xfId="8946"/>
    <cellStyle name="Note 17 2 2" xfId="8947"/>
    <cellStyle name="Note 17 3" xfId="8948"/>
    <cellStyle name="Note 18" xfId="8949"/>
    <cellStyle name="Note 18 2" xfId="8950"/>
    <cellStyle name="Note 18 2 2" xfId="8951"/>
    <cellStyle name="Note 18 3" xfId="8952"/>
    <cellStyle name="Note 19" xfId="8953"/>
    <cellStyle name="Note 19 2" xfId="8954"/>
    <cellStyle name="Note 19 2 2" xfId="8955"/>
    <cellStyle name="Note 19 3" xfId="8956"/>
    <cellStyle name="Note 2" xfId="8957"/>
    <cellStyle name="Note 2 2" xfId="8958"/>
    <cellStyle name="Note 2 2 2" xfId="8959"/>
    <cellStyle name="Note 2 2 2 2" xfId="8960"/>
    <cellStyle name="Note 2 2 3" xfId="8961"/>
    <cellStyle name="Note 2 3" xfId="8962"/>
    <cellStyle name="Note 2 3 2" xfId="8963"/>
    <cellStyle name="Note 2 4" xfId="8964"/>
    <cellStyle name="Note 20" xfId="8965"/>
    <cellStyle name="Note 20 2" xfId="8966"/>
    <cellStyle name="Note 20 2 2" xfId="8967"/>
    <cellStyle name="Note 20 3" xfId="8968"/>
    <cellStyle name="Note 21" xfId="8969"/>
    <cellStyle name="Note 21 2" xfId="8970"/>
    <cellStyle name="Note 21 2 2" xfId="8971"/>
    <cellStyle name="Note 21 3" xfId="8972"/>
    <cellStyle name="Note 22" xfId="8973"/>
    <cellStyle name="Note 22 2" xfId="8974"/>
    <cellStyle name="Note 22 2 2" xfId="8975"/>
    <cellStyle name="Note 22 3" xfId="8976"/>
    <cellStyle name="Note 23" xfId="8977"/>
    <cellStyle name="Note 23 2" xfId="8978"/>
    <cellStyle name="Note 23 2 2" xfId="8979"/>
    <cellStyle name="Note 23 3" xfId="8980"/>
    <cellStyle name="Note 24" xfId="8981"/>
    <cellStyle name="Note 24 2" xfId="8982"/>
    <cellStyle name="Note 24 2 2" xfId="8983"/>
    <cellStyle name="Note 24 3" xfId="8984"/>
    <cellStyle name="Note 25" xfId="8985"/>
    <cellStyle name="Note 25 2" xfId="8986"/>
    <cellStyle name="Note 25 2 2" xfId="8987"/>
    <cellStyle name="Note 25 3" xfId="8988"/>
    <cellStyle name="Note 26" xfId="8989"/>
    <cellStyle name="Note 26 2" xfId="8990"/>
    <cellStyle name="Note 26 2 2" xfId="8991"/>
    <cellStyle name="Note 26 3" xfId="8992"/>
    <cellStyle name="Note 27" xfId="8993"/>
    <cellStyle name="Note 27 2" xfId="8994"/>
    <cellStyle name="Note 27 2 2" xfId="8995"/>
    <cellStyle name="Note 27 3" xfId="8996"/>
    <cellStyle name="Note 28" xfId="8997"/>
    <cellStyle name="Note 28 2" xfId="8998"/>
    <cellStyle name="Note 28 2 2" xfId="8999"/>
    <cellStyle name="Note 28 3" xfId="9000"/>
    <cellStyle name="Note 29" xfId="9001"/>
    <cellStyle name="Note 29 2" xfId="9002"/>
    <cellStyle name="Note 29 2 2" xfId="9003"/>
    <cellStyle name="Note 29 3" xfId="9004"/>
    <cellStyle name="Note 3" xfId="9005"/>
    <cellStyle name="Note 3 2" xfId="9006"/>
    <cellStyle name="Note 3 2 2" xfId="9007"/>
    <cellStyle name="Note 3 2 2 2" xfId="9008"/>
    <cellStyle name="Note 3 2 3" xfId="9009"/>
    <cellStyle name="Note 3 3" xfId="9010"/>
    <cellStyle name="Note 3 3 2" xfId="9011"/>
    <cellStyle name="Note 3 4" xfId="9012"/>
    <cellStyle name="Note 30" xfId="9013"/>
    <cellStyle name="Note 30 2" xfId="9014"/>
    <cellStyle name="Note 30 2 2" xfId="9015"/>
    <cellStyle name="Note 30 3" xfId="9016"/>
    <cellStyle name="Note 31" xfId="9017"/>
    <cellStyle name="Note 31 2" xfId="9018"/>
    <cellStyle name="Note 31 2 2" xfId="9019"/>
    <cellStyle name="Note 31 3" xfId="9020"/>
    <cellStyle name="Note 32" xfId="9021"/>
    <cellStyle name="Note 32 2" xfId="9022"/>
    <cellStyle name="Note 32 2 2" xfId="9023"/>
    <cellStyle name="Note 32 3" xfId="9024"/>
    <cellStyle name="Note 33" xfId="9025"/>
    <cellStyle name="Note 33 2" xfId="9026"/>
    <cellStyle name="Note 33 2 2" xfId="9027"/>
    <cellStyle name="Note 33 3" xfId="9028"/>
    <cellStyle name="Note 34" xfId="9029"/>
    <cellStyle name="Note 34 2" xfId="9030"/>
    <cellStyle name="Note 34 2 2" xfId="9031"/>
    <cellStyle name="Note 34 3" xfId="9032"/>
    <cellStyle name="Note 35" xfId="9033"/>
    <cellStyle name="Note 35 2" xfId="9034"/>
    <cellStyle name="Note 35 2 2" xfId="9035"/>
    <cellStyle name="Note 35 3" xfId="9036"/>
    <cellStyle name="Note 36" xfId="9037"/>
    <cellStyle name="Note 36 2" xfId="9038"/>
    <cellStyle name="Note 36 2 2" xfId="9039"/>
    <cellStyle name="Note 36 3" xfId="9040"/>
    <cellStyle name="Note 37" xfId="9041"/>
    <cellStyle name="Note 37 2" xfId="9042"/>
    <cellStyle name="Note 37 2 2" xfId="9043"/>
    <cellStyle name="Note 37 3" xfId="9044"/>
    <cellStyle name="Note 38" xfId="9045"/>
    <cellStyle name="Note 38 2" xfId="9046"/>
    <cellStyle name="Note 38 2 2" xfId="9047"/>
    <cellStyle name="Note 38 3" xfId="9048"/>
    <cellStyle name="Note 39" xfId="9049"/>
    <cellStyle name="Note 39 2" xfId="9050"/>
    <cellStyle name="Note 39 2 2" xfId="9051"/>
    <cellStyle name="Note 39 3" xfId="9052"/>
    <cellStyle name="Note 4" xfId="9053"/>
    <cellStyle name="Note 4 2" xfId="9054"/>
    <cellStyle name="Note 4 2 2" xfId="9055"/>
    <cellStyle name="Note 4 2 2 2" xfId="9056"/>
    <cellStyle name="Note 4 2 3" xfId="9057"/>
    <cellStyle name="Note 4 3" xfId="9058"/>
    <cellStyle name="Note 4 3 2" xfId="9059"/>
    <cellStyle name="Note 4 4" xfId="9060"/>
    <cellStyle name="Note 40" xfId="9061"/>
    <cellStyle name="Note 40 2" xfId="9062"/>
    <cellStyle name="Note 40 2 2" xfId="9063"/>
    <cellStyle name="Note 40 3" xfId="9064"/>
    <cellStyle name="Note 41" xfId="9065"/>
    <cellStyle name="Note 41 2" xfId="9066"/>
    <cellStyle name="Note 41 2 2" xfId="9067"/>
    <cellStyle name="Note 41 3" xfId="9068"/>
    <cellStyle name="Note 42" xfId="9069"/>
    <cellStyle name="Note 42 2" xfId="9070"/>
    <cellStyle name="Note 42 2 2" xfId="9071"/>
    <cellStyle name="Note 42 3" xfId="9072"/>
    <cellStyle name="Note 43" xfId="9073"/>
    <cellStyle name="Note 43 2" xfId="9074"/>
    <cellStyle name="Note 43 2 2" xfId="9075"/>
    <cellStyle name="Note 43 3" xfId="9076"/>
    <cellStyle name="Note 44" xfId="9077"/>
    <cellStyle name="Note 44 2" xfId="9078"/>
    <cellStyle name="Note 44 2 2" xfId="9079"/>
    <cellStyle name="Note 44 3" xfId="9080"/>
    <cellStyle name="Note 45" xfId="9081"/>
    <cellStyle name="Note 45 2" xfId="9082"/>
    <cellStyle name="Note 45 2 2" xfId="9083"/>
    <cellStyle name="Note 45 3" xfId="9084"/>
    <cellStyle name="Note 46" xfId="9085"/>
    <cellStyle name="Note 46 2" xfId="9086"/>
    <cellStyle name="Note 46 2 2" xfId="9087"/>
    <cellStyle name="Note 46 3" xfId="9088"/>
    <cellStyle name="Note 47" xfId="9089"/>
    <cellStyle name="Note 47 2" xfId="9090"/>
    <cellStyle name="Note 47 2 2" xfId="9091"/>
    <cellStyle name="Note 47 3" xfId="9092"/>
    <cellStyle name="Note 48" xfId="9093"/>
    <cellStyle name="Note 48 2" xfId="9094"/>
    <cellStyle name="Note 48 2 2" xfId="9095"/>
    <cellStyle name="Note 48 3" xfId="9096"/>
    <cellStyle name="Note 49" xfId="9097"/>
    <cellStyle name="Note 49 2" xfId="9098"/>
    <cellStyle name="Note 49 2 2" xfId="9099"/>
    <cellStyle name="Note 49 3" xfId="9100"/>
    <cellStyle name="Note 5" xfId="9101"/>
    <cellStyle name="Note 5 2" xfId="9102"/>
    <cellStyle name="Note 5 2 2" xfId="9103"/>
    <cellStyle name="Note 5 2 2 2" xfId="9104"/>
    <cellStyle name="Note 5 2 3" xfId="9105"/>
    <cellStyle name="Note 5 3" xfId="9106"/>
    <cellStyle name="Note 5 3 2" xfId="9107"/>
    <cellStyle name="Note 5 4" xfId="9108"/>
    <cellStyle name="Note 50" xfId="9109"/>
    <cellStyle name="Note 50 2" xfId="9110"/>
    <cellStyle name="Note 50 2 2" xfId="9111"/>
    <cellStyle name="Note 50 3" xfId="9112"/>
    <cellStyle name="Note 51" xfId="9113"/>
    <cellStyle name="Note 51 2" xfId="9114"/>
    <cellStyle name="Note 51 2 2" xfId="9115"/>
    <cellStyle name="Note 51 3" xfId="9116"/>
    <cellStyle name="Note 52" xfId="9117"/>
    <cellStyle name="Note 52 2" xfId="9118"/>
    <cellStyle name="Note 52 2 2" xfId="9119"/>
    <cellStyle name="Note 52 3" xfId="9120"/>
    <cellStyle name="Note 53" xfId="9121"/>
    <cellStyle name="Note 53 2" xfId="9122"/>
    <cellStyle name="Note 53 2 2" xfId="9123"/>
    <cellStyle name="Note 53 3" xfId="9124"/>
    <cellStyle name="Note 54" xfId="9125"/>
    <cellStyle name="Note 54 2" xfId="9126"/>
    <cellStyle name="Note 54 2 2" xfId="9127"/>
    <cellStyle name="Note 54 3" xfId="9128"/>
    <cellStyle name="Note 55" xfId="9129"/>
    <cellStyle name="Note 55 2" xfId="9130"/>
    <cellStyle name="Note 55 2 2" xfId="9131"/>
    <cellStyle name="Note 55 3" xfId="9132"/>
    <cellStyle name="Note 56" xfId="9133"/>
    <cellStyle name="Note 56 2" xfId="9134"/>
    <cellStyle name="Note 56 2 2" xfId="9135"/>
    <cellStyle name="Note 56 3" xfId="9136"/>
    <cellStyle name="Note 57" xfId="9137"/>
    <cellStyle name="Note 57 2" xfId="9138"/>
    <cellStyle name="Note 57 2 2" xfId="9139"/>
    <cellStyle name="Note 57 3" xfId="9140"/>
    <cellStyle name="Note 58" xfId="9141"/>
    <cellStyle name="Note 58 2" xfId="9142"/>
    <cellStyle name="Note 58 2 2" xfId="9143"/>
    <cellStyle name="Note 58 3" xfId="9144"/>
    <cellStyle name="Note 59" xfId="9145"/>
    <cellStyle name="Note 59 2" xfId="9146"/>
    <cellStyle name="Note 59 2 2" xfId="9147"/>
    <cellStyle name="Note 59 3" xfId="9148"/>
    <cellStyle name="Note 6" xfId="9149"/>
    <cellStyle name="Note 6 2" xfId="9150"/>
    <cellStyle name="Note 6 2 2" xfId="9151"/>
    <cellStyle name="Note 6 3" xfId="9152"/>
    <cellStyle name="Note 60" xfId="9153"/>
    <cellStyle name="Note 60 2" xfId="9154"/>
    <cellStyle name="Note 60 2 2" xfId="9155"/>
    <cellStyle name="Note 60 3" xfId="9156"/>
    <cellStyle name="Note 61" xfId="9157"/>
    <cellStyle name="Note 61 2" xfId="9158"/>
    <cellStyle name="Note 62" xfId="9159"/>
    <cellStyle name="Note 62 2" xfId="9160"/>
    <cellStyle name="Note 63" xfId="9161"/>
    <cellStyle name="Note 63 2" xfId="9162"/>
    <cellStyle name="Note 64" xfId="9163"/>
    <cellStyle name="Note 64 2" xfId="9164"/>
    <cellStyle name="Note 65" xfId="9165"/>
    <cellStyle name="Note 65 2" xfId="9166"/>
    <cellStyle name="Note 66" xfId="9167"/>
    <cellStyle name="Note 66 2" xfId="9168"/>
    <cellStyle name="Note 67" xfId="9169"/>
    <cellStyle name="Note 67 2" xfId="9170"/>
    <cellStyle name="Note 68" xfId="9171"/>
    <cellStyle name="Note 68 2" xfId="9172"/>
    <cellStyle name="Note 69" xfId="9173"/>
    <cellStyle name="Note 69 2" xfId="9174"/>
    <cellStyle name="Note 7" xfId="9175"/>
    <cellStyle name="Note 7 2" xfId="9176"/>
    <cellStyle name="Note 7 2 2" xfId="9177"/>
    <cellStyle name="Note 7 3" xfId="9178"/>
    <cellStyle name="Note 70" xfId="9179"/>
    <cellStyle name="Note 70 2" xfId="9180"/>
    <cellStyle name="Note 71" xfId="9181"/>
    <cellStyle name="Note 71 2" xfId="9182"/>
    <cellStyle name="Note 72" xfId="9183"/>
    <cellStyle name="Note 72 2" xfId="9184"/>
    <cellStyle name="Note 73" xfId="9185"/>
    <cellStyle name="Note 73 2" xfId="9186"/>
    <cellStyle name="Note 74" xfId="9187"/>
    <cellStyle name="Note 74 2" xfId="9188"/>
    <cellStyle name="Note 75" xfId="9189"/>
    <cellStyle name="Note 75 2" xfId="9190"/>
    <cellStyle name="Note 76" xfId="9191"/>
    <cellStyle name="Note 76 2" xfId="9192"/>
    <cellStyle name="Note 77" xfId="9193"/>
    <cellStyle name="Note 77 2" xfId="9194"/>
    <cellStyle name="Note 78" xfId="9195"/>
    <cellStyle name="Note 78 2" xfId="9196"/>
    <cellStyle name="Note 79" xfId="9197"/>
    <cellStyle name="Note 79 2" xfId="9198"/>
    <cellStyle name="Note 8" xfId="9199"/>
    <cellStyle name="Note 8 2" xfId="9200"/>
    <cellStyle name="Note 8 2 2" xfId="9201"/>
    <cellStyle name="Note 8 3" xfId="9202"/>
    <cellStyle name="Note 80" xfId="9203"/>
    <cellStyle name="Note 80 2" xfId="9204"/>
    <cellStyle name="Note 81" xfId="9205"/>
    <cellStyle name="Note 81 2" xfId="9206"/>
    <cellStyle name="Note 82" xfId="9207"/>
    <cellStyle name="Note 82 2" xfId="9208"/>
    <cellStyle name="Note 83" xfId="9209"/>
    <cellStyle name="Note 83 2" xfId="9210"/>
    <cellStyle name="Note 84" xfId="9211"/>
    <cellStyle name="Note 84 2" xfId="9212"/>
    <cellStyle name="Note 85" xfId="9213"/>
    <cellStyle name="Note 85 2" xfId="9214"/>
    <cellStyle name="Note 86" xfId="9215"/>
    <cellStyle name="Note 86 2" xfId="9216"/>
    <cellStyle name="Note 87" xfId="9217"/>
    <cellStyle name="Note 87 2" xfId="9218"/>
    <cellStyle name="Note 88" xfId="9219"/>
    <cellStyle name="Note 88 2" xfId="9220"/>
    <cellStyle name="Note 89" xfId="9221"/>
    <cellStyle name="Note 89 2" xfId="9222"/>
    <cellStyle name="Note 9" xfId="9223"/>
    <cellStyle name="Note 9 2" xfId="9224"/>
    <cellStyle name="Note 9 2 2" xfId="9225"/>
    <cellStyle name="Note 9 3" xfId="9226"/>
    <cellStyle name="Note 90" xfId="9227"/>
    <cellStyle name="Note 90 2" xfId="9228"/>
    <cellStyle name="Note 91" xfId="9229"/>
    <cellStyle name="Note 91 2" xfId="9230"/>
    <cellStyle name="Note 92" xfId="9231"/>
    <cellStyle name="Note 92 2" xfId="9232"/>
    <cellStyle name="Note 93" xfId="9233"/>
    <cellStyle name="Note 93 2" xfId="9234"/>
    <cellStyle name="Note 94" xfId="9235"/>
    <cellStyle name="Note 94 2" xfId="9236"/>
    <cellStyle name="Note 95" xfId="9237"/>
    <cellStyle name="Note 95 2" xfId="9238"/>
    <cellStyle name="Note 96" xfId="9239"/>
    <cellStyle name="Note 96 2" xfId="9240"/>
    <cellStyle name="Note 97" xfId="9241"/>
    <cellStyle name="Note 97 2" xfId="9242"/>
    <cellStyle name="Note 98" xfId="9243"/>
    <cellStyle name="Note 98 2" xfId="9244"/>
    <cellStyle name="Note 99" xfId="9245"/>
    <cellStyle name="Note 99 2" xfId="9246"/>
    <cellStyle name="Notiz" xfId="9247"/>
    <cellStyle name="Notiz 10" xfId="9248"/>
    <cellStyle name="Notiz 10 2" xfId="9249"/>
    <cellStyle name="Notiz 100" xfId="9250"/>
    <cellStyle name="Notiz 100 2" xfId="9251"/>
    <cellStyle name="Notiz 101" xfId="9252"/>
    <cellStyle name="Notiz 101 2" xfId="9253"/>
    <cellStyle name="Notiz 102" xfId="9254"/>
    <cellStyle name="Notiz 102 2" xfId="9255"/>
    <cellStyle name="Notiz 103" xfId="9256"/>
    <cellStyle name="Notiz 103 2" xfId="9257"/>
    <cellStyle name="Notiz 104" xfId="9258"/>
    <cellStyle name="Notiz 104 2" xfId="9259"/>
    <cellStyle name="Notiz 105" xfId="9260"/>
    <cellStyle name="Notiz 105 2" xfId="9261"/>
    <cellStyle name="Notiz 106" xfId="9262"/>
    <cellStyle name="Notiz 106 2" xfId="9263"/>
    <cellStyle name="Notiz 107" xfId="9264"/>
    <cellStyle name="Notiz 107 2" xfId="9265"/>
    <cellStyle name="Notiz 108" xfId="9266"/>
    <cellStyle name="Notiz 108 2" xfId="9267"/>
    <cellStyle name="Notiz 109" xfId="9268"/>
    <cellStyle name="Notiz 109 2" xfId="9269"/>
    <cellStyle name="Notiz 11" xfId="9270"/>
    <cellStyle name="Notiz 11 2" xfId="9271"/>
    <cellStyle name="Notiz 110" xfId="9272"/>
    <cellStyle name="Notiz 110 2" xfId="9273"/>
    <cellStyle name="Notiz 111" xfId="9274"/>
    <cellStyle name="Notiz 111 2" xfId="9275"/>
    <cellStyle name="Notiz 112" xfId="9276"/>
    <cellStyle name="Notiz 112 2" xfId="9277"/>
    <cellStyle name="Notiz 113" xfId="9278"/>
    <cellStyle name="Notiz 113 2" xfId="9279"/>
    <cellStyle name="Notiz 114" xfId="9280"/>
    <cellStyle name="Notiz 114 2" xfId="9281"/>
    <cellStyle name="Notiz 115" xfId="9282"/>
    <cellStyle name="Notiz 115 2" xfId="9283"/>
    <cellStyle name="Notiz 116" xfId="9284"/>
    <cellStyle name="Notiz 116 2" xfId="9285"/>
    <cellStyle name="Notiz 117" xfId="9286"/>
    <cellStyle name="Notiz 117 2" xfId="9287"/>
    <cellStyle name="Notiz 118" xfId="9288"/>
    <cellStyle name="Notiz 118 2" xfId="9289"/>
    <cellStyle name="Notiz 119" xfId="9290"/>
    <cellStyle name="Notiz 119 2" xfId="9291"/>
    <cellStyle name="Notiz 12" xfId="9292"/>
    <cellStyle name="Notiz 12 2" xfId="9293"/>
    <cellStyle name="Notiz 120" xfId="9294"/>
    <cellStyle name="Notiz 120 2" xfId="9295"/>
    <cellStyle name="Notiz 121" xfId="9296"/>
    <cellStyle name="Notiz 121 2" xfId="9297"/>
    <cellStyle name="Notiz 122" xfId="9298"/>
    <cellStyle name="Notiz 122 2" xfId="9299"/>
    <cellStyle name="Notiz 123" xfId="9300"/>
    <cellStyle name="Notiz 123 2" xfId="9301"/>
    <cellStyle name="Notiz 124" xfId="9302"/>
    <cellStyle name="Notiz 124 2" xfId="9303"/>
    <cellStyle name="Notiz 125" xfId="9304"/>
    <cellStyle name="Notiz 125 2" xfId="9305"/>
    <cellStyle name="Notiz 126" xfId="9306"/>
    <cellStyle name="Notiz 126 2" xfId="9307"/>
    <cellStyle name="Notiz 127" xfId="9308"/>
    <cellStyle name="Notiz 127 2" xfId="9309"/>
    <cellStyle name="Notiz 128" xfId="9310"/>
    <cellStyle name="Notiz 128 2" xfId="9311"/>
    <cellStyle name="Notiz 129" xfId="9312"/>
    <cellStyle name="Notiz 129 2" xfId="9313"/>
    <cellStyle name="Notiz 13" xfId="9314"/>
    <cellStyle name="Notiz 13 2" xfId="9315"/>
    <cellStyle name="Notiz 130" xfId="9316"/>
    <cellStyle name="Notiz 130 2" xfId="9317"/>
    <cellStyle name="Notiz 131" xfId="9318"/>
    <cellStyle name="Notiz 131 2" xfId="9319"/>
    <cellStyle name="Notiz 132" xfId="9320"/>
    <cellStyle name="Notiz 132 2" xfId="9321"/>
    <cellStyle name="Notiz 133" xfId="9322"/>
    <cellStyle name="Notiz 133 2" xfId="9323"/>
    <cellStyle name="Notiz 134" xfId="9324"/>
    <cellStyle name="Notiz 134 2" xfId="9325"/>
    <cellStyle name="Notiz 135" xfId="9326"/>
    <cellStyle name="Notiz 135 2" xfId="9327"/>
    <cellStyle name="Notiz 136" xfId="9328"/>
    <cellStyle name="Notiz 136 2" xfId="9329"/>
    <cellStyle name="Notiz 137" xfId="9330"/>
    <cellStyle name="Notiz 137 2" xfId="9331"/>
    <cellStyle name="Notiz 138" xfId="9332"/>
    <cellStyle name="Notiz 138 2" xfId="9333"/>
    <cellStyle name="Notiz 139" xfId="9334"/>
    <cellStyle name="Notiz 139 2" xfId="9335"/>
    <cellStyle name="Notiz 14" xfId="9336"/>
    <cellStyle name="Notiz 14 2" xfId="9337"/>
    <cellStyle name="Notiz 140" xfId="9338"/>
    <cellStyle name="Notiz 140 2" xfId="9339"/>
    <cellStyle name="Notiz 141" xfId="9340"/>
    <cellStyle name="Notiz 141 2" xfId="9341"/>
    <cellStyle name="Notiz 142" xfId="9342"/>
    <cellStyle name="Notiz 142 2" xfId="9343"/>
    <cellStyle name="Notiz 143" xfId="9344"/>
    <cellStyle name="Notiz 143 2" xfId="9345"/>
    <cellStyle name="Notiz 144" xfId="9346"/>
    <cellStyle name="Notiz 144 2" xfId="9347"/>
    <cellStyle name="Notiz 145" xfId="9348"/>
    <cellStyle name="Notiz 145 2" xfId="9349"/>
    <cellStyle name="Notiz 146" xfId="9350"/>
    <cellStyle name="Notiz 146 2" xfId="9351"/>
    <cellStyle name="Notiz 147" xfId="9352"/>
    <cellStyle name="Notiz 147 2" xfId="9353"/>
    <cellStyle name="Notiz 148" xfId="9354"/>
    <cellStyle name="Notiz 148 2" xfId="9355"/>
    <cellStyle name="Notiz 149" xfId="9356"/>
    <cellStyle name="Notiz 149 2" xfId="9357"/>
    <cellStyle name="Notiz 15" xfId="9358"/>
    <cellStyle name="Notiz 15 2" xfId="9359"/>
    <cellStyle name="Notiz 15 2 2" xfId="9360"/>
    <cellStyle name="Notiz 15 3" xfId="9361"/>
    <cellStyle name="Notiz 150" xfId="9362"/>
    <cellStyle name="Notiz 150 2" xfId="9363"/>
    <cellStyle name="Notiz 151" xfId="9364"/>
    <cellStyle name="Notiz 151 2" xfId="9365"/>
    <cellStyle name="Notiz 16" xfId="9366"/>
    <cellStyle name="Notiz 16 2" xfId="9367"/>
    <cellStyle name="Notiz 16 2 2" xfId="9368"/>
    <cellStyle name="Notiz 16 3" xfId="9369"/>
    <cellStyle name="Notiz 17" xfId="9370"/>
    <cellStyle name="Notiz 17 2" xfId="9371"/>
    <cellStyle name="Notiz 17 2 2" xfId="9372"/>
    <cellStyle name="Notiz 17 3" xfId="9373"/>
    <cellStyle name="Notiz 18" xfId="9374"/>
    <cellStyle name="Notiz 18 2" xfId="9375"/>
    <cellStyle name="Notiz 18 2 2" xfId="9376"/>
    <cellStyle name="Notiz 18 3" xfId="9377"/>
    <cellStyle name="Notiz 19" xfId="9378"/>
    <cellStyle name="Notiz 19 2" xfId="9379"/>
    <cellStyle name="Notiz 19 2 2" xfId="9380"/>
    <cellStyle name="Notiz 19 3" xfId="9381"/>
    <cellStyle name="Notiz 2" xfId="9382"/>
    <cellStyle name="Notiz 2 2" xfId="9383"/>
    <cellStyle name="Notiz 2 2 2" xfId="9384"/>
    <cellStyle name="Notiz 2 3" xfId="9385"/>
    <cellStyle name="Notiz 2 3 2" xfId="9386"/>
    <cellStyle name="Notiz 2 4" xfId="9387"/>
    <cellStyle name="Notiz 2 4 2" xfId="9388"/>
    <cellStyle name="Notiz 2 5" xfId="9389"/>
    <cellStyle name="Notiz 20" xfId="9390"/>
    <cellStyle name="Notiz 20 2" xfId="9391"/>
    <cellStyle name="Notiz 20 2 2" xfId="9392"/>
    <cellStyle name="Notiz 20 3" xfId="9393"/>
    <cellStyle name="Notiz 21" xfId="9394"/>
    <cellStyle name="Notiz 21 2" xfId="9395"/>
    <cellStyle name="Notiz 21 2 2" xfId="9396"/>
    <cellStyle name="Notiz 21 3" xfId="9397"/>
    <cellStyle name="Notiz 22" xfId="9398"/>
    <cellStyle name="Notiz 22 2" xfId="9399"/>
    <cellStyle name="Notiz 22 2 2" xfId="9400"/>
    <cellStyle name="Notiz 22 3" xfId="9401"/>
    <cellStyle name="Notiz 23" xfId="9402"/>
    <cellStyle name="Notiz 23 2" xfId="9403"/>
    <cellStyle name="Notiz 23 2 2" xfId="9404"/>
    <cellStyle name="Notiz 23 3" xfId="9405"/>
    <cellStyle name="Notiz 24" xfId="9406"/>
    <cellStyle name="Notiz 24 2" xfId="9407"/>
    <cellStyle name="Notiz 24 2 2" xfId="9408"/>
    <cellStyle name="Notiz 24 3" xfId="9409"/>
    <cellStyle name="Notiz 25" xfId="9410"/>
    <cellStyle name="Notiz 25 2" xfId="9411"/>
    <cellStyle name="Notiz 25 2 2" xfId="9412"/>
    <cellStyle name="Notiz 25 3" xfId="9413"/>
    <cellStyle name="Notiz 26" xfId="9414"/>
    <cellStyle name="Notiz 26 2" xfId="9415"/>
    <cellStyle name="Notiz 26 2 2" xfId="9416"/>
    <cellStyle name="Notiz 26 3" xfId="9417"/>
    <cellStyle name="Notiz 27" xfId="9418"/>
    <cellStyle name="Notiz 27 2" xfId="9419"/>
    <cellStyle name="Notiz 27 2 2" xfId="9420"/>
    <cellStyle name="Notiz 27 3" xfId="9421"/>
    <cellStyle name="Notiz 28" xfId="9422"/>
    <cellStyle name="Notiz 28 2" xfId="9423"/>
    <cellStyle name="Notiz 28 2 2" xfId="9424"/>
    <cellStyle name="Notiz 28 3" xfId="9425"/>
    <cellStyle name="Notiz 29" xfId="9426"/>
    <cellStyle name="Notiz 29 2" xfId="9427"/>
    <cellStyle name="Notiz 29 2 2" xfId="9428"/>
    <cellStyle name="Notiz 29 3" xfId="9429"/>
    <cellStyle name="Notiz 3" xfId="9430"/>
    <cellStyle name="Notiz 3 2" xfId="9431"/>
    <cellStyle name="Notiz 3 2 2" xfId="9432"/>
    <cellStyle name="Notiz 3 3" xfId="9433"/>
    <cellStyle name="Notiz 3 3 2" xfId="9434"/>
    <cellStyle name="Notiz 3 4" xfId="9435"/>
    <cellStyle name="Notiz 3 4 2" xfId="9436"/>
    <cellStyle name="Notiz 3 5" xfId="9437"/>
    <cellStyle name="Notiz 30" xfId="9438"/>
    <cellStyle name="Notiz 30 2" xfId="9439"/>
    <cellStyle name="Notiz 30 2 2" xfId="9440"/>
    <cellStyle name="Notiz 30 3" xfId="9441"/>
    <cellStyle name="Notiz 31" xfId="9442"/>
    <cellStyle name="Notiz 31 2" xfId="9443"/>
    <cellStyle name="Notiz 31 2 2" xfId="9444"/>
    <cellStyle name="Notiz 31 3" xfId="9445"/>
    <cellStyle name="Notiz 32" xfId="9446"/>
    <cellStyle name="Notiz 32 2" xfId="9447"/>
    <cellStyle name="Notiz 32 2 2" xfId="9448"/>
    <cellStyle name="Notiz 32 3" xfId="9449"/>
    <cellStyle name="Notiz 33" xfId="9450"/>
    <cellStyle name="Notiz 33 2" xfId="9451"/>
    <cellStyle name="Notiz 33 2 2" xfId="9452"/>
    <cellStyle name="Notiz 33 3" xfId="9453"/>
    <cellStyle name="Notiz 34" xfId="9454"/>
    <cellStyle name="Notiz 34 2" xfId="9455"/>
    <cellStyle name="Notiz 34 2 2" xfId="9456"/>
    <cellStyle name="Notiz 34 3" xfId="9457"/>
    <cellStyle name="Notiz 35" xfId="9458"/>
    <cellStyle name="Notiz 35 2" xfId="9459"/>
    <cellStyle name="Notiz 35 2 2" xfId="9460"/>
    <cellStyle name="Notiz 35 3" xfId="9461"/>
    <cellStyle name="Notiz 36" xfId="9462"/>
    <cellStyle name="Notiz 36 2" xfId="9463"/>
    <cellStyle name="Notiz 36 2 2" xfId="9464"/>
    <cellStyle name="Notiz 36 3" xfId="9465"/>
    <cellStyle name="Notiz 37" xfId="9466"/>
    <cellStyle name="Notiz 37 2" xfId="9467"/>
    <cellStyle name="Notiz 37 2 2" xfId="9468"/>
    <cellStyle name="Notiz 37 3" xfId="9469"/>
    <cellStyle name="Notiz 38" xfId="9470"/>
    <cellStyle name="Notiz 38 2" xfId="9471"/>
    <cellStyle name="Notiz 38 2 2" xfId="9472"/>
    <cellStyle name="Notiz 38 3" xfId="9473"/>
    <cellStyle name="Notiz 39" xfId="9474"/>
    <cellStyle name="Notiz 39 2" xfId="9475"/>
    <cellStyle name="Notiz 39 2 2" xfId="9476"/>
    <cellStyle name="Notiz 39 3" xfId="9477"/>
    <cellStyle name="Notiz 4" xfId="9478"/>
    <cellStyle name="Notiz 4 2" xfId="9479"/>
    <cellStyle name="Notiz 4 2 2" xfId="9480"/>
    <cellStyle name="Notiz 4 3" xfId="9481"/>
    <cellStyle name="Notiz 4 3 2" xfId="9482"/>
    <cellStyle name="Notiz 4 4" xfId="9483"/>
    <cellStyle name="Notiz 4 4 2" xfId="9484"/>
    <cellStyle name="Notiz 4 5" xfId="9485"/>
    <cellStyle name="Notiz 40" xfId="9486"/>
    <cellStyle name="Notiz 40 2" xfId="9487"/>
    <cellStyle name="Notiz 40 2 2" xfId="9488"/>
    <cellStyle name="Notiz 40 3" xfId="9489"/>
    <cellStyle name="Notiz 41" xfId="9490"/>
    <cellStyle name="Notiz 41 2" xfId="9491"/>
    <cellStyle name="Notiz 41 2 2" xfId="9492"/>
    <cellStyle name="Notiz 41 3" xfId="9493"/>
    <cellStyle name="Notiz 42" xfId="9494"/>
    <cellStyle name="Notiz 42 2" xfId="9495"/>
    <cellStyle name="Notiz 42 2 2" xfId="9496"/>
    <cellStyle name="Notiz 42 3" xfId="9497"/>
    <cellStyle name="Notiz 43" xfId="9498"/>
    <cellStyle name="Notiz 43 2" xfId="9499"/>
    <cellStyle name="Notiz 43 2 2" xfId="9500"/>
    <cellStyle name="Notiz 43 3" xfId="9501"/>
    <cellStyle name="Notiz 44" xfId="9502"/>
    <cellStyle name="Notiz 44 2" xfId="9503"/>
    <cellStyle name="Notiz 44 2 2" xfId="9504"/>
    <cellStyle name="Notiz 44 3" xfId="9505"/>
    <cellStyle name="Notiz 45" xfId="9506"/>
    <cellStyle name="Notiz 45 2" xfId="9507"/>
    <cellStyle name="Notiz 45 2 2" xfId="9508"/>
    <cellStyle name="Notiz 45 3" xfId="9509"/>
    <cellStyle name="Notiz 46" xfId="9510"/>
    <cellStyle name="Notiz 46 2" xfId="9511"/>
    <cellStyle name="Notiz 46 2 2" xfId="9512"/>
    <cellStyle name="Notiz 46 3" xfId="9513"/>
    <cellStyle name="Notiz 47" xfId="9514"/>
    <cellStyle name="Notiz 47 2" xfId="9515"/>
    <cellStyle name="Notiz 47 2 2" xfId="9516"/>
    <cellStyle name="Notiz 47 3" xfId="9517"/>
    <cellStyle name="Notiz 48" xfId="9518"/>
    <cellStyle name="Notiz 48 2" xfId="9519"/>
    <cellStyle name="Notiz 48 2 2" xfId="9520"/>
    <cellStyle name="Notiz 48 3" xfId="9521"/>
    <cellStyle name="Notiz 49" xfId="9522"/>
    <cellStyle name="Notiz 49 2" xfId="9523"/>
    <cellStyle name="Notiz 49 2 2" xfId="9524"/>
    <cellStyle name="Notiz 49 3" xfId="9525"/>
    <cellStyle name="Notiz 5" xfId="9526"/>
    <cellStyle name="Notiz 5 2" xfId="9527"/>
    <cellStyle name="Notiz 5 2 2" xfId="9528"/>
    <cellStyle name="Notiz 5 3" xfId="9529"/>
    <cellStyle name="Notiz 5 3 2" xfId="9530"/>
    <cellStyle name="Notiz 5 4" xfId="9531"/>
    <cellStyle name="Notiz 5 4 2" xfId="9532"/>
    <cellStyle name="Notiz 5 5" xfId="9533"/>
    <cellStyle name="Notiz 50" xfId="9534"/>
    <cellStyle name="Notiz 50 2" xfId="9535"/>
    <cellStyle name="Notiz 50 2 2" xfId="9536"/>
    <cellStyle name="Notiz 50 3" xfId="9537"/>
    <cellStyle name="Notiz 51" xfId="9538"/>
    <cellStyle name="Notiz 51 2" xfId="9539"/>
    <cellStyle name="Notiz 51 2 2" xfId="9540"/>
    <cellStyle name="Notiz 51 3" xfId="9541"/>
    <cellStyle name="Notiz 52" xfId="9542"/>
    <cellStyle name="Notiz 52 2" xfId="9543"/>
    <cellStyle name="Notiz 52 2 2" xfId="9544"/>
    <cellStyle name="Notiz 52 3" xfId="9545"/>
    <cellStyle name="Notiz 53" xfId="9546"/>
    <cellStyle name="Notiz 53 2" xfId="9547"/>
    <cellStyle name="Notiz 53 2 2" xfId="9548"/>
    <cellStyle name="Notiz 53 3" xfId="9549"/>
    <cellStyle name="Notiz 54" xfId="9550"/>
    <cellStyle name="Notiz 54 2" xfId="9551"/>
    <cellStyle name="Notiz 54 2 2" xfId="9552"/>
    <cellStyle name="Notiz 54 3" xfId="9553"/>
    <cellStyle name="Notiz 55" xfId="9554"/>
    <cellStyle name="Notiz 55 2" xfId="9555"/>
    <cellStyle name="Notiz 55 2 2" xfId="9556"/>
    <cellStyle name="Notiz 55 3" xfId="9557"/>
    <cellStyle name="Notiz 56" xfId="9558"/>
    <cellStyle name="Notiz 56 2" xfId="9559"/>
    <cellStyle name="Notiz 56 2 2" xfId="9560"/>
    <cellStyle name="Notiz 56 3" xfId="9561"/>
    <cellStyle name="Notiz 57" xfId="9562"/>
    <cellStyle name="Notiz 57 2" xfId="9563"/>
    <cellStyle name="Notiz 57 2 2" xfId="9564"/>
    <cellStyle name="Notiz 57 3" xfId="9565"/>
    <cellStyle name="Notiz 58" xfId="9566"/>
    <cellStyle name="Notiz 58 2" xfId="9567"/>
    <cellStyle name="Notiz 58 2 2" xfId="9568"/>
    <cellStyle name="Notiz 58 3" xfId="9569"/>
    <cellStyle name="Notiz 59" xfId="9570"/>
    <cellStyle name="Notiz 59 2" xfId="9571"/>
    <cellStyle name="Notiz 59 2 2" xfId="9572"/>
    <cellStyle name="Notiz 59 3" xfId="9573"/>
    <cellStyle name="Notiz 6" xfId="9574"/>
    <cellStyle name="Notiz 6 2" xfId="9575"/>
    <cellStyle name="Notiz 60" xfId="9576"/>
    <cellStyle name="Notiz 60 2" xfId="9577"/>
    <cellStyle name="Notiz 60 2 2" xfId="9578"/>
    <cellStyle name="Notiz 60 3" xfId="9579"/>
    <cellStyle name="Notiz 61" xfId="9580"/>
    <cellStyle name="Notiz 61 2" xfId="9581"/>
    <cellStyle name="Notiz 61 2 2" xfId="9582"/>
    <cellStyle name="Notiz 61 3" xfId="9583"/>
    <cellStyle name="Notiz 62" xfId="9584"/>
    <cellStyle name="Notiz 62 2" xfId="9585"/>
    <cellStyle name="Notiz 62 2 2" xfId="9586"/>
    <cellStyle name="Notiz 62 3" xfId="9587"/>
    <cellStyle name="Notiz 63" xfId="9588"/>
    <cellStyle name="Notiz 63 2" xfId="9589"/>
    <cellStyle name="Notiz 63 2 2" xfId="9590"/>
    <cellStyle name="Notiz 63 3" xfId="9591"/>
    <cellStyle name="Notiz 64" xfId="9592"/>
    <cellStyle name="Notiz 64 2" xfId="9593"/>
    <cellStyle name="Notiz 64 2 2" xfId="9594"/>
    <cellStyle name="Notiz 64 3" xfId="9595"/>
    <cellStyle name="Notiz 65" xfId="9596"/>
    <cellStyle name="Notiz 65 2" xfId="9597"/>
    <cellStyle name="Notiz 65 2 2" xfId="9598"/>
    <cellStyle name="Notiz 65 3" xfId="9599"/>
    <cellStyle name="Notiz 66" xfId="9600"/>
    <cellStyle name="Notiz 66 2" xfId="9601"/>
    <cellStyle name="Notiz 66 2 2" xfId="9602"/>
    <cellStyle name="Notiz 66 3" xfId="9603"/>
    <cellStyle name="Notiz 67" xfId="9604"/>
    <cellStyle name="Notiz 67 2" xfId="9605"/>
    <cellStyle name="Notiz 67 2 2" xfId="9606"/>
    <cellStyle name="Notiz 67 3" xfId="9607"/>
    <cellStyle name="Notiz 68" xfId="9608"/>
    <cellStyle name="Notiz 68 2" xfId="9609"/>
    <cellStyle name="Notiz 68 2 2" xfId="9610"/>
    <cellStyle name="Notiz 68 3" xfId="9611"/>
    <cellStyle name="Notiz 69" xfId="9612"/>
    <cellStyle name="Notiz 69 2" xfId="9613"/>
    <cellStyle name="Notiz 69 2 2" xfId="9614"/>
    <cellStyle name="Notiz 69 3" xfId="9615"/>
    <cellStyle name="Notiz 7" xfId="9616"/>
    <cellStyle name="Notiz 7 2" xfId="9617"/>
    <cellStyle name="Notiz 70" xfId="9618"/>
    <cellStyle name="Notiz 70 2" xfId="9619"/>
    <cellStyle name="Notiz 70 2 2" xfId="9620"/>
    <cellStyle name="Notiz 70 3" xfId="9621"/>
    <cellStyle name="Notiz 71" xfId="9622"/>
    <cellStyle name="Notiz 71 2" xfId="9623"/>
    <cellStyle name="Notiz 71 2 2" xfId="9624"/>
    <cellStyle name="Notiz 71 3" xfId="9625"/>
    <cellStyle name="Notiz 72" xfId="9626"/>
    <cellStyle name="Notiz 72 2" xfId="9627"/>
    <cellStyle name="Notiz 72 2 2" xfId="9628"/>
    <cellStyle name="Notiz 72 3" xfId="9629"/>
    <cellStyle name="Notiz 73" xfId="9630"/>
    <cellStyle name="Notiz 73 2" xfId="9631"/>
    <cellStyle name="Notiz 73 2 2" xfId="9632"/>
    <cellStyle name="Notiz 73 3" xfId="9633"/>
    <cellStyle name="Notiz 74" xfId="9634"/>
    <cellStyle name="Notiz 74 2" xfId="9635"/>
    <cellStyle name="Notiz 74 2 2" xfId="9636"/>
    <cellStyle name="Notiz 74 3" xfId="9637"/>
    <cellStyle name="Notiz 75" xfId="9638"/>
    <cellStyle name="Notiz 75 2" xfId="9639"/>
    <cellStyle name="Notiz 75 2 2" xfId="9640"/>
    <cellStyle name="Notiz 75 3" xfId="9641"/>
    <cellStyle name="Notiz 76" xfId="9642"/>
    <cellStyle name="Notiz 76 2" xfId="9643"/>
    <cellStyle name="Notiz 76 2 2" xfId="9644"/>
    <cellStyle name="Notiz 76 3" xfId="9645"/>
    <cellStyle name="Notiz 77" xfId="9646"/>
    <cellStyle name="Notiz 77 2" xfId="9647"/>
    <cellStyle name="Notiz 77 2 2" xfId="9648"/>
    <cellStyle name="Notiz 77 3" xfId="9649"/>
    <cellStyle name="Notiz 78" xfId="9650"/>
    <cellStyle name="Notiz 78 2" xfId="9651"/>
    <cellStyle name="Notiz 78 2 2" xfId="9652"/>
    <cellStyle name="Notiz 78 3" xfId="9653"/>
    <cellStyle name="Notiz 79" xfId="9654"/>
    <cellStyle name="Notiz 79 2" xfId="9655"/>
    <cellStyle name="Notiz 79 2 2" xfId="9656"/>
    <cellStyle name="Notiz 79 3" xfId="9657"/>
    <cellStyle name="Notiz 8" xfId="9658"/>
    <cellStyle name="Notiz 8 2" xfId="9659"/>
    <cellStyle name="Notiz 80" xfId="9660"/>
    <cellStyle name="Notiz 80 2" xfId="9661"/>
    <cellStyle name="Notiz 80 2 2" xfId="9662"/>
    <cellStyle name="Notiz 80 3" xfId="9663"/>
    <cellStyle name="Notiz 81" xfId="9664"/>
    <cellStyle name="Notiz 81 2" xfId="9665"/>
    <cellStyle name="Notiz 81 2 2" xfId="9666"/>
    <cellStyle name="Notiz 81 3" xfId="9667"/>
    <cellStyle name="Notiz 82" xfId="9668"/>
    <cellStyle name="Notiz 82 2" xfId="9669"/>
    <cellStyle name="Notiz 82 2 2" xfId="9670"/>
    <cellStyle name="Notiz 82 3" xfId="9671"/>
    <cellStyle name="Notiz 83" xfId="9672"/>
    <cellStyle name="Notiz 83 2" xfId="9673"/>
    <cellStyle name="Notiz 83 2 2" xfId="9674"/>
    <cellStyle name="Notiz 83 3" xfId="9675"/>
    <cellStyle name="Notiz 84" xfId="9676"/>
    <cellStyle name="Notiz 84 2" xfId="9677"/>
    <cellStyle name="Notiz 84 2 2" xfId="9678"/>
    <cellStyle name="Notiz 84 3" xfId="9679"/>
    <cellStyle name="Notiz 85" xfId="9680"/>
    <cellStyle name="Notiz 85 2" xfId="9681"/>
    <cellStyle name="Notiz 85 2 2" xfId="9682"/>
    <cellStyle name="Notiz 85 3" xfId="9683"/>
    <cellStyle name="Notiz 86" xfId="9684"/>
    <cellStyle name="Notiz 86 2" xfId="9685"/>
    <cellStyle name="Notiz 86 2 2" xfId="9686"/>
    <cellStyle name="Notiz 86 3" xfId="9687"/>
    <cellStyle name="Notiz 87" xfId="9688"/>
    <cellStyle name="Notiz 87 2" xfId="9689"/>
    <cellStyle name="Notiz 87 2 2" xfId="9690"/>
    <cellStyle name="Notiz 87 3" xfId="9691"/>
    <cellStyle name="Notiz 88" xfId="9692"/>
    <cellStyle name="Notiz 88 2" xfId="9693"/>
    <cellStyle name="Notiz 88 2 2" xfId="9694"/>
    <cellStyle name="Notiz 88 3" xfId="9695"/>
    <cellStyle name="Notiz 89" xfId="9696"/>
    <cellStyle name="Notiz 89 2" xfId="9697"/>
    <cellStyle name="Notiz 89 2 2" xfId="9698"/>
    <cellStyle name="Notiz 89 3" xfId="9699"/>
    <cellStyle name="Notiz 9" xfId="9700"/>
    <cellStyle name="Notiz 9 2" xfId="9701"/>
    <cellStyle name="Notiz 90" xfId="9702"/>
    <cellStyle name="Notiz 90 2" xfId="9703"/>
    <cellStyle name="Notiz 90 2 2" xfId="9704"/>
    <cellStyle name="Notiz 90 3" xfId="9705"/>
    <cellStyle name="Notiz 91" xfId="9706"/>
    <cellStyle name="Notiz 91 2" xfId="9707"/>
    <cellStyle name="Notiz 92" xfId="9708"/>
    <cellStyle name="Notiz 92 2" xfId="9709"/>
    <cellStyle name="Notiz 93" xfId="9710"/>
    <cellStyle name="Notiz 93 2" xfId="9711"/>
    <cellStyle name="Notiz 94" xfId="9712"/>
    <cellStyle name="Notiz 94 2" xfId="9713"/>
    <cellStyle name="Notiz 95" xfId="9714"/>
    <cellStyle name="Notiz 95 2" xfId="9715"/>
    <cellStyle name="Notiz 96" xfId="9716"/>
    <cellStyle name="Notiz 96 2" xfId="9717"/>
    <cellStyle name="Notiz 97" xfId="9718"/>
    <cellStyle name="Notiz 97 2" xfId="9719"/>
    <cellStyle name="Notiz 98" xfId="9720"/>
    <cellStyle name="Notiz 98 2" xfId="9721"/>
    <cellStyle name="Notiz 99" xfId="9722"/>
    <cellStyle name="Notiz 99 2" xfId="9723"/>
    <cellStyle name="Output 2" xfId="9724"/>
    <cellStyle name="Percent 2" xfId="9725"/>
    <cellStyle name="Percent 3" xfId="9726"/>
    <cellStyle name="Promille(0)" xfId="9727"/>
    <cellStyle name="Promille(0,00)" xfId="9728"/>
    <cellStyle name="Prozent 2" xfId="9729"/>
    <cellStyle name="Prozent 2 2" xfId="9730"/>
    <cellStyle name="Prozent 3" xfId="9731"/>
    <cellStyle name="Prozent 3 2" xfId="9732"/>
    <cellStyle name="Prozent 3 3" xfId="9733"/>
    <cellStyle name="Prozent 4" xfId="9734"/>
    <cellStyle name="Prozent(0)" xfId="9735"/>
    <cellStyle name="Prozent(0,00)" xfId="9736"/>
    <cellStyle name="SAPBEXaggData" xfId="9737"/>
    <cellStyle name="SAPBEXaggDataEmph" xfId="9738"/>
    <cellStyle name="SAPBEXaggItem" xfId="9739"/>
    <cellStyle name="SAPBEXaggItemX" xfId="9740"/>
    <cellStyle name="SAPBEXchaText" xfId="9741"/>
    <cellStyle name="SAPBEXexcBad7" xfId="9742"/>
    <cellStyle name="SAPBEXexcBad8" xfId="9743"/>
    <cellStyle name="SAPBEXexcBad9" xfId="9744"/>
    <cellStyle name="SAPBEXexcCritical4" xfId="9745"/>
    <cellStyle name="SAPBEXexcCritical5" xfId="9746"/>
    <cellStyle name="SAPBEXexcCritical6" xfId="9747"/>
    <cellStyle name="SAPBEXexcGood1" xfId="9748"/>
    <cellStyle name="SAPBEXexcGood2" xfId="9749"/>
    <cellStyle name="SAPBEXexcGood3" xfId="9750"/>
    <cellStyle name="SAPBEXfilterDrill" xfId="9751"/>
    <cellStyle name="SAPBEXfilterItem" xfId="9752"/>
    <cellStyle name="SAPBEXfilterText" xfId="9753"/>
    <cellStyle name="SAPBEXformats" xfId="9754"/>
    <cellStyle name="SAPBEXheaderItem" xfId="9755"/>
    <cellStyle name="SAPBEXheaderText" xfId="9756"/>
    <cellStyle name="SAPBEXHLevel0" xfId="9757"/>
    <cellStyle name="SAPBEXHLevel0X" xfId="9758"/>
    <cellStyle name="SAPBEXHLevel1" xfId="9759"/>
    <cellStyle name="SAPBEXHLevel1X" xfId="9760"/>
    <cellStyle name="SAPBEXHLevel2" xfId="9761"/>
    <cellStyle name="SAPBEXHLevel2X" xfId="9762"/>
    <cellStyle name="SAPBEXHLevel3" xfId="9763"/>
    <cellStyle name="SAPBEXHLevel3X" xfId="9764"/>
    <cellStyle name="SAPBEXresData" xfId="9765"/>
    <cellStyle name="SAPBEXresDataEmph" xfId="9766"/>
    <cellStyle name="SAPBEXresItem" xfId="9767"/>
    <cellStyle name="SAPBEXresItemX" xfId="9768"/>
    <cellStyle name="SAPBEXstdData" xfId="9769"/>
    <cellStyle name="SAPBEXstdDataEmph" xfId="9770"/>
    <cellStyle name="SAPBEXstdItem" xfId="9771"/>
    <cellStyle name="SAPBEXstdItemX" xfId="9772"/>
    <cellStyle name="SAPBEXtitle" xfId="9773"/>
    <cellStyle name="SAPBEXundefined" xfId="9774"/>
    <cellStyle name="Schlecht" xfId="9775"/>
    <cellStyle name="Schlecht 10" xfId="9776"/>
    <cellStyle name="Schlecht 10 2" xfId="9777"/>
    <cellStyle name="Schlecht 100" xfId="9778"/>
    <cellStyle name="Schlecht 101" xfId="9779"/>
    <cellStyle name="Schlecht 102" xfId="9780"/>
    <cellStyle name="Schlecht 103" xfId="9781"/>
    <cellStyle name="Schlecht 104" xfId="9782"/>
    <cellStyle name="Schlecht 105" xfId="9783"/>
    <cellStyle name="Schlecht 106" xfId="9784"/>
    <cellStyle name="Schlecht 107" xfId="9785"/>
    <cellStyle name="Schlecht 108" xfId="9786"/>
    <cellStyle name="Schlecht 109" xfId="9787"/>
    <cellStyle name="Schlecht 11" xfId="9788"/>
    <cellStyle name="Schlecht 11 2" xfId="9789"/>
    <cellStyle name="Schlecht 110" xfId="9790"/>
    <cellStyle name="Schlecht 111" xfId="9791"/>
    <cellStyle name="Schlecht 112" xfId="9792"/>
    <cellStyle name="Schlecht 113" xfId="9793"/>
    <cellStyle name="Schlecht 114" xfId="9794"/>
    <cellStyle name="Schlecht 115" xfId="9795"/>
    <cellStyle name="Schlecht 116" xfId="9796"/>
    <cellStyle name="Schlecht 117" xfId="9797"/>
    <cellStyle name="Schlecht 118" xfId="9798"/>
    <cellStyle name="Schlecht 119" xfId="9799"/>
    <cellStyle name="Schlecht 12" xfId="9800"/>
    <cellStyle name="Schlecht 12 2" xfId="9801"/>
    <cellStyle name="Schlecht 120" xfId="9802"/>
    <cellStyle name="Schlecht 121" xfId="9803"/>
    <cellStyle name="Schlecht 122" xfId="9804"/>
    <cellStyle name="Schlecht 123" xfId="9805"/>
    <cellStyle name="Schlecht 124" xfId="9806"/>
    <cellStyle name="Schlecht 125" xfId="9807"/>
    <cellStyle name="Schlecht 126" xfId="9808"/>
    <cellStyle name="Schlecht 127" xfId="9809"/>
    <cellStyle name="Schlecht 128" xfId="9810"/>
    <cellStyle name="Schlecht 129" xfId="9811"/>
    <cellStyle name="Schlecht 13" xfId="9812"/>
    <cellStyle name="Schlecht 13 2" xfId="9813"/>
    <cellStyle name="Schlecht 130" xfId="9814"/>
    <cellStyle name="Schlecht 131" xfId="9815"/>
    <cellStyle name="Schlecht 132" xfId="9816"/>
    <cellStyle name="Schlecht 133" xfId="9817"/>
    <cellStyle name="Schlecht 134" xfId="9818"/>
    <cellStyle name="Schlecht 135" xfId="9819"/>
    <cellStyle name="Schlecht 136" xfId="9820"/>
    <cellStyle name="Schlecht 137" xfId="9821"/>
    <cellStyle name="Schlecht 138" xfId="9822"/>
    <cellStyle name="Schlecht 139" xfId="9823"/>
    <cellStyle name="Schlecht 14" xfId="9824"/>
    <cellStyle name="Schlecht 14 2" xfId="9825"/>
    <cellStyle name="Schlecht 140" xfId="9826"/>
    <cellStyle name="Schlecht 141" xfId="9827"/>
    <cellStyle name="Schlecht 142" xfId="9828"/>
    <cellStyle name="Schlecht 143" xfId="9829"/>
    <cellStyle name="Schlecht 144" xfId="9830"/>
    <cellStyle name="Schlecht 145" xfId="9831"/>
    <cellStyle name="Schlecht 146" xfId="9832"/>
    <cellStyle name="Schlecht 147" xfId="9833"/>
    <cellStyle name="Schlecht 148" xfId="9834"/>
    <cellStyle name="Schlecht 149" xfId="9835"/>
    <cellStyle name="Schlecht 15" xfId="9836"/>
    <cellStyle name="Schlecht 150" xfId="9837"/>
    <cellStyle name="Schlecht 151" xfId="9838"/>
    <cellStyle name="Schlecht 16" xfId="9839"/>
    <cellStyle name="Schlecht 17" xfId="9840"/>
    <cellStyle name="Schlecht 18" xfId="9841"/>
    <cellStyle name="Schlecht 19" xfId="9842"/>
    <cellStyle name="Schlecht 2" xfId="9843"/>
    <cellStyle name="Schlecht 2 2" xfId="9844"/>
    <cellStyle name="Schlecht 20" xfId="9845"/>
    <cellStyle name="Schlecht 21" xfId="9846"/>
    <cellStyle name="Schlecht 22" xfId="9847"/>
    <cellStyle name="Schlecht 23" xfId="9848"/>
    <cellStyle name="Schlecht 24" xfId="9849"/>
    <cellStyle name="Schlecht 25" xfId="9850"/>
    <cellStyle name="Schlecht 26" xfId="9851"/>
    <cellStyle name="Schlecht 27" xfId="9852"/>
    <cellStyle name="Schlecht 28" xfId="9853"/>
    <cellStyle name="Schlecht 29" xfId="9854"/>
    <cellStyle name="Schlecht 3" xfId="9855"/>
    <cellStyle name="Schlecht 3 2" xfId="9856"/>
    <cellStyle name="Schlecht 30" xfId="9857"/>
    <cellStyle name="Schlecht 31" xfId="9858"/>
    <cellStyle name="Schlecht 32" xfId="9859"/>
    <cellStyle name="Schlecht 33" xfId="9860"/>
    <cellStyle name="Schlecht 34" xfId="9861"/>
    <cellStyle name="Schlecht 35" xfId="9862"/>
    <cellStyle name="Schlecht 36" xfId="9863"/>
    <cellStyle name="Schlecht 37" xfId="9864"/>
    <cellStyle name="Schlecht 38" xfId="9865"/>
    <cellStyle name="Schlecht 39" xfId="9866"/>
    <cellStyle name="Schlecht 4" xfId="9867"/>
    <cellStyle name="Schlecht 4 2" xfId="9868"/>
    <cellStyle name="Schlecht 40" xfId="9869"/>
    <cellStyle name="Schlecht 41" xfId="9870"/>
    <cellStyle name="Schlecht 42" xfId="9871"/>
    <cellStyle name="Schlecht 43" xfId="9872"/>
    <cellStyle name="Schlecht 44" xfId="9873"/>
    <cellStyle name="Schlecht 45" xfId="9874"/>
    <cellStyle name="Schlecht 46" xfId="9875"/>
    <cellStyle name="Schlecht 47" xfId="9876"/>
    <cellStyle name="Schlecht 48" xfId="9877"/>
    <cellStyle name="Schlecht 49" xfId="9878"/>
    <cellStyle name="Schlecht 5" xfId="9879"/>
    <cellStyle name="Schlecht 5 2" xfId="9880"/>
    <cellStyle name="Schlecht 50" xfId="9881"/>
    <cellStyle name="Schlecht 51" xfId="9882"/>
    <cellStyle name="Schlecht 52" xfId="9883"/>
    <cellStyle name="Schlecht 53" xfId="9884"/>
    <cellStyle name="Schlecht 54" xfId="9885"/>
    <cellStyle name="Schlecht 55" xfId="9886"/>
    <cellStyle name="Schlecht 56" xfId="9887"/>
    <cellStyle name="Schlecht 57" xfId="9888"/>
    <cellStyle name="Schlecht 58" xfId="9889"/>
    <cellStyle name="Schlecht 59" xfId="9890"/>
    <cellStyle name="Schlecht 6" xfId="9891"/>
    <cellStyle name="Schlecht 6 2" xfId="9892"/>
    <cellStyle name="Schlecht 60" xfId="9893"/>
    <cellStyle name="Schlecht 61" xfId="9894"/>
    <cellStyle name="Schlecht 62" xfId="9895"/>
    <cellStyle name="Schlecht 63" xfId="9896"/>
    <cellStyle name="Schlecht 64" xfId="9897"/>
    <cellStyle name="Schlecht 65" xfId="9898"/>
    <cellStyle name="Schlecht 66" xfId="9899"/>
    <cellStyle name="Schlecht 67" xfId="9900"/>
    <cellStyle name="Schlecht 68" xfId="9901"/>
    <cellStyle name="Schlecht 69" xfId="9902"/>
    <cellStyle name="Schlecht 7" xfId="9903"/>
    <cellStyle name="Schlecht 7 2" xfId="9904"/>
    <cellStyle name="Schlecht 70" xfId="9905"/>
    <cellStyle name="Schlecht 71" xfId="9906"/>
    <cellStyle name="Schlecht 72" xfId="9907"/>
    <cellStyle name="Schlecht 73" xfId="9908"/>
    <cellStyle name="Schlecht 74" xfId="9909"/>
    <cellStyle name="Schlecht 75" xfId="9910"/>
    <cellStyle name="Schlecht 76" xfId="9911"/>
    <cellStyle name="Schlecht 77" xfId="9912"/>
    <cellStyle name="Schlecht 78" xfId="9913"/>
    <cellStyle name="Schlecht 79" xfId="9914"/>
    <cellStyle name="Schlecht 8" xfId="9915"/>
    <cellStyle name="Schlecht 8 2" xfId="9916"/>
    <cellStyle name="Schlecht 80" xfId="9917"/>
    <cellStyle name="Schlecht 81" xfId="9918"/>
    <cellStyle name="Schlecht 82" xfId="9919"/>
    <cellStyle name="Schlecht 83" xfId="9920"/>
    <cellStyle name="Schlecht 84" xfId="9921"/>
    <cellStyle name="Schlecht 85" xfId="9922"/>
    <cellStyle name="Schlecht 86" xfId="9923"/>
    <cellStyle name="Schlecht 87" xfId="9924"/>
    <cellStyle name="Schlecht 88" xfId="9925"/>
    <cellStyle name="Schlecht 89" xfId="9926"/>
    <cellStyle name="Schlecht 9" xfId="9927"/>
    <cellStyle name="Schlecht 9 2" xfId="9928"/>
    <cellStyle name="Schlecht 90" xfId="9929"/>
    <cellStyle name="Schlecht 91" xfId="9930"/>
    <cellStyle name="Schlecht 92" xfId="9931"/>
    <cellStyle name="Schlecht 93" xfId="9932"/>
    <cellStyle name="Schlecht 94" xfId="9933"/>
    <cellStyle name="Schlecht 95" xfId="9934"/>
    <cellStyle name="Schlecht 96" xfId="9935"/>
    <cellStyle name="Schlecht 97" xfId="9936"/>
    <cellStyle name="Schlecht 98" xfId="9937"/>
    <cellStyle name="Schlecht 99" xfId="9938"/>
    <cellStyle name="Standard 10" xfId="9939"/>
    <cellStyle name="Standard 10 2" xfId="9940"/>
    <cellStyle name="Standard 10 3" xfId="9941"/>
    <cellStyle name="Standard 10 4" xfId="9942"/>
    <cellStyle name="Standard 10 4 2" xfId="9943"/>
    <cellStyle name="Standard 10 4 2 2" xfId="9944"/>
    <cellStyle name="Standard 10 4 3" xfId="9945"/>
    <cellStyle name="Standard 10 4 3 2" xfId="9946"/>
    <cellStyle name="Standard 10 4 4" xfId="9947"/>
    <cellStyle name="Standard 10 4 5" xfId="9948"/>
    <cellStyle name="Standard 10 5" xfId="9949"/>
    <cellStyle name="Standard 10 5 2" xfId="9950"/>
    <cellStyle name="Standard 10 6" xfId="9951"/>
    <cellStyle name="Standard 10 7" xfId="9952"/>
    <cellStyle name="Standard 10 8" xfId="9953"/>
    <cellStyle name="Standard 100" xfId="9954"/>
    <cellStyle name="Standard 101" xfId="9955"/>
    <cellStyle name="Standard 102" xfId="9956"/>
    <cellStyle name="Standard 103" xfId="9957"/>
    <cellStyle name="Standard 104" xfId="9958"/>
    <cellStyle name="Standard 105" xfId="9959"/>
    <cellStyle name="Standard 106" xfId="9960"/>
    <cellStyle name="Standard 107" xfId="9961"/>
    <cellStyle name="Standard 108" xfId="9962"/>
    <cellStyle name="Standard 109" xfId="9963"/>
    <cellStyle name="Standard 11" xfId="9964"/>
    <cellStyle name="Standard 11 2" xfId="9965"/>
    <cellStyle name="Standard 11 2 2" xfId="9966"/>
    <cellStyle name="Standard 11 3" xfId="9967"/>
    <cellStyle name="Standard 11 4" xfId="9968"/>
    <cellStyle name="Standard 11 4 2" xfId="9969"/>
    <cellStyle name="Standard 11 5" xfId="9970"/>
    <cellStyle name="Standard 110" xfId="9971"/>
    <cellStyle name="Standard 111" xfId="9972"/>
    <cellStyle name="Standard 112" xfId="9973"/>
    <cellStyle name="Standard 113" xfId="9974"/>
    <cellStyle name="Standard 114" xfId="9975"/>
    <cellStyle name="Standard 115" xfId="9976"/>
    <cellStyle name="Standard 116" xfId="9977"/>
    <cellStyle name="Standard 117" xfId="9978"/>
    <cellStyle name="Standard 118" xfId="9979"/>
    <cellStyle name="Standard 119" xfId="9980"/>
    <cellStyle name="Standard 12" xfId="9981"/>
    <cellStyle name="Standard 12 2" xfId="9982"/>
    <cellStyle name="Standard 12 3" xfId="9983"/>
    <cellStyle name="Standard 12 4" xfId="9984"/>
    <cellStyle name="Standard 12 4 2" xfId="9985"/>
    <cellStyle name="Standard 12 4 2 2" xfId="9986"/>
    <cellStyle name="Standard 12 4 3" xfId="9987"/>
    <cellStyle name="Standard 12 5" xfId="9988"/>
    <cellStyle name="Standard 12 6" xfId="9989"/>
    <cellStyle name="Standard 120" xfId="9990"/>
    <cellStyle name="Standard 121" xfId="9991"/>
    <cellStyle name="Standard 122" xfId="9992"/>
    <cellStyle name="Standard 123" xfId="9993"/>
    <cellStyle name="Standard 124" xfId="9994"/>
    <cellStyle name="Standard 125" xfId="9995"/>
    <cellStyle name="Standard 126" xfId="9996"/>
    <cellStyle name="Standard 127" xfId="9997"/>
    <cellStyle name="Standard 128" xfId="9998"/>
    <cellStyle name="Standard 129" xfId="9999"/>
    <cellStyle name="Standard 13" xfId="10000"/>
    <cellStyle name="Standard 13 2" xfId="10001"/>
    <cellStyle name="Standard 13 3" xfId="10002"/>
    <cellStyle name="Standard 13 4" xfId="10003"/>
    <cellStyle name="Standard 13 4 2" xfId="10004"/>
    <cellStyle name="Standard 13 4 2 2" xfId="10005"/>
    <cellStyle name="Standard 13 4 3" xfId="10006"/>
    <cellStyle name="Standard 13 5" xfId="10007"/>
    <cellStyle name="Standard 13 6" xfId="10008"/>
    <cellStyle name="Standard 131 2" xfId="10009"/>
    <cellStyle name="Standard 132" xfId="10010"/>
    <cellStyle name="Standard 14" xfId="10011"/>
    <cellStyle name="Standard 14 2" xfId="10012"/>
    <cellStyle name="Standard 15" xfId="10013"/>
    <cellStyle name="Standard 15 2" xfId="10014"/>
    <cellStyle name="Standard 15 3" xfId="10015"/>
    <cellStyle name="Standard 15 3 2" xfId="10016"/>
    <cellStyle name="Standard 15 4" xfId="10017"/>
    <cellStyle name="Standard 16" xfId="10018"/>
    <cellStyle name="Standard 16 2" xfId="10019"/>
    <cellStyle name="Standard 16 2 2" xfId="10020"/>
    <cellStyle name="Standard 16 3" xfId="10021"/>
    <cellStyle name="Standard 17" xfId="10022"/>
    <cellStyle name="Standard 17 2" xfId="10023"/>
    <cellStyle name="Standard 17 2 2" xfId="10024"/>
    <cellStyle name="Standard 17 3" xfId="10025"/>
    <cellStyle name="Standard 18" xfId="10026"/>
    <cellStyle name="Standard 18 2" xfId="10027"/>
    <cellStyle name="Standard 18 2 2" xfId="10028"/>
    <cellStyle name="Standard 18 3" xfId="10029"/>
    <cellStyle name="Standard 19" xfId="10030"/>
    <cellStyle name="Standard 19 2" xfId="10031"/>
    <cellStyle name="Standard 19 2 2" xfId="10032"/>
    <cellStyle name="Standard 19 3" xfId="10033"/>
    <cellStyle name="Standard 2" xfId="10034"/>
    <cellStyle name="Standard 2 2" xfId="10035"/>
    <cellStyle name="Standard 2 2 2" xfId="10036"/>
    <cellStyle name="Standard 2 2 2 2" xfId="10037"/>
    <cellStyle name="Standard 2 2 3" xfId="10038"/>
    <cellStyle name="Standard 2 3" xfId="10039"/>
    <cellStyle name="Standard 2 3 2" xfId="10040"/>
    <cellStyle name="Standard 2 3 2 2" xfId="10041"/>
    <cellStyle name="Standard 2 3 3" xfId="10042"/>
    <cellStyle name="Standard 2 4" xfId="10043"/>
    <cellStyle name="Standard 2 4 2" xfId="10044"/>
    <cellStyle name="Standard 2 4 2 2" xfId="10045"/>
    <cellStyle name="Standard 2 4 3" xfId="10046"/>
    <cellStyle name="Standard 2 5" xfId="10047"/>
    <cellStyle name="Standard 2 5 2" xfId="10048"/>
    <cellStyle name="Standard 2 6" xfId="10049"/>
    <cellStyle name="Standard 2 6 2" xfId="10050"/>
    <cellStyle name="Standard 2 6 2 2" xfId="10051"/>
    <cellStyle name="Standard 2 6 3" xfId="10052"/>
    <cellStyle name="Standard 2 7" xfId="10053"/>
    <cellStyle name="Standard 2 8" xfId="10054"/>
    <cellStyle name="Standard 20" xfId="10055"/>
    <cellStyle name="Standard 20 2" xfId="10056"/>
    <cellStyle name="Standard 20 2 2" xfId="10057"/>
    <cellStyle name="Standard 20 3" xfId="10058"/>
    <cellStyle name="Standard 21" xfId="10059"/>
    <cellStyle name="Standard 21 2" xfId="10060"/>
    <cellStyle name="Standard 21 2 2" xfId="10061"/>
    <cellStyle name="Standard 21 3" xfId="10062"/>
    <cellStyle name="Standard 22" xfId="10063"/>
    <cellStyle name="Standard 22 2" xfId="10064"/>
    <cellStyle name="Standard 22 2 2" xfId="10065"/>
    <cellStyle name="Standard 22 3" xfId="10066"/>
    <cellStyle name="Standard 23" xfId="10067"/>
    <cellStyle name="Standard 23 2" xfId="10068"/>
    <cellStyle name="Standard 23 2 2" xfId="10069"/>
    <cellStyle name="Standard 23 3" xfId="10070"/>
    <cellStyle name="Standard 24" xfId="10071"/>
    <cellStyle name="Standard 24 2" xfId="10072"/>
    <cellStyle name="Standard 24 2 2" xfId="10073"/>
    <cellStyle name="Standard 24 3" xfId="10074"/>
    <cellStyle name="Standard 25" xfId="10075"/>
    <cellStyle name="Standard 25 2" xfId="10076"/>
    <cellStyle name="Standard 25 2 2" xfId="10077"/>
    <cellStyle name="Standard 25 3" xfId="10078"/>
    <cellStyle name="Standard 26" xfId="10079"/>
    <cellStyle name="Standard 26 2" xfId="10080"/>
    <cellStyle name="Standard 26 2 2" xfId="10081"/>
    <cellStyle name="Standard 26 3" xfId="10082"/>
    <cellStyle name="Standard 27" xfId="10083"/>
    <cellStyle name="Standard 27 2" xfId="10084"/>
    <cellStyle name="Standard 27 2 2" xfId="10085"/>
    <cellStyle name="Standard 27 3" xfId="10086"/>
    <cellStyle name="Standard 28" xfId="10087"/>
    <cellStyle name="Standard 28 2" xfId="10088"/>
    <cellStyle name="Standard 28 2 2" xfId="10089"/>
    <cellStyle name="Standard 28 3" xfId="10090"/>
    <cellStyle name="Standard 29" xfId="10091"/>
    <cellStyle name="Standard 29 2" xfId="10092"/>
    <cellStyle name="Standard 29 2 2" xfId="10093"/>
    <cellStyle name="Standard 29 3" xfId="10094"/>
    <cellStyle name="Standard 3" xfId="10095"/>
    <cellStyle name="Standard 3 2" xfId="10096"/>
    <cellStyle name="Standard 3 3" xfId="10097"/>
    <cellStyle name="Standard 3 4" xfId="10098"/>
    <cellStyle name="Standard 3 4 2" xfId="10099"/>
    <cellStyle name="Standard 3 5" xfId="10100"/>
    <cellStyle name="Standard 30" xfId="10101"/>
    <cellStyle name="Standard 30 2" xfId="10102"/>
    <cellStyle name="Standard 30 2 2" xfId="10103"/>
    <cellStyle name="Standard 30 3" xfId="10104"/>
    <cellStyle name="Standard 31" xfId="10105"/>
    <cellStyle name="Standard 31 2" xfId="10106"/>
    <cellStyle name="Standard 31 2 2" xfId="10107"/>
    <cellStyle name="Standard 31 3" xfId="10108"/>
    <cellStyle name="Standard 32" xfId="10109"/>
    <cellStyle name="Standard 32 2" xfId="10110"/>
    <cellStyle name="Standard 32 2 2" xfId="10111"/>
    <cellStyle name="Standard 32 3" xfId="10112"/>
    <cellStyle name="Standard 33" xfId="10113"/>
    <cellStyle name="Standard 33 2" xfId="10114"/>
    <cellStyle name="Standard 33 2 2" xfId="10115"/>
    <cellStyle name="Standard 33 3" xfId="10116"/>
    <cellStyle name="Standard 34" xfId="10117"/>
    <cellStyle name="Standard 34 2" xfId="10118"/>
    <cellStyle name="Standard 34 2 2" xfId="10119"/>
    <cellStyle name="Standard 34 3" xfId="10120"/>
    <cellStyle name="Standard 35" xfId="10121"/>
    <cellStyle name="Standard 35 2" xfId="10122"/>
    <cellStyle name="Standard 35 2 2" xfId="10123"/>
    <cellStyle name="Standard 35 3" xfId="10124"/>
    <cellStyle name="Standard 36" xfId="10125"/>
    <cellStyle name="Standard 36 2" xfId="10126"/>
    <cellStyle name="Standard 36 2 2" xfId="10127"/>
    <cellStyle name="Standard 36 3" xfId="10128"/>
    <cellStyle name="Standard 37" xfId="10129"/>
    <cellStyle name="Standard 37 2" xfId="10130"/>
    <cellStyle name="Standard 37 2 2" xfId="10131"/>
    <cellStyle name="Standard 37 3" xfId="10132"/>
    <cellStyle name="Standard 38" xfId="10133"/>
    <cellStyle name="Standard 38 2" xfId="10134"/>
    <cellStyle name="Standard 38 2 2" xfId="10135"/>
    <cellStyle name="Standard 38 3" xfId="10136"/>
    <cellStyle name="Standard 39" xfId="10137"/>
    <cellStyle name="Standard 39 2" xfId="10138"/>
    <cellStyle name="Standard 39 2 2" xfId="10139"/>
    <cellStyle name="Standard 39 3" xfId="10140"/>
    <cellStyle name="Standard 4" xfId="10141"/>
    <cellStyle name="Standard 4 2" xfId="10142"/>
    <cellStyle name="Standard 4 3" xfId="10143"/>
    <cellStyle name="Standard 4 4" xfId="10144"/>
    <cellStyle name="Standard 4 4 2" xfId="10145"/>
    <cellStyle name="Standard 4 5" xfId="10146"/>
    <cellStyle name="Standard 40" xfId="10147"/>
    <cellStyle name="Standard 40 2" xfId="10148"/>
    <cellStyle name="Standard 40 2 2" xfId="10149"/>
    <cellStyle name="Standard 40 3" xfId="10150"/>
    <cellStyle name="Standard 41" xfId="10151"/>
    <cellStyle name="Standard 41 2" xfId="10152"/>
    <cellStyle name="Standard 41 2 2" xfId="10153"/>
    <cellStyle name="Standard 41 3" xfId="10154"/>
    <cellStyle name="Standard 42" xfId="10155"/>
    <cellStyle name="Standard 42 2" xfId="10156"/>
    <cellStyle name="Standard 42 2 2" xfId="10157"/>
    <cellStyle name="Standard 42 3" xfId="10158"/>
    <cellStyle name="Standard 43" xfId="10159"/>
    <cellStyle name="Standard 43 2" xfId="10160"/>
    <cellStyle name="Standard 43 2 2" xfId="10161"/>
    <cellStyle name="Standard 43 3" xfId="10162"/>
    <cellStyle name="Standard 44" xfId="10163"/>
    <cellStyle name="Standard 44 2" xfId="10164"/>
    <cellStyle name="Standard 44 2 2" xfId="10165"/>
    <cellStyle name="Standard 44 3" xfId="10166"/>
    <cellStyle name="Standard 45" xfId="10167"/>
    <cellStyle name="Standard 45 2" xfId="10168"/>
    <cellStyle name="Standard 45 2 2" xfId="10169"/>
    <cellStyle name="Standard 45 3" xfId="10170"/>
    <cellStyle name="Standard 46" xfId="10171"/>
    <cellStyle name="Standard 46 2" xfId="10172"/>
    <cellStyle name="Standard 46 2 2" xfId="10173"/>
    <cellStyle name="Standard 46 3" xfId="10174"/>
    <cellStyle name="Standard 47" xfId="10175"/>
    <cellStyle name="Standard 47 2" xfId="10176"/>
    <cellStyle name="Standard 47 2 2" xfId="10177"/>
    <cellStyle name="Standard 47 3" xfId="10178"/>
    <cellStyle name="Standard 48" xfId="10179"/>
    <cellStyle name="Standard 48 2" xfId="10180"/>
    <cellStyle name="Standard 48 2 2" xfId="10181"/>
    <cellStyle name="Standard 48 3" xfId="10182"/>
    <cellStyle name="Standard 49" xfId="10183"/>
    <cellStyle name="Standard 49 2" xfId="10184"/>
    <cellStyle name="Standard 49 2 2" xfId="10185"/>
    <cellStyle name="Standard 49 3" xfId="10186"/>
    <cellStyle name="Standard 5" xfId="10187"/>
    <cellStyle name="Standard 5 2" xfId="10188"/>
    <cellStyle name="Standard 5 3" xfId="10189"/>
    <cellStyle name="Standard 5 4" xfId="10190"/>
    <cellStyle name="Standard 5 4 2" xfId="10191"/>
    <cellStyle name="Standard 5 5" xfId="10192"/>
    <cellStyle name="Standard 50" xfId="10193"/>
    <cellStyle name="Standard 50 2" xfId="10194"/>
    <cellStyle name="Standard 50 2 2" xfId="10195"/>
    <cellStyle name="Standard 50 3" xfId="10196"/>
    <cellStyle name="Standard 51" xfId="10197"/>
    <cellStyle name="Standard 51 2" xfId="10198"/>
    <cellStyle name="Standard 51 2 2" xfId="10199"/>
    <cellStyle name="Standard 51 3" xfId="10200"/>
    <cellStyle name="Standard 52" xfId="10201"/>
    <cellStyle name="Standard 52 2" xfId="10202"/>
    <cellStyle name="Standard 52 2 2" xfId="10203"/>
    <cellStyle name="Standard 52 3" xfId="10204"/>
    <cellStyle name="Standard 53" xfId="10205"/>
    <cellStyle name="Standard 53 2" xfId="10206"/>
    <cellStyle name="Standard 53 2 2" xfId="10207"/>
    <cellStyle name="Standard 53 3" xfId="10208"/>
    <cellStyle name="Standard 54" xfId="10209"/>
    <cellStyle name="Standard 54 2" xfId="10210"/>
    <cellStyle name="Standard 54 2 2" xfId="10211"/>
    <cellStyle name="Standard 54 3" xfId="10212"/>
    <cellStyle name="Standard 55" xfId="10213"/>
    <cellStyle name="Standard 56" xfId="10214"/>
    <cellStyle name="Standard 56 2" xfId="10215"/>
    <cellStyle name="Standard 56 2 2" xfId="10216"/>
    <cellStyle name="Standard 56 3" xfId="10217"/>
    <cellStyle name="Standard 57" xfId="10218"/>
    <cellStyle name="Standard 57 2" xfId="10219"/>
    <cellStyle name="Standard 57 2 2" xfId="10220"/>
    <cellStyle name="Standard 57 3" xfId="10221"/>
    <cellStyle name="Standard 58" xfId="10222"/>
    <cellStyle name="Standard 58 2" xfId="10223"/>
    <cellStyle name="Standard 58 2 2" xfId="10224"/>
    <cellStyle name="Standard 58 3" xfId="10225"/>
    <cellStyle name="Standard 59" xfId="10226"/>
    <cellStyle name="Standard 59 2" xfId="10227"/>
    <cellStyle name="Standard 59 2 2" xfId="10228"/>
    <cellStyle name="Standard 59 3" xfId="10229"/>
    <cellStyle name="Standard 6" xfId="10230"/>
    <cellStyle name="Standard 6 2" xfId="10231"/>
    <cellStyle name="Standard 6 3" xfId="10232"/>
    <cellStyle name="Standard 6 4" xfId="10233"/>
    <cellStyle name="Standard 6 4 2" xfId="10234"/>
    <cellStyle name="Standard 6 5" xfId="10235"/>
    <cellStyle name="Standard 60" xfId="10236"/>
    <cellStyle name="Standard 60 2" xfId="10237"/>
    <cellStyle name="Standard 60 2 2" xfId="10238"/>
    <cellStyle name="Standard 60 3" xfId="10239"/>
    <cellStyle name="Standard 61" xfId="10240"/>
    <cellStyle name="Standard 61 2" xfId="10241"/>
    <cellStyle name="Standard 61 2 2" xfId="10242"/>
    <cellStyle name="Standard 61 3" xfId="10243"/>
    <cellStyle name="Standard 62" xfId="10244"/>
    <cellStyle name="Standard 62 2" xfId="10245"/>
    <cellStyle name="Standard 62 2 2" xfId="10246"/>
    <cellStyle name="Standard 62 3" xfId="10247"/>
    <cellStyle name="Standard 63" xfId="10248"/>
    <cellStyle name="Standard 63 2" xfId="10249"/>
    <cellStyle name="Standard 63 2 2" xfId="10250"/>
    <cellStyle name="Standard 63 3" xfId="10251"/>
    <cellStyle name="Standard 64" xfId="10252"/>
    <cellStyle name="Standard 64 2" xfId="10253"/>
    <cellStyle name="Standard 64 2 2" xfId="10254"/>
    <cellStyle name="Standard 64 3" xfId="10255"/>
    <cellStyle name="Standard 65" xfId="10256"/>
    <cellStyle name="Standard 65 2" xfId="10257"/>
    <cellStyle name="Standard 65 2 2" xfId="10258"/>
    <cellStyle name="Standard 65 3" xfId="10259"/>
    <cellStyle name="Standard 66" xfId="10260"/>
    <cellStyle name="Standard 66 2" xfId="10261"/>
    <cellStyle name="Standard 66 2 2" xfId="10262"/>
    <cellStyle name="Standard 66 3" xfId="10263"/>
    <cellStyle name="Standard 67" xfId="10264"/>
    <cellStyle name="Standard 67 2" xfId="10265"/>
    <cellStyle name="Standard 67 2 2" xfId="10266"/>
    <cellStyle name="Standard 67 3" xfId="10267"/>
    <cellStyle name="Standard 68" xfId="10268"/>
    <cellStyle name="Standard 68 2" xfId="10269"/>
    <cellStyle name="Standard 68 2 2" xfId="10270"/>
    <cellStyle name="Standard 68 3" xfId="10271"/>
    <cellStyle name="Standard 69" xfId="10272"/>
    <cellStyle name="Standard 7" xfId="10273"/>
    <cellStyle name="Standard 7 2" xfId="10274"/>
    <cellStyle name="Standard 7 3" xfId="10275"/>
    <cellStyle name="Standard 7 4" xfId="10276"/>
    <cellStyle name="Standard 7 4 2" xfId="10277"/>
    <cellStyle name="Standard 7 5" xfId="10278"/>
    <cellStyle name="Standard 70" xfId="10279"/>
    <cellStyle name="Standard 70 2" xfId="10280"/>
    <cellStyle name="Standard 70 2 2" xfId="10281"/>
    <cellStyle name="Standard 70 3" xfId="10282"/>
    <cellStyle name="Standard 71" xfId="10283"/>
    <cellStyle name="Standard 71 2" xfId="10284"/>
    <cellStyle name="Standard 71 2 2" xfId="10285"/>
    <cellStyle name="Standard 71 3" xfId="10286"/>
    <cellStyle name="Standard 72" xfId="10287"/>
    <cellStyle name="Standard 72 2" xfId="10288"/>
    <cellStyle name="Standard 72 2 2" xfId="10289"/>
    <cellStyle name="Standard 72 3" xfId="10290"/>
    <cellStyle name="Standard 73" xfId="10291"/>
    <cellStyle name="Standard 73 2" xfId="10292"/>
    <cellStyle name="Standard 73 2 2" xfId="10293"/>
    <cellStyle name="Standard 73 3" xfId="10294"/>
    <cellStyle name="Standard 74" xfId="10295"/>
    <cellStyle name="Standard 74 2" xfId="10296"/>
    <cellStyle name="Standard 74 2 2" xfId="10297"/>
    <cellStyle name="Standard 74 3" xfId="10298"/>
    <cellStyle name="Standard 75" xfId="10299"/>
    <cellStyle name="Standard 75 2" xfId="10300"/>
    <cellStyle name="Standard 75 2 2" xfId="10301"/>
    <cellStyle name="Standard 75 3" xfId="10302"/>
    <cellStyle name="Standard 76" xfId="10303"/>
    <cellStyle name="Standard 76 2" xfId="10304"/>
    <cellStyle name="Standard 76 2 2" xfId="10305"/>
    <cellStyle name="Standard 76 3" xfId="10306"/>
    <cellStyle name="Standard 77" xfId="10307"/>
    <cellStyle name="Standard 77 2" xfId="10308"/>
    <cellStyle name="Standard 77 2 2" xfId="10309"/>
    <cellStyle name="Standard 77 3" xfId="10310"/>
    <cellStyle name="Standard 78" xfId="10311"/>
    <cellStyle name="Standard 78 2" xfId="10312"/>
    <cellStyle name="Standard 78 2 2" xfId="10313"/>
    <cellStyle name="Standard 78 3" xfId="10314"/>
    <cellStyle name="Standard 79" xfId="10315"/>
    <cellStyle name="Standard 79 2" xfId="10316"/>
    <cellStyle name="Standard 79 2 2" xfId="10317"/>
    <cellStyle name="Standard 79 3" xfId="10318"/>
    <cellStyle name="Standard 8" xfId="10319"/>
    <cellStyle name="Standard 8 2" xfId="10320"/>
    <cellStyle name="Standard 8 3" xfId="10321"/>
    <cellStyle name="Standard 8 4" xfId="10322"/>
    <cellStyle name="Standard 8 4 2" xfId="10323"/>
    <cellStyle name="Standard 8 5" xfId="10324"/>
    <cellStyle name="Standard 8 6" xfId="10325"/>
    <cellStyle name="Standard 80" xfId="10326"/>
    <cellStyle name="Standard 80 2" xfId="10327"/>
    <cellStyle name="Standard 80 2 2" xfId="10328"/>
    <cellStyle name="Standard 80 3" xfId="10329"/>
    <cellStyle name="Standard 81" xfId="10330"/>
    <cellStyle name="Standard 81 2" xfId="10331"/>
    <cellStyle name="Standard 81 2 2" xfId="10332"/>
    <cellStyle name="Standard 81 3" xfId="10333"/>
    <cellStyle name="Standard 82" xfId="10334"/>
    <cellStyle name="Standard 82 2" xfId="10335"/>
    <cellStyle name="Standard 82 2 2" xfId="10336"/>
    <cellStyle name="Standard 82 3" xfId="10337"/>
    <cellStyle name="Standard 83" xfId="10338"/>
    <cellStyle name="Standard 83 2" xfId="10339"/>
    <cellStyle name="Standard 83 2 2" xfId="10340"/>
    <cellStyle name="Standard 83 3" xfId="10341"/>
    <cellStyle name="Standard 84" xfId="10342"/>
    <cellStyle name="Standard 84 2" xfId="10343"/>
    <cellStyle name="Standard 84 2 2" xfId="10344"/>
    <cellStyle name="Standard 84 3" xfId="10345"/>
    <cellStyle name="Standard 85" xfId="10346"/>
    <cellStyle name="Standard 85 2" xfId="10347"/>
    <cellStyle name="Standard 85 2 2" xfId="10348"/>
    <cellStyle name="Standard 85 3" xfId="10349"/>
    <cellStyle name="Standard 86" xfId="10350"/>
    <cellStyle name="Standard 86 2" xfId="10351"/>
    <cellStyle name="Standard 86 2 2" xfId="10352"/>
    <cellStyle name="Standard 86 3" xfId="10353"/>
    <cellStyle name="Standard 87" xfId="10354"/>
    <cellStyle name="Standard 87 2" xfId="10355"/>
    <cellStyle name="Standard 87 2 2" xfId="10356"/>
    <cellStyle name="Standard 87 3" xfId="10357"/>
    <cellStyle name="Standard 88" xfId="10358"/>
    <cellStyle name="Standard 88 2" xfId="10359"/>
    <cellStyle name="Standard 88 2 2" xfId="10360"/>
    <cellStyle name="Standard 88 3" xfId="10361"/>
    <cellStyle name="Standard 89" xfId="10362"/>
    <cellStyle name="Standard 89 2" xfId="10363"/>
    <cellStyle name="Standard 89 2 2" xfId="10364"/>
    <cellStyle name="Standard 89 3" xfId="10365"/>
    <cellStyle name="Standard 9" xfId="10366"/>
    <cellStyle name="Standard 9 2" xfId="10367"/>
    <cellStyle name="Standard 9 3" xfId="10368"/>
    <cellStyle name="Standard 9 4" xfId="10369"/>
    <cellStyle name="Standard 9 4 2" xfId="10370"/>
    <cellStyle name="Standard 9 5" xfId="10371"/>
    <cellStyle name="Standard 90" xfId="10372"/>
    <cellStyle name="Standard 90 2" xfId="10373"/>
    <cellStyle name="Standard 90 2 2" xfId="10374"/>
    <cellStyle name="Standard 90 3" xfId="10375"/>
    <cellStyle name="Standard 91" xfId="10376"/>
    <cellStyle name="Standard 92" xfId="10377"/>
    <cellStyle name="Standard 93" xfId="10378"/>
    <cellStyle name="Standard 93 2" xfId="10379"/>
    <cellStyle name="Standard 94" xfId="10380"/>
    <cellStyle name="Standard 95" xfId="10381"/>
    <cellStyle name="Standard 96" xfId="10382"/>
    <cellStyle name="Standard 97" xfId="10383"/>
    <cellStyle name="Standard 98" xfId="10384"/>
    <cellStyle name="Standard 99" xfId="10385"/>
    <cellStyle name="Stil 1" xfId="10386"/>
    <cellStyle name="Tabelle Text 10" xfId="10387"/>
    <cellStyle name="Tabelle Text 10 Z" xfId="10388"/>
    <cellStyle name="Tabelle Text 11" xfId="10389"/>
    <cellStyle name="Tabelle Text 11 Z" xfId="10390"/>
    <cellStyle name="Tabelle Text 12" xfId="10391"/>
    <cellStyle name="Tabelle Text 12 Z" xfId="10392"/>
    <cellStyle name="Tabelle Text 8" xfId="10393"/>
    <cellStyle name="Tabelle Text 8 Z" xfId="10394"/>
    <cellStyle name="Tabelle Text 9" xfId="10395"/>
    <cellStyle name="Tabelle Text 9 Z" xfId="10396"/>
    <cellStyle name="Tabelle Überschrift 10" xfId="10397"/>
    <cellStyle name="Tabelle Überschrift 11" xfId="10398"/>
    <cellStyle name="Tabelle Überschrift 12" xfId="10399"/>
    <cellStyle name="Tabelle Überschrift 8" xfId="10400"/>
    <cellStyle name="Tabelle Überschrift 9" xfId="10401"/>
    <cellStyle name="Tabelle Zahl 0 10" xfId="10402"/>
    <cellStyle name="Tabelle Zahl 0 11" xfId="10403"/>
    <cellStyle name="Tabelle Zahl 0 12" xfId="10404"/>
    <cellStyle name="Tabelle Zahl 0 8" xfId="10405"/>
    <cellStyle name="Tabelle Zahl 0 9" xfId="10406"/>
    <cellStyle name="Tabelle Zahl 1 10" xfId="10407"/>
    <cellStyle name="Tabelle Zahl 1 11" xfId="10408"/>
    <cellStyle name="Tabelle Zahl 1 12" xfId="10409"/>
    <cellStyle name="Tabelle Zahl 1 8" xfId="10410"/>
    <cellStyle name="Tabelle Zahl 1 9" xfId="10411"/>
    <cellStyle name="Tabelle Zahl 2 10" xfId="10412"/>
    <cellStyle name="Tabelle Zahl 2 10 2" xfId="10413"/>
    <cellStyle name="Tabelle Zahl 2 11" xfId="10414"/>
    <cellStyle name="Tabelle Zahl 2 12" xfId="10415"/>
    <cellStyle name="Tabelle Zahl 2 8" xfId="10416"/>
    <cellStyle name="Tabelle Zahl 2 9" xfId="10417"/>
    <cellStyle name="Tonne (0)" xfId="10418"/>
    <cellStyle name="Tonne (0,00)" xfId="10419"/>
    <cellStyle name="Total 2" xfId="10420"/>
    <cellStyle name="Überschr.12f" xfId="10421"/>
    <cellStyle name="Überschr.14f" xfId="10422"/>
    <cellStyle name="Überschrift" xfId="10423"/>
    <cellStyle name="Überschrift 1" xfId="10424"/>
    <cellStyle name="Überschrift 1 10" xfId="10425"/>
    <cellStyle name="Überschrift 1 10 2" xfId="10426"/>
    <cellStyle name="Überschrift 1 100" xfId="10427"/>
    <cellStyle name="Überschrift 1 101" xfId="10428"/>
    <cellStyle name="Überschrift 1 102" xfId="10429"/>
    <cellStyle name="Überschrift 1 103" xfId="10430"/>
    <cellStyle name="Überschrift 1 104" xfId="10431"/>
    <cellStyle name="Überschrift 1 105" xfId="10432"/>
    <cellStyle name="Überschrift 1 106" xfId="10433"/>
    <cellStyle name="Überschrift 1 107" xfId="10434"/>
    <cellStyle name="Überschrift 1 108" xfId="10435"/>
    <cellStyle name="Überschrift 1 109" xfId="10436"/>
    <cellStyle name="Überschrift 1 11" xfId="10437"/>
    <cellStyle name="Überschrift 1 11 2" xfId="10438"/>
    <cellStyle name="Überschrift 1 110" xfId="10439"/>
    <cellStyle name="Überschrift 1 111" xfId="10440"/>
    <cellStyle name="Überschrift 1 112" xfId="10441"/>
    <cellStyle name="Überschrift 1 113" xfId="10442"/>
    <cellStyle name="Überschrift 1 114" xfId="10443"/>
    <cellStyle name="Überschrift 1 115" xfId="10444"/>
    <cellStyle name="Überschrift 1 116" xfId="10445"/>
    <cellStyle name="Überschrift 1 117" xfId="10446"/>
    <cellStyle name="Überschrift 1 118" xfId="10447"/>
    <cellStyle name="Überschrift 1 119" xfId="10448"/>
    <cellStyle name="Überschrift 1 12" xfId="10449"/>
    <cellStyle name="Überschrift 1 12 2" xfId="10450"/>
    <cellStyle name="Überschrift 1 120" xfId="10451"/>
    <cellStyle name="Überschrift 1 121" xfId="10452"/>
    <cellStyle name="Überschrift 1 122" xfId="10453"/>
    <cellStyle name="Überschrift 1 123" xfId="10454"/>
    <cellStyle name="Überschrift 1 124" xfId="10455"/>
    <cellStyle name="Überschrift 1 125" xfId="10456"/>
    <cellStyle name="Überschrift 1 126" xfId="10457"/>
    <cellStyle name="Überschrift 1 127" xfId="10458"/>
    <cellStyle name="Überschrift 1 128" xfId="10459"/>
    <cellStyle name="Überschrift 1 129" xfId="10460"/>
    <cellStyle name="Überschrift 1 13" xfId="10461"/>
    <cellStyle name="Überschrift 1 13 2" xfId="10462"/>
    <cellStyle name="Überschrift 1 130" xfId="10463"/>
    <cellStyle name="Überschrift 1 131" xfId="10464"/>
    <cellStyle name="Überschrift 1 132" xfId="10465"/>
    <cellStyle name="Überschrift 1 133" xfId="10466"/>
    <cellStyle name="Überschrift 1 134" xfId="10467"/>
    <cellStyle name="Überschrift 1 135" xfId="10468"/>
    <cellStyle name="Überschrift 1 136" xfId="10469"/>
    <cellStyle name="Überschrift 1 137" xfId="10470"/>
    <cellStyle name="Überschrift 1 138" xfId="10471"/>
    <cellStyle name="Überschrift 1 139" xfId="10472"/>
    <cellStyle name="Überschrift 1 14" xfId="10473"/>
    <cellStyle name="Überschrift 1 14 2" xfId="10474"/>
    <cellStyle name="Überschrift 1 140" xfId="10475"/>
    <cellStyle name="Überschrift 1 141" xfId="10476"/>
    <cellStyle name="Überschrift 1 142" xfId="10477"/>
    <cellStyle name="Überschrift 1 143" xfId="10478"/>
    <cellStyle name="Überschrift 1 144" xfId="10479"/>
    <cellStyle name="Überschrift 1 145" xfId="10480"/>
    <cellStyle name="Überschrift 1 146" xfId="10481"/>
    <cellStyle name="Überschrift 1 147" xfId="10482"/>
    <cellStyle name="Überschrift 1 148" xfId="10483"/>
    <cellStyle name="Überschrift 1 149" xfId="10484"/>
    <cellStyle name="Überschrift 1 15" xfId="10485"/>
    <cellStyle name="Überschrift 1 150" xfId="10486"/>
    <cellStyle name="Überschrift 1 151" xfId="10487"/>
    <cellStyle name="Überschrift 1 16" xfId="10488"/>
    <cellStyle name="Überschrift 1 17" xfId="10489"/>
    <cellStyle name="Überschrift 1 18" xfId="10490"/>
    <cellStyle name="Überschrift 1 19" xfId="10491"/>
    <cellStyle name="Überschrift 1 2" xfId="10492"/>
    <cellStyle name="Überschrift 1 2 2" xfId="10493"/>
    <cellStyle name="Überschrift 1 20" xfId="10494"/>
    <cellStyle name="Überschrift 1 21" xfId="10495"/>
    <cellStyle name="Überschrift 1 22" xfId="10496"/>
    <cellStyle name="Überschrift 1 23" xfId="10497"/>
    <cellStyle name="Überschrift 1 24" xfId="10498"/>
    <cellStyle name="Überschrift 1 25" xfId="10499"/>
    <cellStyle name="Überschrift 1 26" xfId="10500"/>
    <cellStyle name="Überschrift 1 27" xfId="10501"/>
    <cellStyle name="Überschrift 1 28" xfId="10502"/>
    <cellStyle name="Überschrift 1 29" xfId="10503"/>
    <cellStyle name="Überschrift 1 3" xfId="10504"/>
    <cellStyle name="Überschrift 1 3 2" xfId="10505"/>
    <cellStyle name="Überschrift 1 30" xfId="10506"/>
    <cellStyle name="Überschrift 1 31" xfId="10507"/>
    <cellStyle name="Überschrift 1 32" xfId="10508"/>
    <cellStyle name="Überschrift 1 33" xfId="10509"/>
    <cellStyle name="Überschrift 1 34" xfId="10510"/>
    <cellStyle name="Überschrift 1 35" xfId="10511"/>
    <cellStyle name="Überschrift 1 36" xfId="10512"/>
    <cellStyle name="Überschrift 1 37" xfId="10513"/>
    <cellStyle name="Überschrift 1 38" xfId="10514"/>
    <cellStyle name="Überschrift 1 39" xfId="10515"/>
    <cellStyle name="Überschrift 1 4" xfId="10516"/>
    <cellStyle name="Überschrift 1 4 2" xfId="10517"/>
    <cellStyle name="Überschrift 1 40" xfId="10518"/>
    <cellStyle name="Überschrift 1 41" xfId="10519"/>
    <cellStyle name="Überschrift 1 42" xfId="10520"/>
    <cellStyle name="Überschrift 1 43" xfId="10521"/>
    <cellStyle name="Überschrift 1 44" xfId="10522"/>
    <cellStyle name="Überschrift 1 45" xfId="10523"/>
    <cellStyle name="Überschrift 1 46" xfId="10524"/>
    <cellStyle name="Überschrift 1 47" xfId="10525"/>
    <cellStyle name="Überschrift 1 48" xfId="10526"/>
    <cellStyle name="Überschrift 1 49" xfId="10527"/>
    <cellStyle name="Überschrift 1 5" xfId="10528"/>
    <cellStyle name="Überschrift 1 5 2" xfId="10529"/>
    <cellStyle name="Überschrift 1 50" xfId="10530"/>
    <cellStyle name="Überschrift 1 51" xfId="10531"/>
    <cellStyle name="Überschrift 1 52" xfId="10532"/>
    <cellStyle name="Überschrift 1 53" xfId="10533"/>
    <cellStyle name="Überschrift 1 54" xfId="10534"/>
    <cellStyle name="Überschrift 1 55" xfId="10535"/>
    <cellStyle name="Überschrift 1 56" xfId="10536"/>
    <cellStyle name="Überschrift 1 57" xfId="10537"/>
    <cellStyle name="Überschrift 1 58" xfId="10538"/>
    <cellStyle name="Überschrift 1 59" xfId="10539"/>
    <cellStyle name="Überschrift 1 6" xfId="10540"/>
    <cellStyle name="Überschrift 1 6 2" xfId="10541"/>
    <cellStyle name="Überschrift 1 60" xfId="10542"/>
    <cellStyle name="Überschrift 1 61" xfId="10543"/>
    <cellStyle name="Überschrift 1 62" xfId="10544"/>
    <cellStyle name="Überschrift 1 63" xfId="10545"/>
    <cellStyle name="Überschrift 1 64" xfId="10546"/>
    <cellStyle name="Überschrift 1 65" xfId="10547"/>
    <cellStyle name="Überschrift 1 66" xfId="10548"/>
    <cellStyle name="Überschrift 1 67" xfId="10549"/>
    <cellStyle name="Überschrift 1 68" xfId="10550"/>
    <cellStyle name="Überschrift 1 69" xfId="10551"/>
    <cellStyle name="Überschrift 1 7" xfId="10552"/>
    <cellStyle name="Überschrift 1 7 2" xfId="10553"/>
    <cellStyle name="Überschrift 1 70" xfId="10554"/>
    <cellStyle name="Überschrift 1 71" xfId="10555"/>
    <cellStyle name="Überschrift 1 72" xfId="10556"/>
    <cellStyle name="Überschrift 1 73" xfId="10557"/>
    <cellStyle name="Überschrift 1 74" xfId="10558"/>
    <cellStyle name="Überschrift 1 75" xfId="10559"/>
    <cellStyle name="Überschrift 1 76" xfId="10560"/>
    <cellStyle name="Überschrift 1 77" xfId="10561"/>
    <cellStyle name="Überschrift 1 78" xfId="10562"/>
    <cellStyle name="Überschrift 1 79" xfId="10563"/>
    <cellStyle name="Überschrift 1 8" xfId="10564"/>
    <cellStyle name="Überschrift 1 8 2" xfId="10565"/>
    <cellStyle name="Überschrift 1 80" xfId="10566"/>
    <cellStyle name="Überschrift 1 81" xfId="10567"/>
    <cellStyle name="Überschrift 1 82" xfId="10568"/>
    <cellStyle name="Überschrift 1 83" xfId="10569"/>
    <cellStyle name="Überschrift 1 84" xfId="10570"/>
    <cellStyle name="Überschrift 1 85" xfId="10571"/>
    <cellStyle name="Überschrift 1 86" xfId="10572"/>
    <cellStyle name="Überschrift 1 87" xfId="10573"/>
    <cellStyle name="Überschrift 1 88" xfId="10574"/>
    <cellStyle name="Überschrift 1 89" xfId="10575"/>
    <cellStyle name="Überschrift 1 9" xfId="10576"/>
    <cellStyle name="Überschrift 1 9 2" xfId="10577"/>
    <cellStyle name="Überschrift 1 90" xfId="10578"/>
    <cellStyle name="Überschrift 1 91" xfId="10579"/>
    <cellStyle name="Überschrift 1 92" xfId="10580"/>
    <cellStyle name="Überschrift 1 93" xfId="10581"/>
    <cellStyle name="Überschrift 1 94" xfId="10582"/>
    <cellStyle name="Überschrift 1 95" xfId="10583"/>
    <cellStyle name="Überschrift 1 96" xfId="10584"/>
    <cellStyle name="Überschrift 1 97" xfId="10585"/>
    <cellStyle name="Überschrift 1 98" xfId="10586"/>
    <cellStyle name="Überschrift 1 99" xfId="10587"/>
    <cellStyle name="Überschrift 10" xfId="10588"/>
    <cellStyle name="Überschrift 10 2" xfId="10589"/>
    <cellStyle name="Überschrift 100" xfId="10590"/>
    <cellStyle name="Überschrift 101" xfId="10591"/>
    <cellStyle name="Überschrift 102" xfId="10592"/>
    <cellStyle name="Überschrift 103" xfId="10593"/>
    <cellStyle name="Überschrift 104" xfId="10594"/>
    <cellStyle name="Überschrift 105" xfId="10595"/>
    <cellStyle name="Überschrift 106" xfId="10596"/>
    <cellStyle name="Überschrift 107" xfId="10597"/>
    <cellStyle name="Überschrift 108" xfId="10598"/>
    <cellStyle name="Überschrift 109" xfId="10599"/>
    <cellStyle name="Überschrift 11" xfId="10600"/>
    <cellStyle name="Überschrift 11 2" xfId="10601"/>
    <cellStyle name="Überschrift 110" xfId="10602"/>
    <cellStyle name="Überschrift 111" xfId="10603"/>
    <cellStyle name="Überschrift 112" xfId="10604"/>
    <cellStyle name="Überschrift 113" xfId="10605"/>
    <cellStyle name="Überschrift 114" xfId="10606"/>
    <cellStyle name="Überschrift 115" xfId="10607"/>
    <cellStyle name="Überschrift 116" xfId="10608"/>
    <cellStyle name="Überschrift 117" xfId="10609"/>
    <cellStyle name="Überschrift 118" xfId="10610"/>
    <cellStyle name="Überschrift 119" xfId="10611"/>
    <cellStyle name="Überschrift 12" xfId="10612"/>
    <cellStyle name="Überschrift 12 2" xfId="10613"/>
    <cellStyle name="Überschrift 120" xfId="10614"/>
    <cellStyle name="Überschrift 121" xfId="10615"/>
    <cellStyle name="Überschrift 122" xfId="10616"/>
    <cellStyle name="Überschrift 123" xfId="10617"/>
    <cellStyle name="Überschrift 124" xfId="10618"/>
    <cellStyle name="Überschrift 125" xfId="10619"/>
    <cellStyle name="Überschrift 126" xfId="10620"/>
    <cellStyle name="Überschrift 127" xfId="10621"/>
    <cellStyle name="Überschrift 128" xfId="10622"/>
    <cellStyle name="Überschrift 129" xfId="10623"/>
    <cellStyle name="Überschrift 13" xfId="10624"/>
    <cellStyle name="Überschrift 13 2" xfId="10625"/>
    <cellStyle name="Überschrift 130" xfId="10626"/>
    <cellStyle name="Überschrift 131" xfId="10627"/>
    <cellStyle name="Überschrift 132" xfId="10628"/>
    <cellStyle name="Überschrift 133" xfId="10629"/>
    <cellStyle name="Überschrift 134" xfId="10630"/>
    <cellStyle name="Überschrift 135" xfId="10631"/>
    <cellStyle name="Überschrift 136" xfId="10632"/>
    <cellStyle name="Überschrift 137" xfId="10633"/>
    <cellStyle name="Überschrift 138" xfId="10634"/>
    <cellStyle name="Überschrift 139" xfId="10635"/>
    <cellStyle name="Überschrift 14" xfId="10636"/>
    <cellStyle name="Überschrift 14 2" xfId="10637"/>
    <cellStyle name="Überschrift 140" xfId="10638"/>
    <cellStyle name="Überschrift 141" xfId="10639"/>
    <cellStyle name="Überschrift 142" xfId="10640"/>
    <cellStyle name="Überschrift 143" xfId="10641"/>
    <cellStyle name="Überschrift 144" xfId="10642"/>
    <cellStyle name="Überschrift 145" xfId="10643"/>
    <cellStyle name="Überschrift 146" xfId="10644"/>
    <cellStyle name="Überschrift 147" xfId="10645"/>
    <cellStyle name="Überschrift 148" xfId="10646"/>
    <cellStyle name="Überschrift 149" xfId="10647"/>
    <cellStyle name="Überschrift 15" xfId="10648"/>
    <cellStyle name="Überschrift 15 2" xfId="10649"/>
    <cellStyle name="Überschrift 150" xfId="10650"/>
    <cellStyle name="Überschrift 151" xfId="10651"/>
    <cellStyle name="Überschrift 152" xfId="10652"/>
    <cellStyle name="Überschrift 153" xfId="10653"/>
    <cellStyle name="Überschrift 154" xfId="10654"/>
    <cellStyle name="Überschrift 16" xfId="10655"/>
    <cellStyle name="Überschrift 16 2" xfId="10656"/>
    <cellStyle name="Überschrift 17" xfId="10657"/>
    <cellStyle name="Überschrift 17 2" xfId="10658"/>
    <cellStyle name="Überschrift 18" xfId="10659"/>
    <cellStyle name="Überschrift 19" xfId="10660"/>
    <cellStyle name="Überschrift 2" xfId="10661"/>
    <cellStyle name="Überschrift 2 10" xfId="10662"/>
    <cellStyle name="Überschrift 2 10 2" xfId="10663"/>
    <cellStyle name="Überschrift 2 100" xfId="10664"/>
    <cellStyle name="Überschrift 2 101" xfId="10665"/>
    <cellStyle name="Überschrift 2 102" xfId="10666"/>
    <cellStyle name="Überschrift 2 103" xfId="10667"/>
    <cellStyle name="Überschrift 2 104" xfId="10668"/>
    <cellStyle name="Überschrift 2 105" xfId="10669"/>
    <cellStyle name="Überschrift 2 106" xfId="10670"/>
    <cellStyle name="Überschrift 2 107" xfId="10671"/>
    <cellStyle name="Überschrift 2 108" xfId="10672"/>
    <cellStyle name="Überschrift 2 109" xfId="10673"/>
    <cellStyle name="Überschrift 2 11" xfId="10674"/>
    <cellStyle name="Überschrift 2 11 2" xfId="10675"/>
    <cellStyle name="Überschrift 2 110" xfId="10676"/>
    <cellStyle name="Überschrift 2 111" xfId="10677"/>
    <cellStyle name="Überschrift 2 112" xfId="10678"/>
    <cellStyle name="Überschrift 2 113" xfId="10679"/>
    <cellStyle name="Überschrift 2 114" xfId="10680"/>
    <cellStyle name="Überschrift 2 115" xfId="10681"/>
    <cellStyle name="Überschrift 2 116" xfId="10682"/>
    <cellStyle name="Überschrift 2 117" xfId="10683"/>
    <cellStyle name="Überschrift 2 118" xfId="10684"/>
    <cellStyle name="Überschrift 2 119" xfId="10685"/>
    <cellStyle name="Überschrift 2 12" xfId="10686"/>
    <cellStyle name="Überschrift 2 12 2" xfId="10687"/>
    <cellStyle name="Überschrift 2 120" xfId="10688"/>
    <cellStyle name="Überschrift 2 121" xfId="10689"/>
    <cellStyle name="Überschrift 2 122" xfId="10690"/>
    <cellStyle name="Überschrift 2 123" xfId="10691"/>
    <cellStyle name="Überschrift 2 124" xfId="10692"/>
    <cellStyle name="Überschrift 2 125" xfId="10693"/>
    <cellStyle name="Überschrift 2 126" xfId="10694"/>
    <cellStyle name="Überschrift 2 127" xfId="10695"/>
    <cellStyle name="Überschrift 2 128" xfId="10696"/>
    <cellStyle name="Überschrift 2 129" xfId="10697"/>
    <cellStyle name="Überschrift 2 13" xfId="10698"/>
    <cellStyle name="Überschrift 2 13 2" xfId="10699"/>
    <cellStyle name="Überschrift 2 130" xfId="10700"/>
    <cellStyle name="Überschrift 2 131" xfId="10701"/>
    <cellStyle name="Überschrift 2 132" xfId="10702"/>
    <cellStyle name="Überschrift 2 133" xfId="10703"/>
    <cellStyle name="Überschrift 2 134" xfId="10704"/>
    <cellStyle name="Überschrift 2 135" xfId="10705"/>
    <cellStyle name="Überschrift 2 136" xfId="10706"/>
    <cellStyle name="Überschrift 2 137" xfId="10707"/>
    <cellStyle name="Überschrift 2 138" xfId="10708"/>
    <cellStyle name="Überschrift 2 139" xfId="10709"/>
    <cellStyle name="Überschrift 2 14" xfId="10710"/>
    <cellStyle name="Überschrift 2 14 2" xfId="10711"/>
    <cellStyle name="Überschrift 2 140" xfId="10712"/>
    <cellStyle name="Überschrift 2 141" xfId="10713"/>
    <cellStyle name="Überschrift 2 142" xfId="10714"/>
    <cellStyle name="Überschrift 2 143" xfId="10715"/>
    <cellStyle name="Überschrift 2 144" xfId="10716"/>
    <cellStyle name="Überschrift 2 145" xfId="10717"/>
    <cellStyle name="Überschrift 2 146" xfId="10718"/>
    <cellStyle name="Überschrift 2 147" xfId="10719"/>
    <cellStyle name="Überschrift 2 148" xfId="10720"/>
    <cellStyle name="Überschrift 2 149" xfId="10721"/>
    <cellStyle name="Überschrift 2 15" xfId="10722"/>
    <cellStyle name="Überschrift 2 150" xfId="10723"/>
    <cellStyle name="Überschrift 2 151" xfId="10724"/>
    <cellStyle name="Überschrift 2 16" xfId="10725"/>
    <cellStyle name="Überschrift 2 17" xfId="10726"/>
    <cellStyle name="Überschrift 2 18" xfId="10727"/>
    <cellStyle name="Überschrift 2 19" xfId="10728"/>
    <cellStyle name="Überschrift 2 2" xfId="10729"/>
    <cellStyle name="Überschrift 2 2 2" xfId="10730"/>
    <cellStyle name="Überschrift 2 20" xfId="10731"/>
    <cellStyle name="Überschrift 2 21" xfId="10732"/>
    <cellStyle name="Überschrift 2 22" xfId="10733"/>
    <cellStyle name="Überschrift 2 23" xfId="10734"/>
    <cellStyle name="Überschrift 2 24" xfId="10735"/>
    <cellStyle name="Überschrift 2 25" xfId="10736"/>
    <cellStyle name="Überschrift 2 26" xfId="10737"/>
    <cellStyle name="Überschrift 2 27" xfId="10738"/>
    <cellStyle name="Überschrift 2 28" xfId="10739"/>
    <cellStyle name="Überschrift 2 29" xfId="10740"/>
    <cellStyle name="Überschrift 2 3" xfId="10741"/>
    <cellStyle name="Überschrift 2 3 2" xfId="10742"/>
    <cellStyle name="Überschrift 2 30" xfId="10743"/>
    <cellStyle name="Überschrift 2 31" xfId="10744"/>
    <cellStyle name="Überschrift 2 32" xfId="10745"/>
    <cellStyle name="Überschrift 2 33" xfId="10746"/>
    <cellStyle name="Überschrift 2 34" xfId="10747"/>
    <cellStyle name="Überschrift 2 35" xfId="10748"/>
    <cellStyle name="Überschrift 2 36" xfId="10749"/>
    <cellStyle name="Überschrift 2 37" xfId="10750"/>
    <cellStyle name="Überschrift 2 38" xfId="10751"/>
    <cellStyle name="Überschrift 2 39" xfId="10752"/>
    <cellStyle name="Überschrift 2 4" xfId="10753"/>
    <cellStyle name="Überschrift 2 4 2" xfId="10754"/>
    <cellStyle name="Überschrift 2 40" xfId="10755"/>
    <cellStyle name="Überschrift 2 41" xfId="10756"/>
    <cellStyle name="Überschrift 2 42" xfId="10757"/>
    <cellStyle name="Überschrift 2 43" xfId="10758"/>
    <cellStyle name="Überschrift 2 44" xfId="10759"/>
    <cellStyle name="Überschrift 2 45" xfId="10760"/>
    <cellStyle name="Überschrift 2 46" xfId="10761"/>
    <cellStyle name="Überschrift 2 47" xfId="10762"/>
    <cellStyle name="Überschrift 2 48" xfId="10763"/>
    <cellStyle name="Überschrift 2 49" xfId="10764"/>
    <cellStyle name="Überschrift 2 5" xfId="10765"/>
    <cellStyle name="Überschrift 2 5 2" xfId="10766"/>
    <cellStyle name="Überschrift 2 50" xfId="10767"/>
    <cellStyle name="Überschrift 2 51" xfId="10768"/>
    <cellStyle name="Überschrift 2 52" xfId="10769"/>
    <cellStyle name="Überschrift 2 53" xfId="10770"/>
    <cellStyle name="Überschrift 2 54" xfId="10771"/>
    <cellStyle name="Überschrift 2 55" xfId="10772"/>
    <cellStyle name="Überschrift 2 56" xfId="10773"/>
    <cellStyle name="Überschrift 2 57" xfId="10774"/>
    <cellStyle name="Überschrift 2 58" xfId="10775"/>
    <cellStyle name="Überschrift 2 59" xfId="10776"/>
    <cellStyle name="Überschrift 2 6" xfId="10777"/>
    <cellStyle name="Überschrift 2 6 2" xfId="10778"/>
    <cellStyle name="Überschrift 2 60" xfId="10779"/>
    <cellStyle name="Überschrift 2 61" xfId="10780"/>
    <cellStyle name="Überschrift 2 62" xfId="10781"/>
    <cellStyle name="Überschrift 2 63" xfId="10782"/>
    <cellStyle name="Überschrift 2 64" xfId="10783"/>
    <cellStyle name="Überschrift 2 65" xfId="10784"/>
    <cellStyle name="Überschrift 2 66" xfId="10785"/>
    <cellStyle name="Überschrift 2 67" xfId="10786"/>
    <cellStyle name="Überschrift 2 68" xfId="10787"/>
    <cellStyle name="Überschrift 2 69" xfId="10788"/>
    <cellStyle name="Überschrift 2 7" xfId="10789"/>
    <cellStyle name="Überschrift 2 7 2" xfId="10790"/>
    <cellStyle name="Überschrift 2 70" xfId="10791"/>
    <cellStyle name="Überschrift 2 71" xfId="10792"/>
    <cellStyle name="Überschrift 2 72" xfId="10793"/>
    <cellStyle name="Überschrift 2 73" xfId="10794"/>
    <cellStyle name="Überschrift 2 74" xfId="10795"/>
    <cellStyle name="Überschrift 2 75" xfId="10796"/>
    <cellStyle name="Überschrift 2 76" xfId="10797"/>
    <cellStyle name="Überschrift 2 77" xfId="10798"/>
    <cellStyle name="Überschrift 2 78" xfId="10799"/>
    <cellStyle name="Überschrift 2 79" xfId="10800"/>
    <cellStyle name="Überschrift 2 8" xfId="10801"/>
    <cellStyle name="Überschrift 2 8 2" xfId="10802"/>
    <cellStyle name="Überschrift 2 80" xfId="10803"/>
    <cellStyle name="Überschrift 2 81" xfId="10804"/>
    <cellStyle name="Überschrift 2 82" xfId="10805"/>
    <cellStyle name="Überschrift 2 83" xfId="10806"/>
    <cellStyle name="Überschrift 2 84" xfId="10807"/>
    <cellStyle name="Überschrift 2 85" xfId="10808"/>
    <cellStyle name="Überschrift 2 86" xfId="10809"/>
    <cellStyle name="Überschrift 2 87" xfId="10810"/>
    <cellStyle name="Überschrift 2 88" xfId="10811"/>
    <cellStyle name="Überschrift 2 89" xfId="10812"/>
    <cellStyle name="Überschrift 2 9" xfId="10813"/>
    <cellStyle name="Überschrift 2 9 2" xfId="10814"/>
    <cellStyle name="Überschrift 2 90" xfId="10815"/>
    <cellStyle name="Überschrift 2 91" xfId="10816"/>
    <cellStyle name="Überschrift 2 92" xfId="10817"/>
    <cellStyle name="Überschrift 2 93" xfId="10818"/>
    <cellStyle name="Überschrift 2 94" xfId="10819"/>
    <cellStyle name="Überschrift 2 95" xfId="10820"/>
    <cellStyle name="Überschrift 2 96" xfId="10821"/>
    <cellStyle name="Überschrift 2 97" xfId="10822"/>
    <cellStyle name="Überschrift 2 98" xfId="10823"/>
    <cellStyle name="Überschrift 2 99" xfId="10824"/>
    <cellStyle name="Überschrift 20" xfId="10825"/>
    <cellStyle name="Überschrift 21" xfId="10826"/>
    <cellStyle name="Überschrift 22" xfId="10827"/>
    <cellStyle name="Überschrift 23" xfId="10828"/>
    <cellStyle name="Überschrift 24" xfId="10829"/>
    <cellStyle name="Überschrift 25" xfId="10830"/>
    <cellStyle name="Überschrift 26" xfId="10831"/>
    <cellStyle name="Überschrift 27" xfId="10832"/>
    <cellStyle name="Überschrift 28" xfId="10833"/>
    <cellStyle name="Überschrift 29" xfId="10834"/>
    <cellStyle name="Überschrift 3" xfId="10835"/>
    <cellStyle name="Überschrift 3 10" xfId="10836"/>
    <cellStyle name="Überschrift 3 10 2" xfId="10837"/>
    <cellStyle name="Überschrift 3 100" xfId="10838"/>
    <cellStyle name="Überschrift 3 101" xfId="10839"/>
    <cellStyle name="Überschrift 3 102" xfId="10840"/>
    <cellStyle name="Überschrift 3 103" xfId="10841"/>
    <cellStyle name="Überschrift 3 104" xfId="10842"/>
    <cellStyle name="Überschrift 3 105" xfId="10843"/>
    <cellStyle name="Überschrift 3 106" xfId="10844"/>
    <cellStyle name="Überschrift 3 107" xfId="10845"/>
    <cellStyle name="Überschrift 3 108" xfId="10846"/>
    <cellStyle name="Überschrift 3 109" xfId="10847"/>
    <cellStyle name="Überschrift 3 11" xfId="10848"/>
    <cellStyle name="Überschrift 3 11 2" xfId="10849"/>
    <cellStyle name="Überschrift 3 110" xfId="10850"/>
    <cellStyle name="Überschrift 3 111" xfId="10851"/>
    <cellStyle name="Überschrift 3 112" xfId="10852"/>
    <cellStyle name="Überschrift 3 113" xfId="10853"/>
    <cellStyle name="Überschrift 3 114" xfId="10854"/>
    <cellStyle name="Überschrift 3 115" xfId="10855"/>
    <cellStyle name="Überschrift 3 116" xfId="10856"/>
    <cellStyle name="Überschrift 3 117" xfId="10857"/>
    <cellStyle name="Überschrift 3 118" xfId="10858"/>
    <cellStyle name="Überschrift 3 119" xfId="10859"/>
    <cellStyle name="Überschrift 3 12" xfId="10860"/>
    <cellStyle name="Überschrift 3 12 2" xfId="10861"/>
    <cellStyle name="Überschrift 3 120" xfId="10862"/>
    <cellStyle name="Überschrift 3 121" xfId="10863"/>
    <cellStyle name="Überschrift 3 122" xfId="10864"/>
    <cellStyle name="Überschrift 3 123" xfId="10865"/>
    <cellStyle name="Überschrift 3 124" xfId="10866"/>
    <cellStyle name="Überschrift 3 125" xfId="10867"/>
    <cellStyle name="Überschrift 3 126" xfId="10868"/>
    <cellStyle name="Überschrift 3 127" xfId="10869"/>
    <cellStyle name="Überschrift 3 128" xfId="10870"/>
    <cellStyle name="Überschrift 3 129" xfId="10871"/>
    <cellStyle name="Überschrift 3 13" xfId="10872"/>
    <cellStyle name="Überschrift 3 13 2" xfId="10873"/>
    <cellStyle name="Überschrift 3 130" xfId="10874"/>
    <cellStyle name="Überschrift 3 131" xfId="10875"/>
    <cellStyle name="Überschrift 3 132" xfId="10876"/>
    <cellStyle name="Überschrift 3 133" xfId="10877"/>
    <cellStyle name="Überschrift 3 134" xfId="10878"/>
    <cellStyle name="Überschrift 3 135" xfId="10879"/>
    <cellStyle name="Überschrift 3 136" xfId="10880"/>
    <cellStyle name="Überschrift 3 137" xfId="10881"/>
    <cellStyle name="Überschrift 3 138" xfId="10882"/>
    <cellStyle name="Überschrift 3 139" xfId="10883"/>
    <cellStyle name="Überschrift 3 14" xfId="10884"/>
    <cellStyle name="Überschrift 3 14 2" xfId="10885"/>
    <cellStyle name="Überschrift 3 140" xfId="10886"/>
    <cellStyle name="Überschrift 3 141" xfId="10887"/>
    <cellStyle name="Überschrift 3 142" xfId="10888"/>
    <cellStyle name="Überschrift 3 143" xfId="10889"/>
    <cellStyle name="Überschrift 3 144" xfId="10890"/>
    <cellStyle name="Überschrift 3 145" xfId="10891"/>
    <cellStyle name="Überschrift 3 146" xfId="10892"/>
    <cellStyle name="Überschrift 3 147" xfId="10893"/>
    <cellStyle name="Überschrift 3 148" xfId="10894"/>
    <cellStyle name="Überschrift 3 149" xfId="10895"/>
    <cellStyle name="Überschrift 3 15" xfId="10896"/>
    <cellStyle name="Überschrift 3 150" xfId="10897"/>
    <cellStyle name="Überschrift 3 151" xfId="10898"/>
    <cellStyle name="Überschrift 3 16" xfId="10899"/>
    <cellStyle name="Überschrift 3 17" xfId="10900"/>
    <cellStyle name="Überschrift 3 18" xfId="10901"/>
    <cellStyle name="Überschrift 3 19" xfId="10902"/>
    <cellStyle name="Überschrift 3 2" xfId="10903"/>
    <cellStyle name="Überschrift 3 2 2" xfId="10904"/>
    <cellStyle name="Überschrift 3 20" xfId="10905"/>
    <cellStyle name="Überschrift 3 21" xfId="10906"/>
    <cellStyle name="Überschrift 3 22" xfId="10907"/>
    <cellStyle name="Überschrift 3 23" xfId="10908"/>
    <cellStyle name="Überschrift 3 24" xfId="10909"/>
    <cellStyle name="Überschrift 3 25" xfId="10910"/>
    <cellStyle name="Überschrift 3 26" xfId="10911"/>
    <cellStyle name="Überschrift 3 27" xfId="10912"/>
    <cellStyle name="Überschrift 3 28" xfId="10913"/>
    <cellStyle name="Überschrift 3 29" xfId="10914"/>
    <cellStyle name="Überschrift 3 3" xfId="10915"/>
    <cellStyle name="Überschrift 3 3 2" xfId="10916"/>
    <cellStyle name="Überschrift 3 30" xfId="10917"/>
    <cellStyle name="Überschrift 3 31" xfId="10918"/>
    <cellStyle name="Überschrift 3 32" xfId="10919"/>
    <cellStyle name="Überschrift 3 33" xfId="10920"/>
    <cellStyle name="Überschrift 3 34" xfId="10921"/>
    <cellStyle name="Überschrift 3 35" xfId="10922"/>
    <cellStyle name="Überschrift 3 36" xfId="10923"/>
    <cellStyle name="Überschrift 3 37" xfId="10924"/>
    <cellStyle name="Überschrift 3 38" xfId="10925"/>
    <cellStyle name="Überschrift 3 39" xfId="10926"/>
    <cellStyle name="Überschrift 3 4" xfId="10927"/>
    <cellStyle name="Überschrift 3 4 2" xfId="10928"/>
    <cellStyle name="Überschrift 3 40" xfId="10929"/>
    <cellStyle name="Überschrift 3 41" xfId="10930"/>
    <cellStyle name="Überschrift 3 42" xfId="10931"/>
    <cellStyle name="Überschrift 3 43" xfId="10932"/>
    <cellStyle name="Überschrift 3 44" xfId="10933"/>
    <cellStyle name="Überschrift 3 45" xfId="10934"/>
    <cellStyle name="Überschrift 3 46" xfId="10935"/>
    <cellStyle name="Überschrift 3 47" xfId="10936"/>
    <cellStyle name="Überschrift 3 48" xfId="10937"/>
    <cellStyle name="Überschrift 3 49" xfId="10938"/>
    <cellStyle name="Überschrift 3 5" xfId="10939"/>
    <cellStyle name="Überschrift 3 5 2" xfId="10940"/>
    <cellStyle name="Überschrift 3 50" xfId="10941"/>
    <cellStyle name="Überschrift 3 51" xfId="10942"/>
    <cellStyle name="Überschrift 3 52" xfId="10943"/>
    <cellStyle name="Überschrift 3 53" xfId="10944"/>
    <cellStyle name="Überschrift 3 54" xfId="10945"/>
    <cellStyle name="Überschrift 3 55" xfId="10946"/>
    <cellStyle name="Überschrift 3 56" xfId="10947"/>
    <cellStyle name="Überschrift 3 57" xfId="10948"/>
    <cellStyle name="Überschrift 3 58" xfId="10949"/>
    <cellStyle name="Überschrift 3 59" xfId="10950"/>
    <cellStyle name="Überschrift 3 6" xfId="10951"/>
    <cellStyle name="Überschrift 3 6 2" xfId="10952"/>
    <cellStyle name="Überschrift 3 60" xfId="10953"/>
    <cellStyle name="Überschrift 3 61" xfId="10954"/>
    <cellStyle name="Überschrift 3 62" xfId="10955"/>
    <cellStyle name="Überschrift 3 63" xfId="10956"/>
    <cellStyle name="Überschrift 3 64" xfId="10957"/>
    <cellStyle name="Überschrift 3 65" xfId="10958"/>
    <cellStyle name="Überschrift 3 66" xfId="10959"/>
    <cellStyle name="Überschrift 3 67" xfId="10960"/>
    <cellStyle name="Überschrift 3 68" xfId="10961"/>
    <cellStyle name="Überschrift 3 69" xfId="10962"/>
    <cellStyle name="Überschrift 3 7" xfId="10963"/>
    <cellStyle name="Überschrift 3 7 2" xfId="10964"/>
    <cellStyle name="Überschrift 3 70" xfId="10965"/>
    <cellStyle name="Überschrift 3 71" xfId="10966"/>
    <cellStyle name="Überschrift 3 72" xfId="10967"/>
    <cellStyle name="Überschrift 3 73" xfId="10968"/>
    <cellStyle name="Überschrift 3 74" xfId="10969"/>
    <cellStyle name="Überschrift 3 75" xfId="10970"/>
    <cellStyle name="Überschrift 3 76" xfId="10971"/>
    <cellStyle name="Überschrift 3 77" xfId="10972"/>
    <cellStyle name="Überschrift 3 78" xfId="10973"/>
    <cellStyle name="Überschrift 3 79" xfId="10974"/>
    <cellStyle name="Überschrift 3 8" xfId="10975"/>
    <cellStyle name="Überschrift 3 8 2" xfId="10976"/>
    <cellStyle name="Überschrift 3 80" xfId="10977"/>
    <cellStyle name="Überschrift 3 81" xfId="10978"/>
    <cellStyle name="Überschrift 3 82" xfId="10979"/>
    <cellStyle name="Überschrift 3 83" xfId="10980"/>
    <cellStyle name="Überschrift 3 84" xfId="10981"/>
    <cellStyle name="Überschrift 3 85" xfId="10982"/>
    <cellStyle name="Überschrift 3 86" xfId="10983"/>
    <cellStyle name="Überschrift 3 87" xfId="10984"/>
    <cellStyle name="Überschrift 3 88" xfId="10985"/>
    <cellStyle name="Überschrift 3 89" xfId="10986"/>
    <cellStyle name="Überschrift 3 9" xfId="10987"/>
    <cellStyle name="Überschrift 3 9 2" xfId="10988"/>
    <cellStyle name="Überschrift 3 90" xfId="10989"/>
    <cellStyle name="Überschrift 3 91" xfId="10990"/>
    <cellStyle name="Überschrift 3 92" xfId="10991"/>
    <cellStyle name="Überschrift 3 93" xfId="10992"/>
    <cellStyle name="Überschrift 3 94" xfId="10993"/>
    <cellStyle name="Überschrift 3 95" xfId="10994"/>
    <cellStyle name="Überschrift 3 96" xfId="10995"/>
    <cellStyle name="Überschrift 3 97" xfId="10996"/>
    <cellStyle name="Überschrift 3 98" xfId="10997"/>
    <cellStyle name="Überschrift 3 99" xfId="10998"/>
    <cellStyle name="Überschrift 30" xfId="10999"/>
    <cellStyle name="Überschrift 31" xfId="11000"/>
    <cellStyle name="Überschrift 32" xfId="11001"/>
    <cellStyle name="Überschrift 33" xfId="11002"/>
    <cellStyle name="Überschrift 34" xfId="11003"/>
    <cellStyle name="Überschrift 35" xfId="11004"/>
    <cellStyle name="Überschrift 36" xfId="11005"/>
    <cellStyle name="Überschrift 37" xfId="11006"/>
    <cellStyle name="Überschrift 38" xfId="11007"/>
    <cellStyle name="Überschrift 39" xfId="11008"/>
    <cellStyle name="Überschrift 4" xfId="11009"/>
    <cellStyle name="Überschrift 4 10" xfId="11010"/>
    <cellStyle name="Überschrift 4 10 2" xfId="11011"/>
    <cellStyle name="Überschrift 4 100" xfId="11012"/>
    <cellStyle name="Überschrift 4 101" xfId="11013"/>
    <cellStyle name="Überschrift 4 102" xfId="11014"/>
    <cellStyle name="Überschrift 4 103" xfId="11015"/>
    <cellStyle name="Überschrift 4 104" xfId="11016"/>
    <cellStyle name="Überschrift 4 105" xfId="11017"/>
    <cellStyle name="Überschrift 4 106" xfId="11018"/>
    <cellStyle name="Überschrift 4 107" xfId="11019"/>
    <cellStyle name="Überschrift 4 108" xfId="11020"/>
    <cellStyle name="Überschrift 4 109" xfId="11021"/>
    <cellStyle name="Überschrift 4 11" xfId="11022"/>
    <cellStyle name="Überschrift 4 11 2" xfId="11023"/>
    <cellStyle name="Überschrift 4 110" xfId="11024"/>
    <cellStyle name="Überschrift 4 111" xfId="11025"/>
    <cellStyle name="Überschrift 4 112" xfId="11026"/>
    <cellStyle name="Überschrift 4 113" xfId="11027"/>
    <cellStyle name="Überschrift 4 114" xfId="11028"/>
    <cellStyle name="Überschrift 4 115" xfId="11029"/>
    <cellStyle name="Überschrift 4 116" xfId="11030"/>
    <cellStyle name="Überschrift 4 117" xfId="11031"/>
    <cellStyle name="Überschrift 4 118" xfId="11032"/>
    <cellStyle name="Überschrift 4 119" xfId="11033"/>
    <cellStyle name="Überschrift 4 12" xfId="11034"/>
    <cellStyle name="Überschrift 4 12 2" xfId="11035"/>
    <cellStyle name="Überschrift 4 120" xfId="11036"/>
    <cellStyle name="Überschrift 4 121" xfId="11037"/>
    <cellStyle name="Überschrift 4 122" xfId="11038"/>
    <cellStyle name="Überschrift 4 123" xfId="11039"/>
    <cellStyle name="Überschrift 4 124" xfId="11040"/>
    <cellStyle name="Überschrift 4 125" xfId="11041"/>
    <cellStyle name="Überschrift 4 126" xfId="11042"/>
    <cellStyle name="Überschrift 4 127" xfId="11043"/>
    <cellStyle name="Überschrift 4 128" xfId="11044"/>
    <cellStyle name="Überschrift 4 129" xfId="11045"/>
    <cellStyle name="Überschrift 4 13" xfId="11046"/>
    <cellStyle name="Überschrift 4 13 2" xfId="11047"/>
    <cellStyle name="Überschrift 4 130" xfId="11048"/>
    <cellStyle name="Überschrift 4 131" xfId="11049"/>
    <cellStyle name="Überschrift 4 132" xfId="11050"/>
    <cellStyle name="Überschrift 4 133" xfId="11051"/>
    <cellStyle name="Überschrift 4 134" xfId="11052"/>
    <cellStyle name="Überschrift 4 135" xfId="11053"/>
    <cellStyle name="Überschrift 4 136" xfId="11054"/>
    <cellStyle name="Überschrift 4 137" xfId="11055"/>
    <cellStyle name="Überschrift 4 138" xfId="11056"/>
    <cellStyle name="Überschrift 4 139" xfId="11057"/>
    <cellStyle name="Überschrift 4 14" xfId="11058"/>
    <cellStyle name="Überschrift 4 14 2" xfId="11059"/>
    <cellStyle name="Überschrift 4 140" xfId="11060"/>
    <cellStyle name="Überschrift 4 141" xfId="11061"/>
    <cellStyle name="Überschrift 4 142" xfId="11062"/>
    <cellStyle name="Überschrift 4 143" xfId="11063"/>
    <cellStyle name="Überschrift 4 144" xfId="11064"/>
    <cellStyle name="Überschrift 4 145" xfId="11065"/>
    <cellStyle name="Überschrift 4 146" xfId="11066"/>
    <cellStyle name="Überschrift 4 147" xfId="11067"/>
    <cellStyle name="Überschrift 4 148" xfId="11068"/>
    <cellStyle name="Überschrift 4 149" xfId="11069"/>
    <cellStyle name="Überschrift 4 15" xfId="11070"/>
    <cellStyle name="Überschrift 4 150" xfId="11071"/>
    <cellStyle name="Überschrift 4 151" xfId="11072"/>
    <cellStyle name="Überschrift 4 16" xfId="11073"/>
    <cellStyle name="Überschrift 4 17" xfId="11074"/>
    <cellStyle name="Überschrift 4 18" xfId="11075"/>
    <cellStyle name="Überschrift 4 19" xfId="11076"/>
    <cellStyle name="Überschrift 4 2" xfId="11077"/>
    <cellStyle name="Überschrift 4 2 2" xfId="11078"/>
    <cellStyle name="Überschrift 4 20" xfId="11079"/>
    <cellStyle name="Überschrift 4 21" xfId="11080"/>
    <cellStyle name="Überschrift 4 22" xfId="11081"/>
    <cellStyle name="Überschrift 4 23" xfId="11082"/>
    <cellStyle name="Überschrift 4 24" xfId="11083"/>
    <cellStyle name="Überschrift 4 25" xfId="11084"/>
    <cellStyle name="Überschrift 4 26" xfId="11085"/>
    <cellStyle name="Überschrift 4 27" xfId="11086"/>
    <cellStyle name="Überschrift 4 28" xfId="11087"/>
    <cellStyle name="Überschrift 4 29" xfId="11088"/>
    <cellStyle name="Überschrift 4 3" xfId="11089"/>
    <cellStyle name="Überschrift 4 3 2" xfId="11090"/>
    <cellStyle name="Überschrift 4 30" xfId="11091"/>
    <cellStyle name="Überschrift 4 31" xfId="11092"/>
    <cellStyle name="Überschrift 4 32" xfId="11093"/>
    <cellStyle name="Überschrift 4 33" xfId="11094"/>
    <cellStyle name="Überschrift 4 34" xfId="11095"/>
    <cellStyle name="Überschrift 4 35" xfId="11096"/>
    <cellStyle name="Überschrift 4 36" xfId="11097"/>
    <cellStyle name="Überschrift 4 37" xfId="11098"/>
    <cellStyle name="Überschrift 4 38" xfId="11099"/>
    <cellStyle name="Überschrift 4 39" xfId="11100"/>
    <cellStyle name="Überschrift 4 4" xfId="11101"/>
    <cellStyle name="Überschrift 4 4 2" xfId="11102"/>
    <cellStyle name="Überschrift 4 40" xfId="11103"/>
    <cellStyle name="Überschrift 4 41" xfId="11104"/>
    <cellStyle name="Überschrift 4 42" xfId="11105"/>
    <cellStyle name="Überschrift 4 43" xfId="11106"/>
    <cellStyle name="Überschrift 4 44" xfId="11107"/>
    <cellStyle name="Überschrift 4 45" xfId="11108"/>
    <cellStyle name="Überschrift 4 46" xfId="11109"/>
    <cellStyle name="Überschrift 4 47" xfId="11110"/>
    <cellStyle name="Überschrift 4 48" xfId="11111"/>
    <cellStyle name="Überschrift 4 49" xfId="11112"/>
    <cellStyle name="Überschrift 4 5" xfId="11113"/>
    <cellStyle name="Überschrift 4 5 2" xfId="11114"/>
    <cellStyle name="Überschrift 4 50" xfId="11115"/>
    <cellStyle name="Überschrift 4 51" xfId="11116"/>
    <cellStyle name="Überschrift 4 52" xfId="11117"/>
    <cellStyle name="Überschrift 4 53" xfId="11118"/>
    <cellStyle name="Überschrift 4 54" xfId="11119"/>
    <cellStyle name="Überschrift 4 55" xfId="11120"/>
    <cellStyle name="Überschrift 4 56" xfId="11121"/>
    <cellStyle name="Überschrift 4 57" xfId="11122"/>
    <cellStyle name="Überschrift 4 58" xfId="11123"/>
    <cellStyle name="Überschrift 4 59" xfId="11124"/>
    <cellStyle name="Überschrift 4 6" xfId="11125"/>
    <cellStyle name="Überschrift 4 6 2" xfId="11126"/>
    <cellStyle name="Überschrift 4 60" xfId="11127"/>
    <cellStyle name="Überschrift 4 61" xfId="11128"/>
    <cellStyle name="Überschrift 4 62" xfId="11129"/>
    <cellStyle name="Überschrift 4 63" xfId="11130"/>
    <cellStyle name="Überschrift 4 64" xfId="11131"/>
    <cellStyle name="Überschrift 4 65" xfId="11132"/>
    <cellStyle name="Überschrift 4 66" xfId="11133"/>
    <cellStyle name="Überschrift 4 67" xfId="11134"/>
    <cellStyle name="Überschrift 4 68" xfId="11135"/>
    <cellStyle name="Überschrift 4 69" xfId="11136"/>
    <cellStyle name="Überschrift 4 7" xfId="11137"/>
    <cellStyle name="Überschrift 4 7 2" xfId="11138"/>
    <cellStyle name="Überschrift 4 70" xfId="11139"/>
    <cellStyle name="Überschrift 4 71" xfId="11140"/>
    <cellStyle name="Überschrift 4 72" xfId="11141"/>
    <cellStyle name="Überschrift 4 73" xfId="11142"/>
    <cellStyle name="Überschrift 4 74" xfId="11143"/>
    <cellStyle name="Überschrift 4 75" xfId="11144"/>
    <cellStyle name="Überschrift 4 76" xfId="11145"/>
    <cellStyle name="Überschrift 4 77" xfId="11146"/>
    <cellStyle name="Überschrift 4 78" xfId="11147"/>
    <cellStyle name="Überschrift 4 79" xfId="11148"/>
    <cellStyle name="Überschrift 4 8" xfId="11149"/>
    <cellStyle name="Überschrift 4 8 2" xfId="11150"/>
    <cellStyle name="Überschrift 4 80" xfId="11151"/>
    <cellStyle name="Überschrift 4 81" xfId="11152"/>
    <cellStyle name="Überschrift 4 82" xfId="11153"/>
    <cellStyle name="Überschrift 4 83" xfId="11154"/>
    <cellStyle name="Überschrift 4 84" xfId="11155"/>
    <cellStyle name="Überschrift 4 85" xfId="11156"/>
    <cellStyle name="Überschrift 4 86" xfId="11157"/>
    <cellStyle name="Überschrift 4 87" xfId="11158"/>
    <cellStyle name="Überschrift 4 88" xfId="11159"/>
    <cellStyle name="Überschrift 4 89" xfId="11160"/>
    <cellStyle name="Überschrift 4 9" xfId="11161"/>
    <cellStyle name="Überschrift 4 9 2" xfId="11162"/>
    <cellStyle name="Überschrift 4 90" xfId="11163"/>
    <cellStyle name="Überschrift 4 91" xfId="11164"/>
    <cellStyle name="Überschrift 4 92" xfId="11165"/>
    <cellStyle name="Überschrift 4 93" xfId="11166"/>
    <cellStyle name="Überschrift 4 94" xfId="11167"/>
    <cellStyle name="Überschrift 4 95" xfId="11168"/>
    <cellStyle name="Überschrift 4 96" xfId="11169"/>
    <cellStyle name="Überschrift 4 97" xfId="11170"/>
    <cellStyle name="Überschrift 4 98" xfId="11171"/>
    <cellStyle name="Überschrift 4 99" xfId="11172"/>
    <cellStyle name="Überschrift 40" xfId="11173"/>
    <cellStyle name="Überschrift 41" xfId="11174"/>
    <cellStyle name="Überschrift 42" xfId="11175"/>
    <cellStyle name="Überschrift 43" xfId="11176"/>
    <cellStyle name="Überschrift 44" xfId="11177"/>
    <cellStyle name="Überschrift 45" xfId="11178"/>
    <cellStyle name="Überschrift 46" xfId="11179"/>
    <cellStyle name="Überschrift 47" xfId="11180"/>
    <cellStyle name="Überschrift 48" xfId="11181"/>
    <cellStyle name="Überschrift 49" xfId="11182"/>
    <cellStyle name="Überschrift 5" xfId="11183"/>
    <cellStyle name="Überschrift 5 2" xfId="11184"/>
    <cellStyle name="Überschrift 50" xfId="11185"/>
    <cellStyle name="Überschrift 51" xfId="11186"/>
    <cellStyle name="Überschrift 52" xfId="11187"/>
    <cellStyle name="Überschrift 53" xfId="11188"/>
    <cellStyle name="Überschrift 54" xfId="11189"/>
    <cellStyle name="Überschrift 55" xfId="11190"/>
    <cellStyle name="Überschrift 56" xfId="11191"/>
    <cellStyle name="Überschrift 57" xfId="11192"/>
    <cellStyle name="Überschrift 58" xfId="11193"/>
    <cellStyle name="Überschrift 59" xfId="11194"/>
    <cellStyle name="Überschrift 6" xfId="11195"/>
    <cellStyle name="Überschrift 6 2" xfId="11196"/>
    <cellStyle name="Überschrift 60" xfId="11197"/>
    <cellStyle name="Überschrift 61" xfId="11198"/>
    <cellStyle name="Überschrift 62" xfId="11199"/>
    <cellStyle name="Überschrift 63" xfId="11200"/>
    <cellStyle name="Überschrift 64" xfId="11201"/>
    <cellStyle name="Überschrift 65" xfId="11202"/>
    <cellStyle name="Überschrift 66" xfId="11203"/>
    <cellStyle name="Überschrift 67" xfId="11204"/>
    <cellStyle name="Überschrift 68" xfId="11205"/>
    <cellStyle name="Überschrift 69" xfId="11206"/>
    <cellStyle name="Überschrift 7" xfId="11207"/>
    <cellStyle name="Überschrift 7 2" xfId="11208"/>
    <cellStyle name="Überschrift 70" xfId="11209"/>
    <cellStyle name="Überschrift 71" xfId="11210"/>
    <cellStyle name="Überschrift 72" xfId="11211"/>
    <cellStyle name="Überschrift 73" xfId="11212"/>
    <cellStyle name="Überschrift 74" xfId="11213"/>
    <cellStyle name="Überschrift 75" xfId="11214"/>
    <cellStyle name="Überschrift 76" xfId="11215"/>
    <cellStyle name="Überschrift 77" xfId="11216"/>
    <cellStyle name="Überschrift 78" xfId="11217"/>
    <cellStyle name="Überschrift 79" xfId="11218"/>
    <cellStyle name="Überschrift 8" xfId="11219"/>
    <cellStyle name="Überschrift 8 2" xfId="11220"/>
    <cellStyle name="Überschrift 80" xfId="11221"/>
    <cellStyle name="Überschrift 81" xfId="11222"/>
    <cellStyle name="Überschrift 82" xfId="11223"/>
    <cellStyle name="Überschrift 83" xfId="11224"/>
    <cellStyle name="Überschrift 84" xfId="11225"/>
    <cellStyle name="Überschrift 85" xfId="11226"/>
    <cellStyle name="Überschrift 86" xfId="11227"/>
    <cellStyle name="Überschrift 87" xfId="11228"/>
    <cellStyle name="Überschrift 88" xfId="11229"/>
    <cellStyle name="Überschrift 89" xfId="11230"/>
    <cellStyle name="Überschrift 9" xfId="11231"/>
    <cellStyle name="Überschrift 9 2" xfId="11232"/>
    <cellStyle name="Überschrift 90" xfId="11233"/>
    <cellStyle name="Überschrift 91" xfId="11234"/>
    <cellStyle name="Überschrift 92" xfId="11235"/>
    <cellStyle name="Überschrift 93" xfId="11236"/>
    <cellStyle name="Überschrift 94" xfId="11237"/>
    <cellStyle name="Überschrift 95" xfId="11238"/>
    <cellStyle name="Überschrift 96" xfId="11239"/>
    <cellStyle name="Überschrift 97" xfId="11240"/>
    <cellStyle name="Überschrift 98" xfId="11241"/>
    <cellStyle name="Überschrift 99" xfId="11242"/>
    <cellStyle name="Verknüpfte Zelle" xfId="11243"/>
    <cellStyle name="Verknüpfte Zelle 10" xfId="11244"/>
    <cellStyle name="Verknüpfte Zelle 10 2" xfId="11245"/>
    <cellStyle name="Verknüpfte Zelle 100" xfId="11246"/>
    <cellStyle name="Verknüpfte Zelle 101" xfId="11247"/>
    <cellStyle name="Verknüpfte Zelle 102" xfId="11248"/>
    <cellStyle name="Verknüpfte Zelle 103" xfId="11249"/>
    <cellStyle name="Verknüpfte Zelle 104" xfId="11250"/>
    <cellStyle name="Verknüpfte Zelle 105" xfId="11251"/>
    <cellStyle name="Verknüpfte Zelle 106" xfId="11252"/>
    <cellStyle name="Verknüpfte Zelle 107" xfId="11253"/>
    <cellStyle name="Verknüpfte Zelle 108" xfId="11254"/>
    <cellStyle name="Verknüpfte Zelle 109" xfId="11255"/>
    <cellStyle name="Verknüpfte Zelle 11" xfId="11256"/>
    <cellStyle name="Verknüpfte Zelle 11 2" xfId="11257"/>
    <cellStyle name="Verknüpfte Zelle 110" xfId="11258"/>
    <cellStyle name="Verknüpfte Zelle 111" xfId="11259"/>
    <cellStyle name="Verknüpfte Zelle 112" xfId="11260"/>
    <cellStyle name="Verknüpfte Zelle 113" xfId="11261"/>
    <cellStyle name="Verknüpfte Zelle 114" xfId="11262"/>
    <cellStyle name="Verknüpfte Zelle 115" xfId="11263"/>
    <cellStyle name="Verknüpfte Zelle 116" xfId="11264"/>
    <cellStyle name="Verknüpfte Zelle 117" xfId="11265"/>
    <cellStyle name="Verknüpfte Zelle 118" xfId="11266"/>
    <cellStyle name="Verknüpfte Zelle 119" xfId="11267"/>
    <cellStyle name="Verknüpfte Zelle 12" xfId="11268"/>
    <cellStyle name="Verknüpfte Zelle 12 2" xfId="11269"/>
    <cellStyle name="Verknüpfte Zelle 120" xfId="11270"/>
    <cellStyle name="Verknüpfte Zelle 121" xfId="11271"/>
    <cellStyle name="Verknüpfte Zelle 122" xfId="11272"/>
    <cellStyle name="Verknüpfte Zelle 123" xfId="11273"/>
    <cellStyle name="Verknüpfte Zelle 124" xfId="11274"/>
    <cellStyle name="Verknüpfte Zelle 125" xfId="11275"/>
    <cellStyle name="Verknüpfte Zelle 126" xfId="11276"/>
    <cellStyle name="Verknüpfte Zelle 127" xfId="11277"/>
    <cellStyle name="Verknüpfte Zelle 128" xfId="11278"/>
    <cellStyle name="Verknüpfte Zelle 129" xfId="11279"/>
    <cellStyle name="Verknüpfte Zelle 13" xfId="11280"/>
    <cellStyle name="Verknüpfte Zelle 13 2" xfId="11281"/>
    <cellStyle name="Verknüpfte Zelle 130" xfId="11282"/>
    <cellStyle name="Verknüpfte Zelle 131" xfId="11283"/>
    <cellStyle name="Verknüpfte Zelle 132" xfId="11284"/>
    <cellStyle name="Verknüpfte Zelle 133" xfId="11285"/>
    <cellStyle name="Verknüpfte Zelle 134" xfId="11286"/>
    <cellStyle name="Verknüpfte Zelle 135" xfId="11287"/>
    <cellStyle name="Verknüpfte Zelle 136" xfId="11288"/>
    <cellStyle name="Verknüpfte Zelle 137" xfId="11289"/>
    <cellStyle name="Verknüpfte Zelle 138" xfId="11290"/>
    <cellStyle name="Verknüpfte Zelle 139" xfId="11291"/>
    <cellStyle name="Verknüpfte Zelle 14" xfId="11292"/>
    <cellStyle name="Verknüpfte Zelle 14 2" xfId="11293"/>
    <cellStyle name="Verknüpfte Zelle 140" xfId="11294"/>
    <cellStyle name="Verknüpfte Zelle 141" xfId="11295"/>
    <cellStyle name="Verknüpfte Zelle 142" xfId="11296"/>
    <cellStyle name="Verknüpfte Zelle 143" xfId="11297"/>
    <cellStyle name="Verknüpfte Zelle 144" xfId="11298"/>
    <cellStyle name="Verknüpfte Zelle 145" xfId="11299"/>
    <cellStyle name="Verknüpfte Zelle 146" xfId="11300"/>
    <cellStyle name="Verknüpfte Zelle 147" xfId="11301"/>
    <cellStyle name="Verknüpfte Zelle 148" xfId="11302"/>
    <cellStyle name="Verknüpfte Zelle 149" xfId="11303"/>
    <cellStyle name="Verknüpfte Zelle 15" xfId="11304"/>
    <cellStyle name="Verknüpfte Zelle 150" xfId="11305"/>
    <cellStyle name="Verknüpfte Zelle 151" xfId="11306"/>
    <cellStyle name="Verknüpfte Zelle 16" xfId="11307"/>
    <cellStyle name="Verknüpfte Zelle 17" xfId="11308"/>
    <cellStyle name="Verknüpfte Zelle 18" xfId="11309"/>
    <cellStyle name="Verknüpfte Zelle 19" xfId="11310"/>
    <cellStyle name="Verknüpfte Zelle 2" xfId="11311"/>
    <cellStyle name="Verknüpfte Zelle 2 2" xfId="11312"/>
    <cellStyle name="Verknüpfte Zelle 20" xfId="11313"/>
    <cellStyle name="Verknüpfte Zelle 21" xfId="11314"/>
    <cellStyle name="Verknüpfte Zelle 22" xfId="11315"/>
    <cellStyle name="Verknüpfte Zelle 23" xfId="11316"/>
    <cellStyle name="Verknüpfte Zelle 24" xfId="11317"/>
    <cellStyle name="Verknüpfte Zelle 25" xfId="11318"/>
    <cellStyle name="Verknüpfte Zelle 26" xfId="11319"/>
    <cellStyle name="Verknüpfte Zelle 27" xfId="11320"/>
    <cellStyle name="Verknüpfte Zelle 28" xfId="11321"/>
    <cellStyle name="Verknüpfte Zelle 29" xfId="11322"/>
    <cellStyle name="Verknüpfte Zelle 3" xfId="11323"/>
    <cellStyle name="Verknüpfte Zelle 3 2" xfId="11324"/>
    <cellStyle name="Verknüpfte Zelle 30" xfId="11325"/>
    <cellStyle name="Verknüpfte Zelle 31" xfId="11326"/>
    <cellStyle name="Verknüpfte Zelle 32" xfId="11327"/>
    <cellStyle name="Verknüpfte Zelle 33" xfId="11328"/>
    <cellStyle name="Verknüpfte Zelle 34" xfId="11329"/>
    <cellStyle name="Verknüpfte Zelle 35" xfId="11330"/>
    <cellStyle name="Verknüpfte Zelle 36" xfId="11331"/>
    <cellStyle name="Verknüpfte Zelle 37" xfId="11332"/>
    <cellStyle name="Verknüpfte Zelle 38" xfId="11333"/>
    <cellStyle name="Verknüpfte Zelle 39" xfId="11334"/>
    <cellStyle name="Verknüpfte Zelle 4" xfId="11335"/>
    <cellStyle name="Verknüpfte Zelle 4 2" xfId="11336"/>
    <cellStyle name="Verknüpfte Zelle 40" xfId="11337"/>
    <cellStyle name="Verknüpfte Zelle 41" xfId="11338"/>
    <cellStyle name="Verknüpfte Zelle 42" xfId="11339"/>
    <cellStyle name="Verknüpfte Zelle 43" xfId="11340"/>
    <cellStyle name="Verknüpfte Zelle 44" xfId="11341"/>
    <cellStyle name="Verknüpfte Zelle 45" xfId="11342"/>
    <cellStyle name="Verknüpfte Zelle 46" xfId="11343"/>
    <cellStyle name="Verknüpfte Zelle 47" xfId="11344"/>
    <cellStyle name="Verknüpfte Zelle 48" xfId="11345"/>
    <cellStyle name="Verknüpfte Zelle 49" xfId="11346"/>
    <cellStyle name="Verknüpfte Zelle 5" xfId="11347"/>
    <cellStyle name="Verknüpfte Zelle 5 2" xfId="11348"/>
    <cellStyle name="Verknüpfte Zelle 50" xfId="11349"/>
    <cellStyle name="Verknüpfte Zelle 51" xfId="11350"/>
    <cellStyle name="Verknüpfte Zelle 52" xfId="11351"/>
    <cellStyle name="Verknüpfte Zelle 53" xfId="11352"/>
    <cellStyle name="Verknüpfte Zelle 54" xfId="11353"/>
    <cellStyle name="Verknüpfte Zelle 55" xfId="11354"/>
    <cellStyle name="Verknüpfte Zelle 56" xfId="11355"/>
    <cellStyle name="Verknüpfte Zelle 57" xfId="11356"/>
    <cellStyle name="Verknüpfte Zelle 58" xfId="11357"/>
    <cellStyle name="Verknüpfte Zelle 59" xfId="11358"/>
    <cellStyle name="Verknüpfte Zelle 6" xfId="11359"/>
    <cellStyle name="Verknüpfte Zelle 6 2" xfId="11360"/>
    <cellStyle name="Verknüpfte Zelle 60" xfId="11361"/>
    <cellStyle name="Verknüpfte Zelle 61" xfId="11362"/>
    <cellStyle name="Verknüpfte Zelle 62" xfId="11363"/>
    <cellStyle name="Verknüpfte Zelle 63" xfId="11364"/>
    <cellStyle name="Verknüpfte Zelle 64" xfId="11365"/>
    <cellStyle name="Verknüpfte Zelle 65" xfId="11366"/>
    <cellStyle name="Verknüpfte Zelle 66" xfId="11367"/>
    <cellStyle name="Verknüpfte Zelle 67" xfId="11368"/>
    <cellStyle name="Verknüpfte Zelle 68" xfId="11369"/>
    <cellStyle name="Verknüpfte Zelle 69" xfId="11370"/>
    <cellStyle name="Verknüpfte Zelle 7" xfId="11371"/>
    <cellStyle name="Verknüpfte Zelle 7 2" xfId="11372"/>
    <cellStyle name="Verknüpfte Zelle 70" xfId="11373"/>
    <cellStyle name="Verknüpfte Zelle 71" xfId="11374"/>
    <cellStyle name="Verknüpfte Zelle 72" xfId="11375"/>
    <cellStyle name="Verknüpfte Zelle 73" xfId="11376"/>
    <cellStyle name="Verknüpfte Zelle 74" xfId="11377"/>
    <cellStyle name="Verknüpfte Zelle 75" xfId="11378"/>
    <cellStyle name="Verknüpfte Zelle 76" xfId="11379"/>
    <cellStyle name="Verknüpfte Zelle 77" xfId="11380"/>
    <cellStyle name="Verknüpfte Zelle 78" xfId="11381"/>
    <cellStyle name="Verknüpfte Zelle 79" xfId="11382"/>
    <cellStyle name="Verknüpfte Zelle 8" xfId="11383"/>
    <cellStyle name="Verknüpfte Zelle 8 2" xfId="11384"/>
    <cellStyle name="Verknüpfte Zelle 80" xfId="11385"/>
    <cellStyle name="Verknüpfte Zelle 81" xfId="11386"/>
    <cellStyle name="Verknüpfte Zelle 82" xfId="11387"/>
    <cellStyle name="Verknüpfte Zelle 83" xfId="11388"/>
    <cellStyle name="Verknüpfte Zelle 84" xfId="11389"/>
    <cellStyle name="Verknüpfte Zelle 85" xfId="11390"/>
    <cellStyle name="Verknüpfte Zelle 86" xfId="11391"/>
    <cellStyle name="Verknüpfte Zelle 87" xfId="11392"/>
    <cellStyle name="Verknüpfte Zelle 88" xfId="11393"/>
    <cellStyle name="Verknüpfte Zelle 89" xfId="11394"/>
    <cellStyle name="Verknüpfte Zelle 9" xfId="11395"/>
    <cellStyle name="Verknüpfte Zelle 9 2" xfId="11396"/>
    <cellStyle name="Verknüpfte Zelle 90" xfId="11397"/>
    <cellStyle name="Verknüpfte Zelle 91" xfId="11398"/>
    <cellStyle name="Verknüpfte Zelle 92" xfId="11399"/>
    <cellStyle name="Verknüpfte Zelle 93" xfId="11400"/>
    <cellStyle name="Verknüpfte Zelle 94" xfId="11401"/>
    <cellStyle name="Verknüpfte Zelle 95" xfId="11402"/>
    <cellStyle name="Verknüpfte Zelle 96" xfId="11403"/>
    <cellStyle name="Verknüpfte Zelle 97" xfId="11404"/>
    <cellStyle name="Verknüpfte Zelle 98" xfId="11405"/>
    <cellStyle name="Verknüpfte Zelle 99" xfId="11406"/>
    <cellStyle name="Währung 2" xfId="11407"/>
    <cellStyle name="Währung 3" xfId="11408"/>
    <cellStyle name="Warnender Text" xfId="11409"/>
    <cellStyle name="Warnender Text 10" xfId="11410"/>
    <cellStyle name="Warnender Text 100" xfId="11411"/>
    <cellStyle name="Warnender Text 101" xfId="11412"/>
    <cellStyle name="Warnender Text 102" xfId="11413"/>
    <cellStyle name="Warnender Text 103" xfId="11414"/>
    <cellStyle name="Warnender Text 104" xfId="11415"/>
    <cellStyle name="Warnender Text 105" xfId="11416"/>
    <cellStyle name="Warnender Text 106" xfId="11417"/>
    <cellStyle name="Warnender Text 107" xfId="11418"/>
    <cellStyle name="Warnender Text 11" xfId="11419"/>
    <cellStyle name="Warnender Text 12" xfId="11420"/>
    <cellStyle name="Warnender Text 13" xfId="11421"/>
    <cellStyle name="Warnender Text 14" xfId="11422"/>
    <cellStyle name="Warnender Text 15" xfId="11423"/>
    <cellStyle name="Warnender Text 16" xfId="11424"/>
    <cellStyle name="Warnender Text 17" xfId="11425"/>
    <cellStyle name="Warnender Text 18" xfId="11426"/>
    <cellStyle name="Warnender Text 19" xfId="11427"/>
    <cellStyle name="Warnender Text 2" xfId="11428"/>
    <cellStyle name="Warnender Text 20" xfId="11429"/>
    <cellStyle name="Warnender Text 21" xfId="11430"/>
    <cellStyle name="Warnender Text 22" xfId="11431"/>
    <cellStyle name="Warnender Text 23" xfId="11432"/>
    <cellStyle name="Warnender Text 24" xfId="11433"/>
    <cellStyle name="Warnender Text 25" xfId="11434"/>
    <cellStyle name="Warnender Text 26" xfId="11435"/>
    <cellStyle name="Warnender Text 27" xfId="11436"/>
    <cellStyle name="Warnender Text 28" xfId="11437"/>
    <cellStyle name="Warnender Text 29" xfId="11438"/>
    <cellStyle name="Warnender Text 3" xfId="11439"/>
    <cellStyle name="Warnender Text 30" xfId="11440"/>
    <cellStyle name="Warnender Text 31" xfId="11441"/>
    <cellStyle name="Warnender Text 32" xfId="11442"/>
    <cellStyle name="Warnender Text 33" xfId="11443"/>
    <cellStyle name="Warnender Text 34" xfId="11444"/>
    <cellStyle name="Warnender Text 35" xfId="11445"/>
    <cellStyle name="Warnender Text 36" xfId="11446"/>
    <cellStyle name="Warnender Text 37" xfId="11447"/>
    <cellStyle name="Warnender Text 38" xfId="11448"/>
    <cellStyle name="Warnender Text 39" xfId="11449"/>
    <cellStyle name="Warnender Text 4" xfId="11450"/>
    <cellStyle name="Warnender Text 40" xfId="11451"/>
    <cellStyle name="Warnender Text 41" xfId="11452"/>
    <cellStyle name="Warnender Text 42" xfId="11453"/>
    <cellStyle name="Warnender Text 43" xfId="11454"/>
    <cellStyle name="Warnender Text 44" xfId="11455"/>
    <cellStyle name="Warnender Text 45" xfId="11456"/>
    <cellStyle name="Warnender Text 46" xfId="11457"/>
    <cellStyle name="Warnender Text 47" xfId="11458"/>
    <cellStyle name="Warnender Text 48" xfId="11459"/>
    <cellStyle name="Warnender Text 49" xfId="11460"/>
    <cellStyle name="Warnender Text 5" xfId="11461"/>
    <cellStyle name="Warnender Text 50" xfId="11462"/>
    <cellStyle name="Warnender Text 51" xfId="11463"/>
    <cellStyle name="Warnender Text 52" xfId="11464"/>
    <cellStyle name="Warnender Text 53" xfId="11465"/>
    <cellStyle name="Warnender Text 54" xfId="11466"/>
    <cellStyle name="Warnender Text 55" xfId="11467"/>
    <cellStyle name="Warnender Text 56" xfId="11468"/>
    <cellStyle name="Warnender Text 57" xfId="11469"/>
    <cellStyle name="Warnender Text 58" xfId="11470"/>
    <cellStyle name="Warnender Text 59" xfId="11471"/>
    <cellStyle name="Warnender Text 6" xfId="11472"/>
    <cellStyle name="Warnender Text 60" xfId="11473"/>
    <cellStyle name="Warnender Text 61" xfId="11474"/>
    <cellStyle name="Warnender Text 62" xfId="11475"/>
    <cellStyle name="Warnender Text 63" xfId="11476"/>
    <cellStyle name="Warnender Text 64" xfId="11477"/>
    <cellStyle name="Warnender Text 65" xfId="11478"/>
    <cellStyle name="Warnender Text 66" xfId="11479"/>
    <cellStyle name="Warnender Text 67" xfId="11480"/>
    <cellStyle name="Warnender Text 68" xfId="11481"/>
    <cellStyle name="Warnender Text 69" xfId="11482"/>
    <cellStyle name="Warnender Text 7" xfId="11483"/>
    <cellStyle name="Warnender Text 70" xfId="11484"/>
    <cellStyle name="Warnender Text 71" xfId="11485"/>
    <cellStyle name="Warnender Text 72" xfId="11486"/>
    <cellStyle name="Warnender Text 73" xfId="11487"/>
    <cellStyle name="Warnender Text 74" xfId="11488"/>
    <cellStyle name="Warnender Text 75" xfId="11489"/>
    <cellStyle name="Warnender Text 76" xfId="11490"/>
    <cellStyle name="Warnender Text 77" xfId="11491"/>
    <cellStyle name="Warnender Text 78" xfId="11492"/>
    <cellStyle name="Warnender Text 79" xfId="11493"/>
    <cellStyle name="Warnender Text 8" xfId="11494"/>
    <cellStyle name="Warnender Text 80" xfId="11495"/>
    <cellStyle name="Warnender Text 81" xfId="11496"/>
    <cellStyle name="Warnender Text 82" xfId="11497"/>
    <cellStyle name="Warnender Text 83" xfId="11498"/>
    <cellStyle name="Warnender Text 84" xfId="11499"/>
    <cellStyle name="Warnender Text 85" xfId="11500"/>
    <cellStyle name="Warnender Text 86" xfId="11501"/>
    <cellStyle name="Warnender Text 87" xfId="11502"/>
    <cellStyle name="Warnender Text 88" xfId="11503"/>
    <cellStyle name="Warnender Text 89" xfId="11504"/>
    <cellStyle name="Warnender Text 9" xfId="11505"/>
    <cellStyle name="Warnender Text 90" xfId="11506"/>
    <cellStyle name="Warnender Text 91" xfId="11507"/>
    <cellStyle name="Warnender Text 92" xfId="11508"/>
    <cellStyle name="Warnender Text 93" xfId="11509"/>
    <cellStyle name="Warnender Text 94" xfId="11510"/>
    <cellStyle name="Warnender Text 95" xfId="11511"/>
    <cellStyle name="Warnender Text 96" xfId="11512"/>
    <cellStyle name="Warnender Text 97" xfId="11513"/>
    <cellStyle name="Warnender Text 98" xfId="11514"/>
    <cellStyle name="Warnender Text 99" xfId="11515"/>
    <cellStyle name="Warning Text 2" xfId="11516"/>
    <cellStyle name="Zeilenbruch" xfId="11517"/>
    <cellStyle name="Zelle überprüfen" xfId="11518"/>
    <cellStyle name="Zelle überprüfen 10" xfId="11519"/>
    <cellStyle name="Zelle überprüfen 100" xfId="11520"/>
    <cellStyle name="Zelle überprüfen 101" xfId="11521"/>
    <cellStyle name="Zelle überprüfen 102" xfId="11522"/>
    <cellStyle name="Zelle überprüfen 103" xfId="11523"/>
    <cellStyle name="Zelle überprüfen 104" xfId="11524"/>
    <cellStyle name="Zelle überprüfen 105" xfId="11525"/>
    <cellStyle name="Zelle überprüfen 106" xfId="11526"/>
    <cellStyle name="Zelle überprüfen 107" xfId="11527"/>
    <cellStyle name="Zelle überprüfen 11" xfId="11528"/>
    <cellStyle name="Zelle überprüfen 12" xfId="11529"/>
    <cellStyle name="Zelle überprüfen 13" xfId="11530"/>
    <cellStyle name="Zelle überprüfen 14" xfId="11531"/>
    <cellStyle name="Zelle überprüfen 15" xfId="11532"/>
    <cellStyle name="Zelle überprüfen 16" xfId="11533"/>
    <cellStyle name="Zelle überprüfen 17" xfId="11534"/>
    <cellStyle name="Zelle überprüfen 18" xfId="11535"/>
    <cellStyle name="Zelle überprüfen 19" xfId="11536"/>
    <cellStyle name="Zelle überprüfen 2" xfId="11537"/>
    <cellStyle name="Zelle überprüfen 20" xfId="11538"/>
    <cellStyle name="Zelle überprüfen 21" xfId="11539"/>
    <cellStyle name="Zelle überprüfen 22" xfId="11540"/>
    <cellStyle name="Zelle überprüfen 23" xfId="11541"/>
    <cellStyle name="Zelle überprüfen 24" xfId="11542"/>
    <cellStyle name="Zelle überprüfen 25" xfId="11543"/>
    <cellStyle name="Zelle überprüfen 26" xfId="11544"/>
    <cellStyle name="Zelle überprüfen 27" xfId="11545"/>
    <cellStyle name="Zelle überprüfen 28" xfId="11546"/>
    <cellStyle name="Zelle überprüfen 29" xfId="11547"/>
    <cellStyle name="Zelle überprüfen 3" xfId="11548"/>
    <cellStyle name="Zelle überprüfen 30" xfId="11549"/>
    <cellStyle name="Zelle überprüfen 31" xfId="11550"/>
    <cellStyle name="Zelle überprüfen 32" xfId="11551"/>
    <cellStyle name="Zelle überprüfen 33" xfId="11552"/>
    <cellStyle name="Zelle überprüfen 34" xfId="11553"/>
    <cellStyle name="Zelle überprüfen 35" xfId="11554"/>
    <cellStyle name="Zelle überprüfen 36" xfId="11555"/>
    <cellStyle name="Zelle überprüfen 37" xfId="11556"/>
    <cellStyle name="Zelle überprüfen 38" xfId="11557"/>
    <cellStyle name="Zelle überprüfen 39" xfId="11558"/>
    <cellStyle name="Zelle überprüfen 4" xfId="11559"/>
    <cellStyle name="Zelle überprüfen 40" xfId="11560"/>
    <cellStyle name="Zelle überprüfen 41" xfId="11561"/>
    <cellStyle name="Zelle überprüfen 42" xfId="11562"/>
    <cellStyle name="Zelle überprüfen 43" xfId="11563"/>
    <cellStyle name="Zelle überprüfen 44" xfId="11564"/>
    <cellStyle name="Zelle überprüfen 45" xfId="11565"/>
    <cellStyle name="Zelle überprüfen 46" xfId="11566"/>
    <cellStyle name="Zelle überprüfen 47" xfId="11567"/>
    <cellStyle name="Zelle überprüfen 48" xfId="11568"/>
    <cellStyle name="Zelle überprüfen 49" xfId="11569"/>
    <cellStyle name="Zelle überprüfen 5" xfId="11570"/>
    <cellStyle name="Zelle überprüfen 50" xfId="11571"/>
    <cellStyle name="Zelle überprüfen 51" xfId="11572"/>
    <cellStyle name="Zelle überprüfen 52" xfId="11573"/>
    <cellStyle name="Zelle überprüfen 53" xfId="11574"/>
    <cellStyle name="Zelle überprüfen 54" xfId="11575"/>
    <cellStyle name="Zelle überprüfen 55" xfId="11576"/>
    <cellStyle name="Zelle überprüfen 56" xfId="11577"/>
    <cellStyle name="Zelle überprüfen 57" xfId="11578"/>
    <cellStyle name="Zelle überprüfen 58" xfId="11579"/>
    <cellStyle name="Zelle überprüfen 59" xfId="11580"/>
    <cellStyle name="Zelle überprüfen 6" xfId="11581"/>
    <cellStyle name="Zelle überprüfen 60" xfId="11582"/>
    <cellStyle name="Zelle überprüfen 61" xfId="11583"/>
    <cellStyle name="Zelle überprüfen 62" xfId="11584"/>
    <cellStyle name="Zelle überprüfen 63" xfId="11585"/>
    <cellStyle name="Zelle überprüfen 64" xfId="11586"/>
    <cellStyle name="Zelle überprüfen 65" xfId="11587"/>
    <cellStyle name="Zelle überprüfen 66" xfId="11588"/>
    <cellStyle name="Zelle überprüfen 67" xfId="11589"/>
    <cellStyle name="Zelle überprüfen 68" xfId="11590"/>
    <cellStyle name="Zelle überprüfen 69" xfId="11591"/>
    <cellStyle name="Zelle überprüfen 7" xfId="11592"/>
    <cellStyle name="Zelle überprüfen 70" xfId="11593"/>
    <cellStyle name="Zelle überprüfen 71" xfId="11594"/>
    <cellStyle name="Zelle überprüfen 72" xfId="11595"/>
    <cellStyle name="Zelle überprüfen 73" xfId="11596"/>
    <cellStyle name="Zelle überprüfen 74" xfId="11597"/>
    <cellStyle name="Zelle überprüfen 75" xfId="11598"/>
    <cellStyle name="Zelle überprüfen 76" xfId="11599"/>
    <cellStyle name="Zelle überprüfen 77" xfId="11600"/>
    <cellStyle name="Zelle überprüfen 78" xfId="11601"/>
    <cellStyle name="Zelle überprüfen 79" xfId="11602"/>
    <cellStyle name="Zelle überprüfen 8" xfId="11603"/>
    <cellStyle name="Zelle überprüfen 80" xfId="11604"/>
    <cellStyle name="Zelle überprüfen 81" xfId="11605"/>
    <cellStyle name="Zelle überprüfen 82" xfId="11606"/>
    <cellStyle name="Zelle überprüfen 83" xfId="11607"/>
    <cellStyle name="Zelle überprüfen 84" xfId="11608"/>
    <cellStyle name="Zelle überprüfen 85" xfId="11609"/>
    <cellStyle name="Zelle überprüfen 86" xfId="11610"/>
    <cellStyle name="Zelle überprüfen 87" xfId="11611"/>
    <cellStyle name="Zelle überprüfen 88" xfId="11612"/>
    <cellStyle name="Zelle überprüfen 89" xfId="11613"/>
    <cellStyle name="Zelle überprüfen 9" xfId="11614"/>
    <cellStyle name="Zelle überprüfen 90" xfId="11615"/>
    <cellStyle name="Zelle überprüfen 91" xfId="11616"/>
    <cellStyle name="Zelle überprüfen 92" xfId="11617"/>
    <cellStyle name="Zelle überprüfen 93" xfId="11618"/>
    <cellStyle name="Zelle überprüfen 94" xfId="11619"/>
    <cellStyle name="Zelle überprüfen 95" xfId="11620"/>
    <cellStyle name="Zelle überprüfen 96" xfId="11621"/>
    <cellStyle name="Zelle überprüfen 97" xfId="11622"/>
    <cellStyle name="Zelle überprüfen 98" xfId="11623"/>
    <cellStyle name="Zelle überprüfen 99" xfId="11624"/>
    <cellStyle name="zentr(hoch,quer)" xfId="11625"/>
    <cellStyle name="Currency 3" xfId="11626"/>
    <cellStyle name="Normal 132" xfId="11627"/>
    <cellStyle name="Currency 4" xfId="11628"/>
    <cellStyle name="Normal 134" xfId="11629"/>
    <cellStyle name="40% - Akzent3 10_2012-2019" xfId="11630"/>
    <cellStyle name="40% - Akzent3 100_2012-2019" xfId="11631"/>
    <cellStyle name="40% - Akzent3 101_2012-2019" xfId="11632"/>
    <cellStyle name="40% - Akzent3 102_2012-2019" xfId="11633"/>
    <cellStyle name="40% - Akzent3 103_2012-2019" xfId="11634"/>
    <cellStyle name="40% - Akzent3 104_2012-2019" xfId="11635"/>
    <cellStyle name="40% - Akzent3 105_2012-2019" xfId="11636"/>
    <cellStyle name="40% - Akzent3 106_2012-2019" xfId="11637"/>
    <cellStyle name="40% - Akzent3 107_2012-2019" xfId="11638"/>
    <cellStyle name="40% - Akzent3 108_2012-2019" xfId="11639"/>
    <cellStyle name="40% - Akzent3 109_2012-2019" xfId="11640"/>
    <cellStyle name="40% - Akzent3 11_2012-2019" xfId="11641"/>
    <cellStyle name="40% - Akzent3 110_2012-2019" xfId="11642"/>
    <cellStyle name="40% - Akzent3 111_2012-2019" xfId="11643"/>
    <cellStyle name="40% - Akzent3 112_2012-2019" xfId="11644"/>
    <cellStyle name="40% - Akzent3 113_2012-2019" xfId="11645"/>
    <cellStyle name="40% - Akzent3 114_2012-2019" xfId="11646"/>
    <cellStyle name="40% - Akzent3 115_2012-2019" xfId="11647"/>
    <cellStyle name="40% - Akzent3 116_2012-2019" xfId="11648"/>
    <cellStyle name="40% - Akzent3 117_2012-2019" xfId="11649"/>
    <cellStyle name="40% - Akzent3 118_2012-2019" xfId="11650"/>
    <cellStyle name="40% - Akzent3 119_2012-2019" xfId="11651"/>
    <cellStyle name="40% - Akzent3 12_2012-2019" xfId="11652"/>
    <cellStyle name="40% - Akzent3 120_2012-2019" xfId="11653"/>
    <cellStyle name="40% - Akzent3 121_2012-2019" xfId="11654"/>
    <cellStyle name="40% - Akzent3 122_2012-2019" xfId="11655"/>
    <cellStyle name="40% - Akzent3 123_2012-2019" xfId="11656"/>
    <cellStyle name="40% - Akzent3 124_2012-2019" xfId="11657"/>
    <cellStyle name="40% - Akzent3 125_2012-2019" xfId="11658"/>
    <cellStyle name="40% - Akzent3 126_2012-2019" xfId="11659"/>
    <cellStyle name="40% - Akzent3 127_2012-2019" xfId="11660"/>
    <cellStyle name="40% - Akzent3 128_2012-2019" xfId="11661"/>
    <cellStyle name="40% - Akzent3 129_2012-2019" xfId="11662"/>
    <cellStyle name="40% - Akzent3 13_2012-2019" xfId="11663"/>
    <cellStyle name="40% - Akzent3 130_2012-2019" xfId="11664"/>
    <cellStyle name="40% - Akzent3 131_2012-2019" xfId="11665"/>
    <cellStyle name="40% - Akzent3 132_2012-2019" xfId="11666"/>
    <cellStyle name="40% - Akzent3 133_2012-2019" xfId="11667"/>
    <cellStyle name="40% - Akzent3 134_2012-2019" xfId="11668"/>
    <cellStyle name="40% - Akzent3 135_2012-2019" xfId="11669"/>
    <cellStyle name="40% - Akzent3 136_2012-2019" xfId="11670"/>
    <cellStyle name="40% - Akzent3 137_2012-2019" xfId="11671"/>
    <cellStyle name="40% - Akzent3 138_2012-2019" xfId="11672"/>
    <cellStyle name="40% - Akzent3 139_2012-2019" xfId="11673"/>
    <cellStyle name="40% - Akzent3 14_2012-2019" xfId="11674"/>
    <cellStyle name="40% - Akzent3 140_2012-2019" xfId="11675"/>
    <cellStyle name="40% - Akzent3 141_2012-2019" xfId="11676"/>
    <cellStyle name="40% - Akzent3 142_2012-2019" xfId="11677"/>
    <cellStyle name="40% - Akzent3 143_2012-2019" xfId="11678"/>
    <cellStyle name="40% - Akzent3 144_2012-2019" xfId="11679"/>
    <cellStyle name="40% - Akzent3 145_2012-2019" xfId="11680"/>
    <cellStyle name="40% - Akzent3 146_2012-2019" xfId="11681"/>
    <cellStyle name="40% - Akzent3 147_2012-2019" xfId="11682"/>
    <cellStyle name="40% - Akzent3 148_2012-2019" xfId="11683"/>
    <cellStyle name="40% - Akzent3 149_2012-2019" xfId="11684"/>
    <cellStyle name="40% - Akzent3 15_2012-2019" xfId="11685"/>
    <cellStyle name="40% - Akzent3 150_2012-2019" xfId="11686"/>
    <cellStyle name="40% - Akzent3 151_2012-2019" xfId="11687"/>
    <cellStyle name="40% - Akzent3 16_2012-2019" xfId="11688"/>
    <cellStyle name="40% - Akzent3 17_2012-2019" xfId="11689"/>
    <cellStyle name="40% - Akzent3 18_2012-2019" xfId="11690"/>
    <cellStyle name="40% - Akzent3 19_2012-2019" xfId="11691"/>
    <cellStyle name="40% - Akzent3 2_2012-2019" xfId="11692"/>
    <cellStyle name="40% - Akzent3 2 4_2012-2019" xfId="11693"/>
    <cellStyle name="40% - Akzent3 20_2012-2019" xfId="11694"/>
    <cellStyle name="40% - Akzent3 21_2012-2019" xfId="11695"/>
    <cellStyle name="40% - Akzent3 22_2012-2019" xfId="11696"/>
    <cellStyle name="40% - Akzent3 23_2012-2019" xfId="11697"/>
    <cellStyle name="40% - Akzent3 24_2012-2019" xfId="11698"/>
    <cellStyle name="40% - Akzent3 25_2012-2019" xfId="11699"/>
    <cellStyle name="40% - Akzent3 26_2012-2019" xfId="11700"/>
    <cellStyle name="40% - Akzent3 27_2012-2019" xfId="11701"/>
    <cellStyle name="40% - Akzent3 28_2012-2019" xfId="11702"/>
    <cellStyle name="40% - Akzent3 29_2012-2019" xfId="11703"/>
    <cellStyle name="40% - Akzent3 3_2012-2019" xfId="11704"/>
    <cellStyle name="40% - Akzent3 3 4_2012-2019" xfId="11705"/>
    <cellStyle name="40% - Akzent3 30_2012-2019" xfId="11706"/>
    <cellStyle name="40% - Akzent3 31_2012-2019" xfId="11707"/>
    <cellStyle name="40% - Akzent3 32_2012-2019" xfId="11708"/>
    <cellStyle name="40% - Akzent3 33_2012-2019" xfId="11709"/>
    <cellStyle name="40% - Akzent3 34_2012-2019" xfId="11710"/>
    <cellStyle name="40% - Akzent3 35_2012-2019" xfId="11711"/>
    <cellStyle name="40% - Akzent3 36_2012-2019" xfId="11712"/>
    <cellStyle name="40% - Akzent3 37_2012-2019" xfId="11713"/>
    <cellStyle name="40% - Akzent3 38_2012-2019" xfId="11714"/>
    <cellStyle name="40% - Akzent3 39_2012-2019" xfId="11715"/>
    <cellStyle name="40% - Akzent3 4_2012-2019" xfId="11716"/>
    <cellStyle name="40% - Akzent3 4 4_2012-2019" xfId="11717"/>
    <cellStyle name="40% - Akzent3 40_2012-2019" xfId="11718"/>
    <cellStyle name="40% - Akzent3 41_2012-2019" xfId="11719"/>
    <cellStyle name="40% - Akzent3 42_2012-2019" xfId="11720"/>
    <cellStyle name="40% - Akzent3 43_2012-2019" xfId="11721"/>
    <cellStyle name="40% - Akzent3 44_2012-2019" xfId="11722"/>
    <cellStyle name="40% - Akzent3 45_2012-2019" xfId="11723"/>
    <cellStyle name="40% - Akzent3 46_2012-2019" xfId="11724"/>
    <cellStyle name="40% - Akzent3 47_2012-2019" xfId="11725"/>
    <cellStyle name="40% - Akzent3 48_2012-2019" xfId="11726"/>
    <cellStyle name="40% - Akzent3 49_2012-2019" xfId="11727"/>
    <cellStyle name="40% - Akzent3 5_2012-2019" xfId="11728"/>
    <cellStyle name="40% - Akzent3 50_2012-2019" xfId="11729"/>
    <cellStyle name="40% - Akzent3 51_2012-2019" xfId="11730"/>
    <cellStyle name="40% - Akzent3 52_2012-2019" xfId="11731"/>
    <cellStyle name="40% - Akzent3 53_2012-2019" xfId="11732"/>
    <cellStyle name="40% - Akzent3 54_2012-2019" xfId="11733"/>
    <cellStyle name="40% - Akzent3 55_2012-2019" xfId="11734"/>
    <cellStyle name="40% - Akzent3 56_2012-2019" xfId="11735"/>
    <cellStyle name="40% - Akzent3 57_2012-2019" xfId="11736"/>
    <cellStyle name="40% - Akzent3 58_2012-2019" xfId="11737"/>
    <cellStyle name="40% - Akzent3 59_2012-2019" xfId="11738"/>
    <cellStyle name="40% - Akzent3 6_2012-2019" xfId="11739"/>
    <cellStyle name="40% - Akzent3 60_2012-2019" xfId="11740"/>
    <cellStyle name="40% - Akzent3 61_2012-2019" xfId="11741"/>
    <cellStyle name="40% - Akzent3 62_2012-2019" xfId="11742"/>
    <cellStyle name="40% - Akzent3 63_2012-2019" xfId="11743"/>
    <cellStyle name="40% - Akzent3 64_2012-2019" xfId="11744"/>
    <cellStyle name="40% - Akzent3 65_2012-2019" xfId="11745"/>
    <cellStyle name="40% - Akzent3 66_2012-2019" xfId="11746"/>
    <cellStyle name="40% - Akzent3 67_2012-2019" xfId="11747"/>
    <cellStyle name="40% - Akzent3 68_2012-2019" xfId="11748"/>
    <cellStyle name="40% - Akzent3 69_2012-2019" xfId="11749"/>
    <cellStyle name="40% - Akzent3 7_2012-2019" xfId="11750"/>
    <cellStyle name="40% - Akzent3 70_2012-2019" xfId="11751"/>
    <cellStyle name="40% - Akzent3 71_2012-2019" xfId="11752"/>
    <cellStyle name="40% - Akzent3 72_2012-2019" xfId="11753"/>
    <cellStyle name="40% - Akzent3 73_2012-2019" xfId="11754"/>
    <cellStyle name="40% - Akzent3 74_2012-2019" xfId="11755"/>
    <cellStyle name="40% - Akzent3 75_2012-2019" xfId="11756"/>
    <cellStyle name="40% - Akzent3 76_2012-2019" xfId="11757"/>
    <cellStyle name="40% - Akzent3 77_2012-2019" xfId="11758"/>
    <cellStyle name="40% - Akzent3 78_2012-2019" xfId="11759"/>
    <cellStyle name="40% - Akzent3 79_2012-2019" xfId="11760"/>
    <cellStyle name="40% - Akzent3 8_2012-2019" xfId="11761"/>
    <cellStyle name="40% - Akzent3 80_2012-2019" xfId="11762"/>
    <cellStyle name="40% - Akzent3 81_2012-2019" xfId="11763"/>
    <cellStyle name="40% - Akzent3 82_2012-2019" xfId="11764"/>
    <cellStyle name="40% - Akzent3 83_2012-2019" xfId="11765"/>
    <cellStyle name="40% - Akzent3 84_2012-2019" xfId="11766"/>
    <cellStyle name="40% - Akzent3 85_2012-2019" xfId="11767"/>
    <cellStyle name="40% - Akzent3 86_2012-2019" xfId="11768"/>
    <cellStyle name="40% - Akzent3 87_2012-2019" xfId="11769"/>
    <cellStyle name="40% - Akzent3 88_2012-2019" xfId="11770"/>
    <cellStyle name="40% - Akzent3 89_2012-2019" xfId="11771"/>
    <cellStyle name="40% - Akzent3 9_2012-2019" xfId="11772"/>
    <cellStyle name="40% - Akzent3 90_2012-2019" xfId="11773"/>
    <cellStyle name="40% - Akzent3 91_2012-2019" xfId="11774"/>
    <cellStyle name="40% - Akzent3 92_2012-2019" xfId="11775"/>
    <cellStyle name="40% - Akzent3 93_2012-2019" xfId="11776"/>
    <cellStyle name="40% - Akzent3 94_2012-2019" xfId="11777"/>
    <cellStyle name="40% - Akzent3 95_2012-2019" xfId="11778"/>
    <cellStyle name="40% - Akzent3 96_2012-2019" xfId="11779"/>
    <cellStyle name="40% - Akzent3 97_2012-2019" xfId="11780"/>
    <cellStyle name="40% - Akzent3 98_2012-2019" xfId="11781"/>
    <cellStyle name="40% - Akzent3 99_2012-2019" xfId="11782"/>
    <cellStyle name="40% - Akzent4 10_2012-2019" xfId="11783"/>
    <cellStyle name="40% - Akzent4 100_2012-2019" xfId="11784"/>
    <cellStyle name="40% - Akzent4 101_2012-2019" xfId="11785"/>
    <cellStyle name="40% - Akzent4 102_2012-2019" xfId="11786"/>
    <cellStyle name="40% - Akzent4 103_2012-2019" xfId="11787"/>
    <cellStyle name="40% - Akzent4 104_2012-2019" xfId="11788"/>
    <cellStyle name="40% - Akzent4 105_2012-2019" xfId="11789"/>
    <cellStyle name="40% - Akzent4 106_2012-2019" xfId="11790"/>
    <cellStyle name="40% - Akzent4 107_2012-2019" xfId="11791"/>
    <cellStyle name="40% - Akzent4 108_2012-2019" xfId="11792"/>
    <cellStyle name="40% - Akzent4 109_2012-2019" xfId="11793"/>
    <cellStyle name="40% - Akzent4 11_2012-2019" xfId="11794"/>
    <cellStyle name="40% - Akzent4 110_2012-2019" xfId="11795"/>
    <cellStyle name="40% - Akzent4 111_2012-2019" xfId="11796"/>
    <cellStyle name="40% - Akzent4 112_2012-2019" xfId="11797"/>
    <cellStyle name="40% - Akzent4 113_2012-2019" xfId="11798"/>
    <cellStyle name="40% - Akzent4 114_2012-2019" xfId="11799"/>
    <cellStyle name="40% - Akzent4 115_2012-2019" xfId="11800"/>
    <cellStyle name="40% - Akzent4 116_2012-2019" xfId="11801"/>
    <cellStyle name="40% - Akzent4 117_2012-2019" xfId="11802"/>
    <cellStyle name="40% - Akzent4 118_2012-2019" xfId="11803"/>
    <cellStyle name="40% - Akzent4 119_2012-2019" xfId="11804"/>
    <cellStyle name="40% - Akzent4 12_2012-2019" xfId="11805"/>
    <cellStyle name="40% - Akzent4 120_2012-2019" xfId="11806"/>
    <cellStyle name="40% - Akzent4 121_2012-2019" xfId="11807"/>
    <cellStyle name="40% - Akzent4 122_2012-2019" xfId="11808"/>
    <cellStyle name="40% - Akzent4 123_2012-2019" xfId="11809"/>
    <cellStyle name="40% - Akzent4 124_2012-2019" xfId="11810"/>
    <cellStyle name="40% - Akzent4 125_2012-2019" xfId="11811"/>
    <cellStyle name="40% - Akzent4 126_2012-2019" xfId="11812"/>
    <cellStyle name="40% - Akzent4 127_2012-2019" xfId="11813"/>
    <cellStyle name="40% - Akzent4 128_2012-2019" xfId="11814"/>
    <cellStyle name="40% - Akzent4 129_2012-2019" xfId="11815"/>
    <cellStyle name="40% - Akzent4 13_2012-2019" xfId="11816"/>
    <cellStyle name="40% - Akzent4 130_2012-2019" xfId="11817"/>
    <cellStyle name="40% - Akzent4 131_2012-2019" xfId="11818"/>
    <cellStyle name="40% - Akzent4 132_2012-2019" xfId="11819"/>
    <cellStyle name="40% - Akzent4 133_2012-2019" xfId="11820"/>
    <cellStyle name="40% - Akzent4 134_2012-2019" xfId="11821"/>
    <cellStyle name="40% - Akzent4 135_2012-2019" xfId="11822"/>
    <cellStyle name="40% - Akzent4 136_2012-2019" xfId="11823"/>
    <cellStyle name="40% - Akzent4 137_2012-2019" xfId="11824"/>
    <cellStyle name="40% - Akzent4 138_2012-2019" xfId="11825"/>
    <cellStyle name="40% - Akzent4 139_2012-2019" xfId="11826"/>
    <cellStyle name="40% - Akzent4 14_2012-2019" xfId="11827"/>
    <cellStyle name="40% - Akzent4 140_2012-2019" xfId="11828"/>
    <cellStyle name="40% - Akzent4 141_2012-2019" xfId="11829"/>
    <cellStyle name="40% - Akzent4 142_2012-2019" xfId="11830"/>
    <cellStyle name="40% - Akzent4 143_2012-2019" xfId="11831"/>
    <cellStyle name="40% - Akzent4 144_2012-2019" xfId="11832"/>
    <cellStyle name="40% - Akzent4 145_2012-2019" xfId="11833"/>
    <cellStyle name="40% - Akzent4 146_2012-2019" xfId="11834"/>
    <cellStyle name="40% - Akzent4 147_2012-2019" xfId="11835"/>
    <cellStyle name="40% - Akzent4 148_2012-2019" xfId="11836"/>
    <cellStyle name="40% - Akzent4 149_2012-2019" xfId="11837"/>
    <cellStyle name="40% - Akzent4 15_2012-2019" xfId="11838"/>
    <cellStyle name="40% - Akzent4 150_2012-2019" xfId="11839"/>
    <cellStyle name="40% - Akzent4 151_2012-2019" xfId="11840"/>
    <cellStyle name="40% - Akzent4 16_2012-2019" xfId="11841"/>
    <cellStyle name="40% - Akzent4 17_2012-2019" xfId="11842"/>
    <cellStyle name="40% - Akzent4 18_2012-2019" xfId="11843"/>
    <cellStyle name="40% - Akzent4 19_2012-2019" xfId="11844"/>
    <cellStyle name="40% - Akzent4 2_2012-2019" xfId="11845"/>
    <cellStyle name="40% - Akzent4 2 4_2012-2019" xfId="11846"/>
    <cellStyle name="40% - Akzent4 20_2012-2019" xfId="11847"/>
    <cellStyle name="40% - Akzent4 21_2012-2019" xfId="11848"/>
    <cellStyle name="40% - Akzent4 22_2012-2019" xfId="11849"/>
    <cellStyle name="40% - Akzent4 23_2012-2019" xfId="11850"/>
    <cellStyle name="40% - Akzent4 24_2012-2019" xfId="11851"/>
    <cellStyle name="40% - Akzent4 25_2012-2019" xfId="11852"/>
    <cellStyle name="40% - Akzent4 26_2012-2019" xfId="11853"/>
    <cellStyle name="40% - Akzent4 27_2012-2019" xfId="11854"/>
    <cellStyle name="40% - Akzent4 28_2012-2019" xfId="11855"/>
    <cellStyle name="40% - Akzent4 29_2012-2019" xfId="11856"/>
    <cellStyle name="40% - Akzent4 3_2012-2019" xfId="11857"/>
    <cellStyle name="40% - Akzent4 3 4_2012-2019" xfId="11858"/>
    <cellStyle name="40% - Akzent4 30_2012-2019" xfId="11859"/>
    <cellStyle name="40% - Akzent4 31_2012-2019" xfId="11860"/>
    <cellStyle name="40% - Akzent4 32_2012-2019" xfId="11861"/>
    <cellStyle name="40% - Akzent4 33_2012-2019" xfId="11862"/>
    <cellStyle name="40% - Akzent4 34_2012-2019" xfId="11863"/>
    <cellStyle name="40% - Akzent4 35_2012-2019" xfId="11864"/>
    <cellStyle name="40% - Akzent4 36_2012-2019" xfId="11865"/>
    <cellStyle name="40% - Akzent4 37_2012-2019" xfId="11866"/>
    <cellStyle name="40% - Akzent4 38_2012-2019" xfId="11867"/>
    <cellStyle name="40% - Akzent4 39_2012-2019" xfId="11868"/>
    <cellStyle name="40% - Akzent4 4_2012-2019" xfId="11869"/>
    <cellStyle name="40% - Akzent4 4 4_2012-2019" xfId="11870"/>
    <cellStyle name="40% - Akzent4 40_2012-2019" xfId="11871"/>
    <cellStyle name="40% - Akzent4 41_2012-2019" xfId="11872"/>
    <cellStyle name="40% - Akzent4 42_2012-2019" xfId="11873"/>
    <cellStyle name="40% - Akzent4 43_2012-2019" xfId="11874"/>
    <cellStyle name="40% - Akzent4 44_2012-2019" xfId="11875"/>
    <cellStyle name="40% - Akzent4 45_2012-2019" xfId="11876"/>
    <cellStyle name="40% - Akzent4 46_2012-2019" xfId="11877"/>
    <cellStyle name="40% - Akzent4 47_2012-2019" xfId="11878"/>
    <cellStyle name="40% - Akzent4 48_2012-2019" xfId="11879"/>
    <cellStyle name="40% - Akzent4 49_2012-2019" xfId="11880"/>
    <cellStyle name="40% - Akzent4 5_2012-2019" xfId="11881"/>
    <cellStyle name="40% - Akzent4 50_2012-2019" xfId="11882"/>
    <cellStyle name="40% - Akzent4 51_2012-2019" xfId="11883"/>
    <cellStyle name="40% - Akzent4 52_2012-2019" xfId="11884"/>
    <cellStyle name="40% - Akzent4 53_2012-2019" xfId="11885"/>
    <cellStyle name="40% - Akzent4 54_2012-2019" xfId="11886"/>
    <cellStyle name="40% - Akzent4 55_2012-2019" xfId="11887"/>
    <cellStyle name="40% - Akzent4 56_2012-2019" xfId="11888"/>
    <cellStyle name="40% - Akzent4 57_2012-2019" xfId="11889"/>
    <cellStyle name="40% - Akzent4 58_2012-2019" xfId="11890"/>
    <cellStyle name="40% - Akzent4 59_2012-2019" xfId="11891"/>
    <cellStyle name="40% - Akzent4 6_2012-2019" xfId="11892"/>
    <cellStyle name="40% - Akzent4 60_2012-2019" xfId="11893"/>
    <cellStyle name="40% - Akzent4 61_2012-2019" xfId="11894"/>
    <cellStyle name="40% - Akzent4 62_2012-2019" xfId="11895"/>
    <cellStyle name="40% - Akzent4 63_2012-2019" xfId="11896"/>
    <cellStyle name="40% - Akzent4 64_2012-2019" xfId="11897"/>
    <cellStyle name="40% - Akzent4 65_2012-2019" xfId="11898"/>
    <cellStyle name="40% - Akzent4 66_2012-2019" xfId="11899"/>
    <cellStyle name="40% - Akzent4 67_2012-2019" xfId="11900"/>
    <cellStyle name="40% - Akzent4 68_2012-2019" xfId="11901"/>
    <cellStyle name="40% - Akzent4 69_2012-2019" xfId="11902"/>
    <cellStyle name="40% - Akzent4 7_2012-2019" xfId="11903"/>
    <cellStyle name="40% - Akzent4 70_2012-2019" xfId="11904"/>
    <cellStyle name="40% - Akzent4 71_2012-2019" xfId="11905"/>
    <cellStyle name="40% - Akzent4 72_2012-2019" xfId="11906"/>
    <cellStyle name="40% - Akzent4 73_2012-2019" xfId="11907"/>
    <cellStyle name="40% - Akzent4 74_2012-2019" xfId="11908"/>
    <cellStyle name="40% - Akzent4 75_2012-2019" xfId="11909"/>
    <cellStyle name="40% - Akzent4 76_2012-2019" xfId="11910"/>
    <cellStyle name="40% - Akzent4 77_2012-2019" xfId="11911"/>
    <cellStyle name="40% - Akzent4 78_2012-2019" xfId="11912"/>
    <cellStyle name="40% - Akzent4 79_2012-2019" xfId="11913"/>
    <cellStyle name="40% - Akzent4 8_2012-2019" xfId="11914"/>
    <cellStyle name="40% - Akzent4 80_2012-2019" xfId="11915"/>
    <cellStyle name="40% - Akzent4 81_2012-2019" xfId="11916"/>
    <cellStyle name="40% - Akzent4 82_2012-2019" xfId="11917"/>
    <cellStyle name="40% - Akzent4 83_2012-2019" xfId="11918"/>
    <cellStyle name="40% - Akzent4 84_2012-2019" xfId="11919"/>
    <cellStyle name="40% - Akzent4 85_2012-2019" xfId="11920"/>
    <cellStyle name="40% - Akzent4 86_2012-2019" xfId="11921"/>
    <cellStyle name="40% - Akzent4 87_2012-2019" xfId="11922"/>
    <cellStyle name="40% - Akzent4 88_2012-2019" xfId="11923"/>
    <cellStyle name="40% - Akzent4 89_2012-2019" xfId="11924"/>
    <cellStyle name="40% - Akzent4 9_2012-2019" xfId="11925"/>
    <cellStyle name="40% - Akzent4 90_2012-2019" xfId="11926"/>
    <cellStyle name="40% - Akzent4 91_2012-2019" xfId="11927"/>
    <cellStyle name="40% - Akzent4 92_2012-2019" xfId="11928"/>
    <cellStyle name="40% - Akzent4 93_2012-2019" xfId="11929"/>
    <cellStyle name="40% - Akzent4 94_2012-2019" xfId="11930"/>
    <cellStyle name="40% - Akzent4 95_2012-2019" xfId="11931"/>
    <cellStyle name="40% - Akzent4 96_2012-2019" xfId="11932"/>
    <cellStyle name="40% - Akzent4 97_2012-2019" xfId="11933"/>
    <cellStyle name="40% - Akzent4 98_2012-2019" xfId="11934"/>
    <cellStyle name="40% - Akzent4 99_2012-2019" xfId="11935"/>
    <cellStyle name="40% - Akzent5 10_2012-2019" xfId="11936"/>
    <cellStyle name="40% - Akzent5 100_2012-2019" xfId="11937"/>
    <cellStyle name="40% - Akzent5 101_2012-2019" xfId="11938"/>
    <cellStyle name="40% - Akzent5 102_2012-2019" xfId="11939"/>
    <cellStyle name="40% - Akzent5 103_2012-2019" xfId="11940"/>
    <cellStyle name="40% - Akzent5 104_2012-2019" xfId="11941"/>
    <cellStyle name="40% - Akzent5 105_2012-2019" xfId="11942"/>
    <cellStyle name="40% - Akzent5 106_2012-2019" xfId="11943"/>
    <cellStyle name="40% - Akzent5 107_2012-2019" xfId="11944"/>
    <cellStyle name="40% - Akzent5 108_2012-2019" xfId="11945"/>
    <cellStyle name="40% - Akzent5 109_2012-2019" xfId="11946"/>
    <cellStyle name="40% - Akzent5 11_2012-2019" xfId="11947"/>
    <cellStyle name="40% - Akzent5 110_2012-2019" xfId="11948"/>
    <cellStyle name="40% - Akzent5 111_2012-2019" xfId="11949"/>
    <cellStyle name="40% - Akzent5 112_2012-2019" xfId="11950"/>
    <cellStyle name="40% - Akzent5 113_2012-2019" xfId="11951"/>
    <cellStyle name="40% - Akzent5 114_2012-2019" xfId="11952"/>
    <cellStyle name="40% - Akzent5 115_2012-2019" xfId="11953"/>
    <cellStyle name="40% - Akzent5 116_2012-2019" xfId="11954"/>
    <cellStyle name="40% - Akzent5 117_2012-2019" xfId="11955"/>
    <cellStyle name="40% - Akzent5 118_2012-2019" xfId="11956"/>
    <cellStyle name="40% - Akzent5 119_2012-2019" xfId="11957"/>
    <cellStyle name="40% - Akzent5 12_2012-2019" xfId="11958"/>
    <cellStyle name="40% - Akzent5 120_2012-2019" xfId="11959"/>
    <cellStyle name="40% - Akzent5 121_2012-2019" xfId="11960"/>
    <cellStyle name="40% - Akzent5 122_2012-2019" xfId="11961"/>
    <cellStyle name="40% - Akzent5 123_2012-2019" xfId="11962"/>
    <cellStyle name="40% - Akzent5 124_2012-2019" xfId="11963"/>
    <cellStyle name="40% - Akzent5 125_2012-2019" xfId="11964"/>
    <cellStyle name="40% - Akzent5 126_2012-2019" xfId="11965"/>
    <cellStyle name="40% - Akzent5 127_2012-2019" xfId="11966"/>
    <cellStyle name="40% - Akzent5 128_2012-2019" xfId="11967"/>
    <cellStyle name="40% - Akzent5 129_2012-2019" xfId="11968"/>
    <cellStyle name="40% - Akzent5 13_2012-2019" xfId="11969"/>
    <cellStyle name="40% - Akzent5 130_2012-2019" xfId="11970"/>
    <cellStyle name="40% - Akzent5 131_2012-2019" xfId="11971"/>
    <cellStyle name="40% - Akzent5 132_2012-2019" xfId="11972"/>
    <cellStyle name="40% - Akzent5 133_2012-2019" xfId="11973"/>
    <cellStyle name="40% - Akzent5 134_2012-2019" xfId="11974"/>
    <cellStyle name="40% - Akzent5 135_2012-2019" xfId="11975"/>
    <cellStyle name="40% - Akzent5 136_2012-2019" xfId="11976"/>
    <cellStyle name="40% - Akzent5 137_2012-2019" xfId="11977"/>
    <cellStyle name="40% - Akzent5 138_2012-2019" xfId="11978"/>
    <cellStyle name="40% - Akzent5 139_2012-2019" xfId="11979"/>
    <cellStyle name="40% - Akzent5 14_2012-2019" xfId="11980"/>
    <cellStyle name="40% - Akzent5 140_2012-2019" xfId="11981"/>
    <cellStyle name="40% - Akzent5 141_2012-2019" xfId="11982"/>
    <cellStyle name="40% - Akzent5 142_2012-2019" xfId="11983"/>
    <cellStyle name="40% - Akzent5 143_2012-2019" xfId="11984"/>
    <cellStyle name="40% - Akzent5 144_2012-2019" xfId="11985"/>
    <cellStyle name="40% - Akzent5 145_2012-2019" xfId="11986"/>
    <cellStyle name="40% - Akzent5 146_2012-2019" xfId="11987"/>
    <cellStyle name="40% - Akzent5 147_2012-2019" xfId="11988"/>
    <cellStyle name="40% - Akzent5 148_2012-2019" xfId="11989"/>
    <cellStyle name="40% - Akzent5 149_2012-2019" xfId="11990"/>
    <cellStyle name="40% - Akzent5 15_2012-2019" xfId="11991"/>
    <cellStyle name="40% - Akzent5 150_2012-2019" xfId="11992"/>
    <cellStyle name="40% - Akzent5 151_2012-2019" xfId="11993"/>
    <cellStyle name="40% - Akzent5 16_2012-2019" xfId="11994"/>
    <cellStyle name="40% - Akzent5 17_2012-2019" xfId="11995"/>
    <cellStyle name="40% - Akzent5 18_2012-2019" xfId="11996"/>
    <cellStyle name="40% - Akzent5 19_2012-2019" xfId="11997"/>
    <cellStyle name="40% - Akzent5 2_2012-2019" xfId="11998"/>
    <cellStyle name="40% - Akzent5 2 4_2012-2019" xfId="11999"/>
    <cellStyle name="40% - Akzent5 20_2012-2019" xfId="12000"/>
    <cellStyle name="40% - Akzent5 21_2012-2019" xfId="12001"/>
    <cellStyle name="40% - Akzent5 22_2012-2019" xfId="12002"/>
    <cellStyle name="40% - Akzent5 23_2012-2019" xfId="12003"/>
    <cellStyle name="40% - Akzent5 24_2012-2019" xfId="12004"/>
    <cellStyle name="40% - Akzent5 25_2012-2019" xfId="12005"/>
    <cellStyle name="40% - Akzent5 26_2012-2019" xfId="12006"/>
    <cellStyle name="40% - Akzent5 27_2012-2019" xfId="12007"/>
    <cellStyle name="40% - Akzent5 28_2012-2019" xfId="12008"/>
    <cellStyle name="40% - Akzent5 29_2012-2019" xfId="12009"/>
    <cellStyle name="40% - Akzent5 3_2012-2019" xfId="12010"/>
    <cellStyle name="40% - Akzent5 3 4_2012-2019" xfId="12011"/>
    <cellStyle name="40% - Akzent5 30_2012-2019" xfId="12012"/>
    <cellStyle name="40% - Akzent5 31_2012-2019" xfId="12013"/>
    <cellStyle name="40% - Akzent5 32_2012-2019" xfId="12014"/>
    <cellStyle name="40% - Akzent5 33_2012-2019" xfId="12015"/>
    <cellStyle name="40% - Akzent5 34_2012-2019" xfId="12016"/>
    <cellStyle name="40% - Akzent5 35_2012-2019" xfId="12017"/>
    <cellStyle name="40% - Akzent5 36_2012-2019" xfId="12018"/>
    <cellStyle name="40% - Akzent5 37_2012-2019" xfId="12019"/>
    <cellStyle name="40% - Akzent5 38_2012-2019" xfId="12020"/>
    <cellStyle name="40% - Akzent5 39_2012-2019" xfId="12021"/>
    <cellStyle name="40% - Akzent5 4_2012-2019" xfId="12022"/>
    <cellStyle name="40% - Akzent5 4 4_2012-2019" xfId="12023"/>
    <cellStyle name="40% - Akzent5 40_2012-2019" xfId="12024"/>
    <cellStyle name="40% - Akzent5 41_2012-2019" xfId="12025"/>
    <cellStyle name="40% - Akzent5 42_2012-2019" xfId="12026"/>
    <cellStyle name="40% - Akzent5 43_2012-2019" xfId="12027"/>
    <cellStyle name="40% - Akzent5 44_2012-2019" xfId="12028"/>
    <cellStyle name="40% - Akzent5 45_2012-2019" xfId="12029"/>
    <cellStyle name="40% - Akzent5 46_2012-2019" xfId="12030"/>
    <cellStyle name="40% - Akzent5 47_2012-2019" xfId="12031"/>
    <cellStyle name="40% - Akzent5 48_2012-2019" xfId="12032"/>
    <cellStyle name="40% - Akzent5 49_2012-2019" xfId="12033"/>
    <cellStyle name="40% - Akzent5 5_2012-2019" xfId="12034"/>
    <cellStyle name="40% - Akzent5 50_2012-2019" xfId="12035"/>
    <cellStyle name="40% - Akzent5 51_2012-2019" xfId="12036"/>
    <cellStyle name="40% - Akzent5 52_2012-2019" xfId="12037"/>
    <cellStyle name="40% - Akzent5 53_2012-2019" xfId="12038"/>
    <cellStyle name="40% - Akzent5 54_2012-2019" xfId="12039"/>
    <cellStyle name="40% - Akzent5 55_2012-2019" xfId="12040"/>
    <cellStyle name="40% - Akzent5 56_2012-2019" xfId="12041"/>
    <cellStyle name="40% - Akzent5 57_2012-2019" xfId="12042"/>
    <cellStyle name="40% - Akzent5 58_2012-2019" xfId="12043"/>
    <cellStyle name="40% - Akzent5 59_2012-2019" xfId="12044"/>
    <cellStyle name="40% - Akzent5 6_2012-2019" xfId="12045"/>
    <cellStyle name="40% - Akzent5 60_2012-2019" xfId="12046"/>
    <cellStyle name="40% - Akzent5 61_2012-2019" xfId="12047"/>
    <cellStyle name="40% - Akzent5 62_2012-2019" xfId="12048"/>
    <cellStyle name="40% - Akzent5 63_2012-2019" xfId="12049"/>
    <cellStyle name="40% - Akzent5 64_2012-2019" xfId="12050"/>
    <cellStyle name="40% - Akzent5 65_2012-2019" xfId="12051"/>
    <cellStyle name="40% - Akzent5 66_2012-2019" xfId="12052"/>
    <cellStyle name="40% - Akzent5 67_2012-2019" xfId="12053"/>
    <cellStyle name="40% - Akzent5 68_2012-2019" xfId="12054"/>
    <cellStyle name="40% - Akzent5 69_2012-2019" xfId="12055"/>
    <cellStyle name="40% - Akzent5 7_2012-2019" xfId="12056"/>
    <cellStyle name="40% - Akzent5 70_2012-2019" xfId="12057"/>
    <cellStyle name="40% - Akzent5 71_2012-2019" xfId="12058"/>
    <cellStyle name="40% - Akzent5 72_2012-2019" xfId="12059"/>
    <cellStyle name="40% - Akzent5 73_2012-2019" xfId="12060"/>
    <cellStyle name="40% - Akzent5 74_2012-2019" xfId="12061"/>
    <cellStyle name="40% - Akzent5 75_2012-2019" xfId="12062"/>
    <cellStyle name="40% - Akzent5 76_2012-2019" xfId="12063"/>
    <cellStyle name="40% - Akzent5 77_2012-2019" xfId="12064"/>
    <cellStyle name="40% - Akzent5 78_2012-2019" xfId="12065"/>
    <cellStyle name="40% - Akzent5 79_2012-2019" xfId="12066"/>
    <cellStyle name="40% - Akzent5 8_2012-2019" xfId="12067"/>
    <cellStyle name="40% - Akzent5 80_2012-2019" xfId="12068"/>
    <cellStyle name="40% - Akzent5 81_2012-2019" xfId="12069"/>
    <cellStyle name="40% - Akzent5 82_2012-2019" xfId="12070"/>
    <cellStyle name="40% - Akzent5 83_2012-2019" xfId="12071"/>
    <cellStyle name="40% - Akzent5 84_2012-2019" xfId="12072"/>
    <cellStyle name="40% - Akzent5 85_2012-2019" xfId="12073"/>
    <cellStyle name="40% - Akzent5 86_2012-2019" xfId="12074"/>
    <cellStyle name="40% - Akzent5 87_2012-2019" xfId="12075"/>
    <cellStyle name="40% - Akzent5 88_2012-2019" xfId="12076"/>
    <cellStyle name="40% - Akzent5 89_2012-2019" xfId="12077"/>
    <cellStyle name="40% - Akzent5 9_2012-2019" xfId="12078"/>
    <cellStyle name="40% - Akzent5 90_2012-2019" xfId="12079"/>
    <cellStyle name="40% - Akzent5 91_2012-2019" xfId="12080"/>
    <cellStyle name="40% - Akzent5 92_2012-2019" xfId="12081"/>
    <cellStyle name="40% - Akzent5 93_2012-2019" xfId="12082"/>
    <cellStyle name="40% - Akzent5 94_2012-2019" xfId="12083"/>
    <cellStyle name="40% - Akzent5 95_2012-2019" xfId="12084"/>
    <cellStyle name="40% - Akzent5 96_2012-2019" xfId="12085"/>
    <cellStyle name="40% - Akzent5 97_2012-2019" xfId="12086"/>
    <cellStyle name="40% - Akzent5 98_2012-2019" xfId="12087"/>
    <cellStyle name="40% - Akzent5 99_2012-2019" xfId="12088"/>
    <cellStyle name="40% - Akzent6 10_2012-2019" xfId="12089"/>
    <cellStyle name="40% - Akzent6 100_2012-2019" xfId="12090"/>
    <cellStyle name="40% - Akzent6 101_2012-2019" xfId="12091"/>
    <cellStyle name="40% - Akzent6 102_2012-2019" xfId="12092"/>
    <cellStyle name="40% - Akzent6 103_2012-2019" xfId="12093"/>
    <cellStyle name="40% - Akzent6 104_2012-2019" xfId="12094"/>
    <cellStyle name="40% - Akzent6 105_2012-2019" xfId="12095"/>
    <cellStyle name="40% - Akzent6 106_2012-2019" xfId="12096"/>
    <cellStyle name="40% - Akzent6 107_2012-2019" xfId="12097"/>
    <cellStyle name="40% - Akzent6 108_2012-2019" xfId="12098"/>
    <cellStyle name="40% - Akzent6 109_2012-2019" xfId="12099"/>
    <cellStyle name="40% - Akzent6 11_2012-2019" xfId="12100"/>
    <cellStyle name="40% - Akzent6 110_2012-2019" xfId="12101"/>
    <cellStyle name="40% - Akzent6 111_2012-2019" xfId="12102"/>
    <cellStyle name="40% - Akzent6 112_2012-2019" xfId="12103"/>
    <cellStyle name="40% - Akzent6 113_2012-2019" xfId="12104"/>
    <cellStyle name="40% - Akzent6 114_2012-2019" xfId="12105"/>
    <cellStyle name="40% - Akzent6 115_2012-2019" xfId="12106"/>
    <cellStyle name="40% - Akzent6 116_2012-2019" xfId="12107"/>
    <cellStyle name="40% - Akzent6 117_2012-2019" xfId="12108"/>
    <cellStyle name="40% - Akzent6 118_2012-2019" xfId="12109"/>
    <cellStyle name="40% - Akzent6 119_2012-2019" xfId="12110"/>
    <cellStyle name="40% - Akzent6 12_2012-2019" xfId="12111"/>
    <cellStyle name="40% - Akzent6 120_2012-2019" xfId="12112"/>
    <cellStyle name="40% - Akzent6 121_2012-2019" xfId="12113"/>
    <cellStyle name="40% - Akzent6 122_2012-2019" xfId="12114"/>
    <cellStyle name="40% - Akzent6 123_2012-2019" xfId="12115"/>
    <cellStyle name="40% - Akzent6 124_2012-2019" xfId="12116"/>
    <cellStyle name="40% - Akzent6 125_2012-2019" xfId="12117"/>
    <cellStyle name="40% - Akzent6 126_2012-2019" xfId="12118"/>
    <cellStyle name="40% - Akzent6 127_2012-2019" xfId="12119"/>
    <cellStyle name="40% - Akzent6 128_2012-2019" xfId="12120"/>
    <cellStyle name="40% - Akzent6 129_2012-2019" xfId="12121"/>
    <cellStyle name="40% - Akzent6 13_2012-2019" xfId="12122"/>
    <cellStyle name="40% - Akzent6 130_2012-2019" xfId="12123"/>
    <cellStyle name="40% - Akzent6 131_2012-2019" xfId="12124"/>
    <cellStyle name="40% - Akzent6 132_2012-2019" xfId="12125"/>
    <cellStyle name="40% - Akzent6 133_2012-2019" xfId="12126"/>
    <cellStyle name="40% - Akzent6 134_2012-2019" xfId="12127"/>
    <cellStyle name="40% - Akzent6 135_2012-2019" xfId="12128"/>
    <cellStyle name="40% - Akzent6 136_2012-2019" xfId="12129"/>
    <cellStyle name="40% - Akzent6 137_2012-2019" xfId="12130"/>
    <cellStyle name="40% - Akzent6 138_2012-2019" xfId="12131"/>
    <cellStyle name="40% - Akzent6 139_2012-2019" xfId="12132"/>
    <cellStyle name="40% - Akzent6 14_2012-2019" xfId="12133"/>
    <cellStyle name="40% - Akzent6 140_2012-2019" xfId="12134"/>
    <cellStyle name="40% - Akzent6 141_2012-2019" xfId="12135"/>
    <cellStyle name="40% - Akzent6 142_2012-2019" xfId="12136"/>
    <cellStyle name="40% - Akzent6 143_2012-2019" xfId="12137"/>
    <cellStyle name="40% - Akzent6 144_2012-2019" xfId="12138"/>
    <cellStyle name="40% - Akzent6 145_2012-2019" xfId="12139"/>
    <cellStyle name="40% - Akzent6 146_2012-2019" xfId="12140"/>
    <cellStyle name="40% - Akzent6 147_2012-2019" xfId="12141"/>
    <cellStyle name="40% - Akzent6 148_2012-2019" xfId="12142"/>
    <cellStyle name="40% - Akzent6 149_2012-2019" xfId="12143"/>
    <cellStyle name="40% - Akzent6 15_2012-2019" xfId="12144"/>
    <cellStyle name="40% - Akzent6 150_2012-2019" xfId="12145"/>
    <cellStyle name="40% - Akzent6 151_2012-2019" xfId="12146"/>
    <cellStyle name="40% - Akzent6 16_2012-2019" xfId="12147"/>
    <cellStyle name="40% - Akzent6 17_2012-2019" xfId="12148"/>
    <cellStyle name="40% - Akzent6 18_2012-2019" xfId="12149"/>
    <cellStyle name="40% - Akzent6 19_2012-2019" xfId="12150"/>
    <cellStyle name="40% - Akzent6 2_2012-2019" xfId="12151"/>
    <cellStyle name="40% - Akzent6 2 4_2012-2019" xfId="12152"/>
    <cellStyle name="40% - Akzent6 20_2012-2019" xfId="12153"/>
    <cellStyle name="40% - Akzent6 21_2012-2019" xfId="12154"/>
    <cellStyle name="40% - Akzent6 22_2012-2019" xfId="12155"/>
    <cellStyle name="40% - Akzent6 23_2012-2019" xfId="12156"/>
    <cellStyle name="40% - Akzent6 24_2012-2019" xfId="12157"/>
    <cellStyle name="40% - Akzent6 25_2012-2019" xfId="12158"/>
    <cellStyle name="40% - Akzent6 26_2012-2019" xfId="12159"/>
    <cellStyle name="40% - Akzent6 27_2012-2019" xfId="12160"/>
    <cellStyle name="40% - Akzent6 28_2012-2019" xfId="12161"/>
    <cellStyle name="40% - Akzent6 29_2012-2019" xfId="12162"/>
    <cellStyle name="40% - Akzent6 3_2012-2019" xfId="12163"/>
    <cellStyle name="40% - Akzent6 3 4_2012-2019" xfId="12164"/>
    <cellStyle name="40% - Akzent6 30_2012-2019" xfId="12165"/>
    <cellStyle name="40% - Akzent6 31_2012-2019" xfId="12166"/>
    <cellStyle name="40% - Akzent6 32_2012-2019" xfId="12167"/>
    <cellStyle name="40% - Akzent6 33_2012-2019" xfId="12168"/>
    <cellStyle name="40% - Akzent6 34_2012-2019" xfId="12169"/>
    <cellStyle name="40% - Akzent6 35_2012-2019" xfId="12170"/>
    <cellStyle name="40% - Akzent6 36_2012-2019" xfId="12171"/>
    <cellStyle name="40% - Akzent6 37_2012-2019" xfId="12172"/>
    <cellStyle name="40% - Akzent6 38_2012-2019" xfId="12173"/>
    <cellStyle name="40% - Akzent6 39_2012-2019" xfId="12174"/>
    <cellStyle name="40% - Akzent6 4_2012-2019" xfId="12175"/>
    <cellStyle name="40% - Akzent6 4 4_2012-2019" xfId="12176"/>
    <cellStyle name="40% - Akzent6 40_2012-2019" xfId="12177"/>
    <cellStyle name="40% - Akzent6 41_2012-2019" xfId="12178"/>
    <cellStyle name="40% - Akzent6 42_2012-2019" xfId="12179"/>
    <cellStyle name="40% - Akzent6 43_2012-2019" xfId="12180"/>
    <cellStyle name="40% - Akzent6 44_2012-2019" xfId="12181"/>
    <cellStyle name="40% - Akzent6 45_2012-2019" xfId="12182"/>
    <cellStyle name="40% - Akzent6 46_2012-2019" xfId="12183"/>
    <cellStyle name="40% - Akzent6 47_2012-2019" xfId="12184"/>
    <cellStyle name="40% - Akzent6 48_2012-2019" xfId="12185"/>
    <cellStyle name="40% - Akzent6 49_2012-2019" xfId="12186"/>
    <cellStyle name="40% - Akzent6 5_2012-2019" xfId="12187"/>
    <cellStyle name="40% - Akzent6 50_2012-2019" xfId="12188"/>
    <cellStyle name="40% - Akzent6 51_2012-2019" xfId="12189"/>
    <cellStyle name="40% - Akzent6 52_2012-2019" xfId="12190"/>
    <cellStyle name="40% - Akzent6 53_2012-2019" xfId="12191"/>
    <cellStyle name="40% - Akzent6 54_2012-2019" xfId="12192"/>
    <cellStyle name="40% - Akzent6 55_2012-2019" xfId="12193"/>
    <cellStyle name="40% - Akzent6 56_2012-2019" xfId="12194"/>
    <cellStyle name="40% - Akzent6 57_2012-2019" xfId="12195"/>
    <cellStyle name="40% - Akzent6 58_2012-2019" xfId="12196"/>
    <cellStyle name="40% - Akzent6 59_2012-2019" xfId="12197"/>
    <cellStyle name="40% - Akzent6 6_2012-2019" xfId="12198"/>
    <cellStyle name="40% - Akzent6 60_2012-2019" xfId="12199"/>
    <cellStyle name="40% - Akzent6 61_2012-2019" xfId="12200"/>
    <cellStyle name="40% - Akzent6 62_2012-2019" xfId="12201"/>
    <cellStyle name="40% - Akzent6 63_2012-2019" xfId="12202"/>
    <cellStyle name="40% - Akzent6 64_2012-2019" xfId="12203"/>
    <cellStyle name="40% - Akzent6 65_2012-2019" xfId="12204"/>
    <cellStyle name="40% - Akzent6 66_2012-2019" xfId="12205"/>
    <cellStyle name="40% - Akzent6 67_2012-2019" xfId="12206"/>
    <cellStyle name="40% - Akzent6 68_2012-2019" xfId="12207"/>
    <cellStyle name="40% - Akzent6 69_2012-2019" xfId="12208"/>
    <cellStyle name="40% - Akzent6 7_2012-2019" xfId="12209"/>
    <cellStyle name="40% - Akzent6 70_2012-2019" xfId="12210"/>
    <cellStyle name="40% - Akzent6 71_2012-2019" xfId="12211"/>
    <cellStyle name="40% - Akzent6 72_2012-2019" xfId="12212"/>
    <cellStyle name="40% - Akzent6 73_2012-2019" xfId="12213"/>
    <cellStyle name="40% - Akzent6 74_2012-2019" xfId="12214"/>
    <cellStyle name="40% - Akzent6 75_2012-2019" xfId="12215"/>
    <cellStyle name="40% - Akzent6 76_2012-2019" xfId="12216"/>
    <cellStyle name="40% - Akzent6 77_2012-2019" xfId="12217"/>
    <cellStyle name="40% - Akzent6 78_2012-2019" xfId="12218"/>
    <cellStyle name="40% - Akzent6 79_2012-2019" xfId="12219"/>
    <cellStyle name="40% - Akzent6 8_2012-2019" xfId="12220"/>
    <cellStyle name="40% - Akzent6 80_2012-2019" xfId="12221"/>
    <cellStyle name="40% - Akzent6 81_2012-2019" xfId="12222"/>
    <cellStyle name="40% - Akzent6 82_2012-2019" xfId="12223"/>
    <cellStyle name="40% - Akzent6 83_2012-2019" xfId="12224"/>
    <cellStyle name="40% - Akzent6 84_2012-2019" xfId="12225"/>
    <cellStyle name="40% - Akzent6 85_2012-2019" xfId="12226"/>
    <cellStyle name="40% - Akzent6 86_2012-2019" xfId="12227"/>
    <cellStyle name="40% - Akzent6 87_2012-2019" xfId="12228"/>
    <cellStyle name="40% - Akzent6 88_2012-2019" xfId="12229"/>
    <cellStyle name="40% - Akzent6 89_2012-2019" xfId="12230"/>
    <cellStyle name="40% - Akzent6 9_2012-2019" xfId="12231"/>
    <cellStyle name="40% - Akzent6 90_2012-2019" xfId="12232"/>
    <cellStyle name="40% - Akzent6 91_2012-2019" xfId="12233"/>
    <cellStyle name="40% - Akzent6 92_2012-2019" xfId="12234"/>
    <cellStyle name="40% - Akzent6 93_2012-2019" xfId="12235"/>
    <cellStyle name="40% - Akzent6 94_2012-2019" xfId="12236"/>
    <cellStyle name="40% - Akzent6 95_2012-2019" xfId="12237"/>
    <cellStyle name="40% - Akzent6 96_2012-2019" xfId="12238"/>
    <cellStyle name="40% - Akzent6 97_2012-2019" xfId="12239"/>
    <cellStyle name="40% - Akzent6 98_2012-2019" xfId="12240"/>
    <cellStyle name="40% - Akzent6 99_2012-2019" xfId="12241"/>
    <cellStyle name="60% - Akzent1 10_2012-2019" xfId="12242"/>
    <cellStyle name="60% - Akzent1 11_2012-2019" xfId="12243"/>
    <cellStyle name="60% - Akzent1 12_2012-2019" xfId="12244"/>
    <cellStyle name="60% - Akzent1 13_2012-2019" xfId="12245"/>
    <cellStyle name="60% - Akzent1 14_2012-2019" xfId="12246"/>
    <cellStyle name="60% - Akzent1 2_2012-2019" xfId="12247"/>
    <cellStyle name="60% - Akzent1 3_2012-2019" xfId="12248"/>
    <cellStyle name="60% - Akzent1 4_2012-2019" xfId="12249"/>
    <cellStyle name="60% - Akzent1 5_2012-2019" xfId="12250"/>
    <cellStyle name="60% - Akzent1 6_2012-2019" xfId="12251"/>
    <cellStyle name="60% - Akzent1 7_2012-2019" xfId="12252"/>
    <cellStyle name="60% - Akzent1 8_2012-2019" xfId="12253"/>
    <cellStyle name="60% - Akzent1 9_2012-2019" xfId="12254"/>
    <cellStyle name="60% - Akzent2 10_2012-2019" xfId="12255"/>
    <cellStyle name="60% - Akzent2 11_2012-2019" xfId="12256"/>
    <cellStyle name="60% - Akzent2 12_2012-2019" xfId="12257"/>
    <cellStyle name="60% - Akzent2 13_2012-2019" xfId="12258"/>
    <cellStyle name="60% - Akzent2 14_2012-2019" xfId="12259"/>
    <cellStyle name="60% - Akzent2 2_2012-2019" xfId="12260"/>
    <cellStyle name="60% - Akzent2 3_2012-2019" xfId="12261"/>
    <cellStyle name="60% - Akzent2 4_2012-2019" xfId="12262"/>
    <cellStyle name="60% - Akzent2 5_2012-2019" xfId="12263"/>
    <cellStyle name="60% - Akzent2 6_2012-2019" xfId="12264"/>
    <cellStyle name="60% - Akzent2 7_2012-2019" xfId="12265"/>
    <cellStyle name="60% - Akzent2 8_2012-2019" xfId="12266"/>
    <cellStyle name="60% - Akzent2 9_2012-2019" xfId="12267"/>
    <cellStyle name="60% - Akzent3 10_2012-2019" xfId="12268"/>
    <cellStyle name="60% - Akzent3 11_2012-2019" xfId="12269"/>
    <cellStyle name="60% - Akzent3 12_2012-2019" xfId="12270"/>
    <cellStyle name="60% - Akzent3 13_2012-2019" xfId="12271"/>
    <cellStyle name="60% - Akzent3 14_2012-2019" xfId="12272"/>
    <cellStyle name="60% - Akzent3 2_2012-2019" xfId="12273"/>
    <cellStyle name="60% - Akzent3 3_2012-2019" xfId="12274"/>
    <cellStyle name="60% - Akzent3 4_2012-2019" xfId="12275"/>
    <cellStyle name="60% - Akzent3 5_2012-2019" xfId="12276"/>
    <cellStyle name="60% - Akzent3 6_2012-2019" xfId="12277"/>
    <cellStyle name="60% - Akzent3 7_2012-2019" xfId="12278"/>
    <cellStyle name="60% - Akzent3 8_2012-2019" xfId="12279"/>
    <cellStyle name="60% - Akzent3 9_2012-2019" xfId="12280"/>
    <cellStyle name="60% - Akzent4 10_2012-2019" xfId="12281"/>
    <cellStyle name="60% - Akzent4 11_2012-2019" xfId="12282"/>
    <cellStyle name="60% - Akzent4 12_2012-2019" xfId="12283"/>
    <cellStyle name="60% - Akzent4 13_2012-2019" xfId="12284"/>
    <cellStyle name="60% - Akzent4 14_2012-2019" xfId="12285"/>
    <cellStyle name="60% - Akzent4 2_2012-2019" xfId="12286"/>
    <cellStyle name="60% - Akzent4 3_2012-2019" xfId="12287"/>
    <cellStyle name="60% - Akzent4 4_2012-2019" xfId="12288"/>
    <cellStyle name="60% - Akzent4 5_2012-2019" xfId="12289"/>
    <cellStyle name="60% - Akzent4 6_2012-2019" xfId="12290"/>
    <cellStyle name="60% - Akzent4 7_2012-2019" xfId="12291"/>
    <cellStyle name="60% - Akzent4 8_2012-2019" xfId="12292"/>
    <cellStyle name="60% - Akzent4 9_2012-2019" xfId="12293"/>
    <cellStyle name="60% - Akzent5 10_2012-2019" xfId="12294"/>
    <cellStyle name="60% - Akzent5 11_2012-2019" xfId="12295"/>
    <cellStyle name="60% - Akzent5 12_2012-2019" xfId="12296"/>
    <cellStyle name="60% - Akzent5 13_2012-2019" xfId="12297"/>
    <cellStyle name="60% - Akzent5 14_2012-2019" xfId="12298"/>
    <cellStyle name="60% - Akzent5 2_2012-2019" xfId="12299"/>
    <cellStyle name="60% - Akzent5 3_2012-2019" xfId="12300"/>
    <cellStyle name="60% - Akzent5 4_2012-2019" xfId="12301"/>
    <cellStyle name="60% - Akzent5 5_2012-2019" xfId="12302"/>
    <cellStyle name="60% - Akzent5 6_2012-2019" xfId="12303"/>
    <cellStyle name="60% - Akzent5 7_2012-2019" xfId="12304"/>
    <cellStyle name="60% - Akzent5 8_2012-2019" xfId="12305"/>
    <cellStyle name="60% - Akzent5 9_2012-2019" xfId="12306"/>
    <cellStyle name="60% - Akzent6 10_2012-2019" xfId="12307"/>
    <cellStyle name="60% - Akzent6 11_2012-2019" xfId="12308"/>
    <cellStyle name="60% - Akzent6 12_2012-2019" xfId="12309"/>
    <cellStyle name="60% - Akzent6 13_2012-2019" xfId="12310"/>
    <cellStyle name="60% - Akzent6 14_2012-2019" xfId="12311"/>
    <cellStyle name="60% - Akzent6 2_2012-2019" xfId="12312"/>
    <cellStyle name="60% - Akzent6 3_2012-2019" xfId="12313"/>
    <cellStyle name="60% - Akzent6 4_2012-2019" xfId="12314"/>
    <cellStyle name="60% - Akzent6 5_2012-2019" xfId="12315"/>
    <cellStyle name="60% - Akzent6 6_2012-2019" xfId="12316"/>
    <cellStyle name="60% - Akzent6 7_2012-2019" xfId="12317"/>
    <cellStyle name="60% - Akzent6 8_2012-2019" xfId="12318"/>
    <cellStyle name="60% - Akzent6 9_2012-2019" xfId="12319"/>
    <cellStyle name="Akzent1_2012-2019" xfId="12320"/>
    <cellStyle name="Akzent1 10_2012-2019" xfId="12321"/>
    <cellStyle name="Akzent1 11_2012-2019" xfId="12322"/>
    <cellStyle name="Akzent1 12_2012-2019" xfId="12323"/>
    <cellStyle name="Akzent1 13_2012-2019" xfId="12324"/>
    <cellStyle name="Akzent1 14_2012-2019" xfId="12325"/>
    <cellStyle name="Akzent1 2_2012-2019" xfId="12326"/>
    <cellStyle name="Akzent1 3_2012-2019" xfId="12327"/>
    <cellStyle name="Akzent1 4_2012-2019" xfId="12328"/>
    <cellStyle name="Akzent1 5_2012-2019" xfId="12329"/>
    <cellStyle name="Akzent1 6_2012-2019" xfId="12330"/>
    <cellStyle name="Akzent1 7_2012-2019" xfId="12331"/>
    <cellStyle name="Akzent1 8_2012-2019" xfId="12332"/>
    <cellStyle name="Akzent1 9_2012-2019" xfId="12333"/>
    <cellStyle name="Akzent2_2012-2019" xfId="12334"/>
    <cellStyle name="Akzent2 10_2012-2019" xfId="12335"/>
    <cellStyle name="Akzent2 11_2012-2019" xfId="12336"/>
    <cellStyle name="Akzent2 12_2012-2019" xfId="12337"/>
    <cellStyle name="Akzent2 13_2012-2019" xfId="12338"/>
    <cellStyle name="Akzent2 14_2012-2019" xfId="12339"/>
    <cellStyle name="Akzent2 2_2012-2019" xfId="12340"/>
    <cellStyle name="Akzent2 3_2012-2019" xfId="12341"/>
    <cellStyle name="Akzent2 4_2012-2019" xfId="12342"/>
    <cellStyle name="Akzent2 5_2012-2019" xfId="12343"/>
    <cellStyle name="Akzent2 6_2012-2019" xfId="12344"/>
    <cellStyle name="Akzent2 7_2012-2019" xfId="12345"/>
    <cellStyle name="Akzent2 8_2012-2019" xfId="12346"/>
    <cellStyle name="Akzent2 9_2012-2019" xfId="12347"/>
    <cellStyle name="Akzent3_2012-2019" xfId="12348"/>
    <cellStyle name="Akzent3 10_2012-2019" xfId="12349"/>
    <cellStyle name="Akzent3 11_2012-2019" xfId="12350"/>
    <cellStyle name="Akzent3 12_2012-2019" xfId="12351"/>
    <cellStyle name="Akzent3 13_2012-2019" xfId="12352"/>
    <cellStyle name="Akzent3 14_2012-2019" xfId="12353"/>
    <cellStyle name="Akzent3 2_2012-2019" xfId="12354"/>
    <cellStyle name="Akzent3 3_2012-2019" xfId="12355"/>
    <cellStyle name="Akzent3 4_2012-2019" xfId="12356"/>
    <cellStyle name="Akzent3 5_2012-2019" xfId="12357"/>
    <cellStyle name="Akzent3 6_2012-2019" xfId="12358"/>
    <cellStyle name="Akzent3 7_2012-2019" xfId="12359"/>
    <cellStyle name="Akzent3 8_2012-2019" xfId="12360"/>
    <cellStyle name="Akzent3 9_2012-2019" xfId="12361"/>
    <cellStyle name="Akzent4_2012-2019" xfId="12362"/>
    <cellStyle name="Akzent4 10_2012-2019" xfId="12363"/>
    <cellStyle name="Akzent4 11_2012-2019" xfId="12364"/>
    <cellStyle name="Akzent4 12_2012-2019" xfId="12365"/>
    <cellStyle name="Akzent4 13_2012-2019" xfId="12366"/>
    <cellStyle name="Akzent4 14_2012-2019" xfId="12367"/>
    <cellStyle name="Akzent4 2_2012-2019" xfId="12368"/>
    <cellStyle name="Akzent4 3_2012-2019" xfId="12369"/>
    <cellStyle name="Akzent4 4_2012-2019" xfId="12370"/>
    <cellStyle name="Akzent4 5_2012-2019" xfId="12371"/>
    <cellStyle name="Akzent4 6_2012-2019" xfId="12372"/>
    <cellStyle name="Akzent4 7_2012-2019" xfId="12373"/>
    <cellStyle name="Akzent4 8_2012-2019" xfId="12374"/>
    <cellStyle name="Akzent4 9_2012-2019" xfId="12375"/>
    <cellStyle name="Akzent5_2012-2019" xfId="12376"/>
    <cellStyle name="Akzent6_2012-2019" xfId="12377"/>
    <cellStyle name="Akzent6 10_2012-2019" xfId="12378"/>
    <cellStyle name="Akzent6 11_2012-2019" xfId="12379"/>
    <cellStyle name="Akzent6 12_2012-2019" xfId="12380"/>
    <cellStyle name="Akzent6 13_2012-2019" xfId="12381"/>
    <cellStyle name="Akzent6 14_2012-2019" xfId="12382"/>
    <cellStyle name="Akzent6 2_2012-2019" xfId="12383"/>
    <cellStyle name="Akzent6 3_2012-2019" xfId="12384"/>
    <cellStyle name="Akzent6 4_2012-2019" xfId="12385"/>
    <cellStyle name="Akzent6 5_2012-2019" xfId="12386"/>
    <cellStyle name="Akzent6 6_2012-2019" xfId="12387"/>
    <cellStyle name="Akzent6 7_2012-2019" xfId="12388"/>
    <cellStyle name="Akzent6 8_2012-2019" xfId="12389"/>
    <cellStyle name="Akzent6 9_2012-2019" xfId="12390"/>
    <cellStyle name="Ausgabe_2012-2019" xfId="12391"/>
    <cellStyle name="Ausgabe 10_2012-2019" xfId="12392"/>
    <cellStyle name="Ausgabe 11_2012-2019" xfId="12393"/>
    <cellStyle name="Ausgabe 12_2012-2019" xfId="12394"/>
    <cellStyle name="Ausgabe 13_2012-2019" xfId="12395"/>
    <cellStyle name="Ausgabe 14_2012-2019" xfId="12396"/>
    <cellStyle name="Ausgabe 2_2012-2019" xfId="12397"/>
    <cellStyle name="Ausgabe 3_2012-2019" xfId="12398"/>
    <cellStyle name="Ausgabe 4_2012-2019" xfId="12399"/>
    <cellStyle name="Ausgabe 5_2012-2019" xfId="12400"/>
    <cellStyle name="Ausgabe 6_2012-2019" xfId="12401"/>
    <cellStyle name="Ausgabe 7_2012-2019" xfId="12402"/>
    <cellStyle name="Ausgabe 8_2012-2019" xfId="12403"/>
    <cellStyle name="Ausgabe 9_2012-2019" xfId="12404"/>
    <cellStyle name="Berechnung_2012-2019" xfId="12405"/>
    <cellStyle name="Berechnung 10_2012-2019" xfId="12406"/>
    <cellStyle name="Berechnung 11_2012-2019" xfId="12407"/>
    <cellStyle name="Berechnung 12_2012-2019" xfId="12408"/>
    <cellStyle name="Berechnung 13_2012-2019" xfId="12409"/>
    <cellStyle name="Berechnung 14_2012-2019" xfId="12410"/>
    <cellStyle name="Berechnung 2_2012-2019" xfId="12411"/>
    <cellStyle name="Berechnung 3_2012-2019" xfId="12412"/>
    <cellStyle name="Berechnung 4_2012-2019" xfId="12413"/>
    <cellStyle name="Berechnung 5_2012-2019" xfId="12414"/>
    <cellStyle name="Berechnung 6_2012-2019" xfId="12415"/>
    <cellStyle name="Berechnung 7_2012-2019" xfId="12416"/>
    <cellStyle name="Berechnung 8_2012-2019" xfId="12417"/>
    <cellStyle name="Berechnung 9_2012-2019" xfId="12418"/>
    <cellStyle name="Comma 10_2012-2019" xfId="12419"/>
    <cellStyle name="Comma 2_2012-2019" xfId="12420"/>
    <cellStyle name="Comma 2 2_2012-2019" xfId="12421"/>
    <cellStyle name="Comma 2 2 2_2012-2019" xfId="12422"/>
    <cellStyle name="Comma 2 3_2012-2019" xfId="12423"/>
    <cellStyle name="Comma 3_2012-2019" xfId="12424"/>
    <cellStyle name="Comma 3 2_2012-2019" xfId="12425"/>
    <cellStyle name="Comma 5_2012-2019" xfId="12426"/>
    <cellStyle name="Comma 53_2012-2019" xfId="12427"/>
    <cellStyle name="Comma 53 2_2012-2019" xfId="12428"/>
    <cellStyle name="Comma 59_2012-2019" xfId="12429"/>
    <cellStyle name="Comma 59 2_2012-2019" xfId="12430"/>
    <cellStyle name="Comma 8_2012-2019" xfId="12431"/>
    <cellStyle name="Comma 9_2012-2019" xfId="12432"/>
    <cellStyle name="Datum_2012-2019" xfId="12433"/>
    <cellStyle name="Dezimal 2_2012-2019" xfId="12434"/>
    <cellStyle name="Dezimal 2 2_2012-2019" xfId="12435"/>
    <cellStyle name="Dezimal 3_2012-2019" xfId="12436"/>
    <cellStyle name="Dezimal 4_2012-2019" xfId="12437"/>
    <cellStyle name="Eingabe_2012-2019" xfId="12438"/>
    <cellStyle name="Eingabe 10_2012-2019" xfId="12439"/>
    <cellStyle name="Eingabe 11_2012-2019" xfId="12440"/>
    <cellStyle name="Eingabe 12_2012-2019" xfId="12441"/>
    <cellStyle name="Eingabe 13_2012-2019" xfId="12442"/>
    <cellStyle name="Eingabe 14_2012-2019" xfId="12443"/>
    <cellStyle name="Eingabe 2_2012-2019" xfId="12444"/>
    <cellStyle name="Eingabe 3_2012-2019" xfId="12445"/>
    <cellStyle name="Eingabe 4_2012-2019" xfId="12446"/>
    <cellStyle name="Eingabe 5_2012-2019" xfId="12447"/>
    <cellStyle name="Eingabe 6_2012-2019" xfId="12448"/>
    <cellStyle name="Eingabe 7_2012-2019" xfId="12449"/>
    <cellStyle name="Eingabe 8_2012-2019" xfId="12450"/>
    <cellStyle name="Eingabe 9_2012-2019" xfId="12451"/>
    <cellStyle name="Ergebnis_2012-2019" xfId="12452"/>
    <cellStyle name="Ergebnis 10_2012-2019" xfId="12453"/>
    <cellStyle name="Ergebnis 11_2012-2019" xfId="12454"/>
    <cellStyle name="Ergebnis 12_2012-2019" xfId="12455"/>
    <cellStyle name="Ergebnis 13_2012-2019" xfId="12456"/>
    <cellStyle name="Ergebnis 14_2012-2019" xfId="12457"/>
    <cellStyle name="Ergebnis 2_2012-2019" xfId="12458"/>
    <cellStyle name="Ergebnis 3_2012-2019" xfId="12459"/>
    <cellStyle name="Ergebnis 4_2012-2019" xfId="12460"/>
    <cellStyle name="Ergebnis 5_2012-2019" xfId="12461"/>
    <cellStyle name="Ergebnis 6_2012-2019" xfId="12462"/>
    <cellStyle name="Ergebnis 7_2012-2019" xfId="12463"/>
    <cellStyle name="Ergebnis 8_2012-2019" xfId="12464"/>
    <cellStyle name="Ergebnis 9_2012-2019" xfId="12465"/>
    <cellStyle name="Erklärender Text_2012-2019" xfId="12466"/>
    <cellStyle name="Euro_2012-2019" xfId="12467"/>
    <cellStyle name="Gut_2012-2019" xfId="12468"/>
    <cellStyle name="Gut 10_2012-2019" xfId="12469"/>
    <cellStyle name="Gut 11_2012-2019" xfId="12470"/>
    <cellStyle name="Gut 12_2012-2019" xfId="12471"/>
    <cellStyle name="Gut 13_2012-2019" xfId="12472"/>
    <cellStyle name="Gut 14_2012-2019" xfId="12473"/>
    <cellStyle name="Gut 2_2012-2019" xfId="12474"/>
    <cellStyle name="Gut 3_2012-2019" xfId="12475"/>
    <cellStyle name="Gut 4_2012-2019" xfId="12476"/>
    <cellStyle name="Gut 5_2012-2019" xfId="12477"/>
    <cellStyle name="Gut 6_2012-2019" xfId="12478"/>
    <cellStyle name="Gut 7_2012-2019" xfId="12479"/>
    <cellStyle name="Gut 8_2012-2019" xfId="12480"/>
    <cellStyle name="Gut 9_2012-2019" xfId="12481"/>
    <cellStyle name="Neutral 10_2012-2019" xfId="12482"/>
    <cellStyle name="Neutral 11_2012-2019" xfId="12483"/>
    <cellStyle name="Neutral 12_2012-2019" xfId="12484"/>
    <cellStyle name="Neutral 13_2012-2019" xfId="12485"/>
    <cellStyle name="Neutral 14_2012-2019" xfId="12486"/>
    <cellStyle name="Neutral 2_2012-2019" xfId="12487"/>
    <cellStyle name="Neutral 3_2012-2019" xfId="12488"/>
    <cellStyle name="Neutral 4_2012-2019" xfId="12489"/>
    <cellStyle name="Neutral 5_2012-2019" xfId="12490"/>
    <cellStyle name="Neutral 6_2012-2019" xfId="12491"/>
    <cellStyle name="Neutral 7_2012-2019" xfId="12492"/>
    <cellStyle name="Neutral 8_2012-2019" xfId="12493"/>
    <cellStyle name="Neutral 9_2012-2019" xfId="12494"/>
    <cellStyle name="Normal 10_2012-2019" xfId="12495"/>
    <cellStyle name="Normal 10 2_2012-2019" xfId="12496"/>
    <cellStyle name="Normal 100_2012-2019" xfId="12497"/>
    <cellStyle name="Normal 101_2012-2019" xfId="12498"/>
    <cellStyle name="Normal 102_2012-2019" xfId="12499"/>
    <cellStyle name="Normal 103_2012-2019" xfId="12500"/>
    <cellStyle name="Normal 104_2012-2019" xfId="12501"/>
    <cellStyle name="Normal 105_2012-2019" xfId="12502"/>
    <cellStyle name="Normal 106_2012-2019" xfId="12503"/>
    <cellStyle name="Normal 107_2012-2019" xfId="12504"/>
    <cellStyle name="Normal 109_2012-2019" xfId="12505"/>
    <cellStyle name="Normal 11_2012-2019" xfId="12506"/>
    <cellStyle name="Normal 110_2012-2019" xfId="12507"/>
    <cellStyle name="Normal 111_2012-2019" xfId="12508"/>
    <cellStyle name="Normal 112_2012-2019" xfId="12509"/>
    <cellStyle name="Normal 113_2012-2019" xfId="12510"/>
    <cellStyle name="Normal 114_2012-2019" xfId="12511"/>
    <cellStyle name="Normal 115_2012-2019" xfId="12512"/>
    <cellStyle name="Normal 116_2012-2019" xfId="12513"/>
    <cellStyle name="Normal 117_2012-2019" xfId="12514"/>
    <cellStyle name="Normal 118_2012-2019" xfId="12515"/>
    <cellStyle name="Normal 119_2012-2019" xfId="12516"/>
    <cellStyle name="Normal 12_2012-2019" xfId="12517"/>
    <cellStyle name="Normal 120_2012-2019" xfId="12518"/>
    <cellStyle name="Normal 122_2012-2019" xfId="12519"/>
    <cellStyle name="Normal 123_2012-2019" xfId="12520"/>
    <cellStyle name="Normal 124_2012-2019" xfId="12521"/>
    <cellStyle name="Normal 125_2012-2019" xfId="12522"/>
    <cellStyle name="Normal 126_2012-2019" xfId="12523"/>
    <cellStyle name="Normal 127_2012-2019" xfId="12524"/>
    <cellStyle name="Normal 128_2012-2019" xfId="12525"/>
    <cellStyle name="Normal 13_2012-2019" xfId="12526"/>
    <cellStyle name="Normal 13 2_2012-2019" xfId="12527"/>
    <cellStyle name="Normal 130_2012-2019" xfId="12528"/>
    <cellStyle name="Normal 131_2012-2019" xfId="12529"/>
    <cellStyle name="Normal 133_2012-2019" xfId="12530"/>
    <cellStyle name="Normal 135_2012-2019" xfId="12531"/>
    <cellStyle name="Normal 136_2012-2019" xfId="12532"/>
    <cellStyle name="Normal 138_2012-2019" xfId="12533"/>
    <cellStyle name="Normal 139_2012-2019" xfId="12534"/>
    <cellStyle name="Normal 14_2012-2019" xfId="12535"/>
    <cellStyle name="Normal 14 2_2012-2019" xfId="12536"/>
    <cellStyle name="Normal 140_2012-2019" xfId="12537"/>
    <cellStyle name="Normal 141_2012-2019" xfId="12538"/>
    <cellStyle name="Normal 142_2012-2019" xfId="12539"/>
    <cellStyle name="Normal 143_2012-2019" xfId="12540"/>
    <cellStyle name="Normal 15_2012-2019" xfId="12541"/>
    <cellStyle name="Normal 15 2_2012-2019" xfId="12542"/>
    <cellStyle name="Normal 16_2012-2019" xfId="12543"/>
    <cellStyle name="Normal 16 2_2012-2019" xfId="12544"/>
    <cellStyle name="Normal 17_2012-2019" xfId="12545"/>
    <cellStyle name="Normal 18_2012-2019" xfId="12546"/>
    <cellStyle name="Normal 18 2_2012-2019" xfId="12547"/>
    <cellStyle name="Normal 19_2012-2019" xfId="12548"/>
    <cellStyle name="Normal 19 2_2012-2019" xfId="12549"/>
    <cellStyle name="Normal 2 2_2012-2019" xfId="12550"/>
    <cellStyle name="Normal 20_2012-2019" xfId="12551"/>
    <cellStyle name="Normal 20 2_2012-2019" xfId="12552"/>
    <cellStyle name="Normal 21_2012-2019" xfId="12553"/>
    <cellStyle name="Normal 21 2_2012-2019" xfId="12554"/>
    <cellStyle name="Normal 22_2012-2019" xfId="12555"/>
    <cellStyle name="Normal 22 2_2012-2019" xfId="12556"/>
    <cellStyle name="Normal 23_2012-2019" xfId="12557"/>
    <cellStyle name="Normal 23 2_2012-2019" xfId="12558"/>
    <cellStyle name="Normal 24_2012-2019" xfId="12559"/>
    <cellStyle name="Normal 25_2012-2019" xfId="12560"/>
    <cellStyle name="Normal 25 2_2012-2019" xfId="12561"/>
    <cellStyle name="Normal 26_2012-2019" xfId="12562"/>
    <cellStyle name="Normal 26 2_2012-2019" xfId="12563"/>
    <cellStyle name="Normal 27_2012-2019" xfId="12564"/>
    <cellStyle name="Normal 27 2_2012-2019" xfId="12565"/>
    <cellStyle name="Normal 28_2012-2019" xfId="12566"/>
    <cellStyle name="Normal 28 2_2012-2019" xfId="12567"/>
    <cellStyle name="Normal 29_2012-2019" xfId="12568"/>
    <cellStyle name="Normal 29 2_2012-2019" xfId="12569"/>
    <cellStyle name="Normal 3_2012-2019" xfId="12570"/>
    <cellStyle name="Normal 3 2_2012-2019" xfId="12571"/>
    <cellStyle name="Normal 3 2 2_2012-2019" xfId="12572"/>
    <cellStyle name="Normal 3 3_2012-2019" xfId="12573"/>
    <cellStyle name="Normal 30_2012-2019" xfId="12574"/>
    <cellStyle name="Normal 30 2_2012-2019" xfId="12575"/>
    <cellStyle name="Normal 31_2012-2019" xfId="12576"/>
    <cellStyle name="Normal 32_2012-2019" xfId="12577"/>
    <cellStyle name="Normal 32 2_2012-2019" xfId="12578"/>
    <cellStyle name="Normal 33_2012-2019" xfId="12579"/>
    <cellStyle name="Normal 33 2_2012-2019" xfId="12580"/>
    <cellStyle name="Normal 34_2012-2019" xfId="12581"/>
    <cellStyle name="Normal 34 2_2012-2019" xfId="12582"/>
    <cellStyle name="Normal 35_2012-2019" xfId="12583"/>
    <cellStyle name="Normal 35 2_2012-2019" xfId="12584"/>
    <cellStyle name="Normal 36_2012-2019" xfId="12585"/>
    <cellStyle name="Normal 36 2_2012-2019" xfId="12586"/>
    <cellStyle name="Normal 37_2012-2019" xfId="12587"/>
    <cellStyle name="Normal 37 2_2012-2019" xfId="12588"/>
    <cellStyle name="Normal 38_2012-2019" xfId="12589"/>
    <cellStyle name="Normal 38 2_2012-2019" xfId="12590"/>
    <cellStyle name="Normal 39_2012-2019" xfId="12591"/>
    <cellStyle name="Normal 39 2_2012-2019" xfId="12592"/>
    <cellStyle name="Normal 4_2012-2019" xfId="12593"/>
    <cellStyle name="Normal 4 2_2012-2019" xfId="12594"/>
    <cellStyle name="Normal 4 2 2_2012-2019" xfId="12595"/>
    <cellStyle name="Normal 4 3_2012-2019" xfId="12596"/>
    <cellStyle name="Normal 40_2012-2019" xfId="12597"/>
    <cellStyle name="Normal 40 2_2012-2019" xfId="12598"/>
    <cellStyle name="Normal 41_2012-2019" xfId="12599"/>
    <cellStyle name="Normal 41 2_2012-2019" xfId="12600"/>
    <cellStyle name="Normal 42_2012-2019" xfId="12601"/>
    <cellStyle name="Normal 42 2_2012-2019" xfId="12602"/>
    <cellStyle name="Normal 43_2012-2019" xfId="12603"/>
    <cellStyle name="Normal 43 2_2012-2019" xfId="12604"/>
    <cellStyle name="Normal 44_2012-2019" xfId="12605"/>
    <cellStyle name="Normal 44 2_2012-2019" xfId="12606"/>
    <cellStyle name="Normal 45_2012-2019" xfId="12607"/>
    <cellStyle name="Normal 45 2_2012-2019" xfId="12608"/>
    <cellStyle name="Normal 46_2012-2019" xfId="12609"/>
    <cellStyle name="Normal 46 2_2012-2019" xfId="12610"/>
    <cellStyle name="Normal 47_2012-2019" xfId="12611"/>
    <cellStyle name="Normal 47 2_2012-2019" xfId="12612"/>
    <cellStyle name="Normal 48_2012-2019" xfId="12613"/>
    <cellStyle name="Normal 48 2_2012-2019" xfId="12614"/>
    <cellStyle name="Normal 49_2012-2019" xfId="12615"/>
    <cellStyle name="Normal 5_2012-2019" xfId="12616"/>
    <cellStyle name="Normal 5 2_2012-2019" xfId="12617"/>
    <cellStyle name="Normal 5 2 2_2012-2019" xfId="12618"/>
    <cellStyle name="Normal 5 3_2012-2019" xfId="12619"/>
    <cellStyle name="Normal 50_2012-2019" xfId="12620"/>
    <cellStyle name="Normal 50 2_2012-2019" xfId="12621"/>
    <cellStyle name="Normal 51_2012-2019" xfId="12622"/>
    <cellStyle name="Normal 52_2012-2019" xfId="12623"/>
    <cellStyle name="Normal 53_2012-2019" xfId="12624"/>
    <cellStyle name="Normal 54_2012-2019" xfId="12625"/>
    <cellStyle name="Normal 55_2012-2019" xfId="12626"/>
    <cellStyle name="Normal 56_2012-2019" xfId="12627"/>
    <cellStyle name="Normal 57_2012-2019" xfId="12628"/>
    <cellStyle name="Normal 58_2012-2019" xfId="12629"/>
    <cellStyle name="Normal 59_2012-2019" xfId="12630"/>
    <cellStyle name="Normal 59 2_2012-2019" xfId="12631"/>
    <cellStyle name="Normal 6_2012-2019" xfId="12632"/>
    <cellStyle name="Normal 6 2_2012-2019" xfId="12633"/>
    <cellStyle name="Normal 60_2012-2019" xfId="12634"/>
    <cellStyle name="Normal 61_2012-2019" xfId="12635"/>
    <cellStyle name="Normal 61 2_2012-2019" xfId="12636"/>
    <cellStyle name="Normal 62_2012-2019" xfId="12637"/>
    <cellStyle name="Normal 63_2012-2019" xfId="12638"/>
    <cellStyle name="Normal 63 2_2012-2019" xfId="12639"/>
    <cellStyle name="Normal 64_2012-2019" xfId="12640"/>
    <cellStyle name="Normal 65_2012-2019" xfId="12641"/>
    <cellStyle name="Normal 66_2012-2019" xfId="12642"/>
    <cellStyle name="Normal 67_2012-2019" xfId="12643"/>
    <cellStyle name="Normal 68_2012-2019" xfId="12644"/>
    <cellStyle name="Normal 69_2012-2019" xfId="12645"/>
    <cellStyle name="Normal 7_2012-2019" xfId="12646"/>
    <cellStyle name="Normal 7 2_2012-2019" xfId="12647"/>
    <cellStyle name="Normal 70_2012-2019" xfId="12648"/>
    <cellStyle name="Normal 71_2012-2019" xfId="12649"/>
    <cellStyle name="Normal 72_2012-2019" xfId="12650"/>
    <cellStyle name="Normal 73_2012-2019" xfId="12651"/>
    <cellStyle name="Normal 74_2012-2019" xfId="12652"/>
    <cellStyle name="Normal 75_2012-2019" xfId="12653"/>
    <cellStyle name="Normal 76_2012-2019" xfId="12654"/>
    <cellStyle name="Normal 77_2012-2019" xfId="12655"/>
    <cellStyle name="Normal 78_2012-2019" xfId="12656"/>
    <cellStyle name="Normal 79_2012-2019" xfId="12657"/>
    <cellStyle name="Normal 8_2012-2019" xfId="12658"/>
    <cellStyle name="Normal 80_2012-2019" xfId="12659"/>
    <cellStyle name="Normal 81_2012-2019" xfId="12660"/>
    <cellStyle name="Normal 82_2012-2019" xfId="12661"/>
    <cellStyle name="Normal 83_2012-2019" xfId="12662"/>
    <cellStyle name="Normal 84_2012-2019" xfId="12663"/>
    <cellStyle name="Normal 85_2012-2019" xfId="12664"/>
    <cellStyle name="Normal 86_2012-2019" xfId="12665"/>
    <cellStyle name="Normal 87_2012-2019" xfId="12666"/>
    <cellStyle name="Normal 88_2012-2019" xfId="12667"/>
    <cellStyle name="Normal 89_2012-2019" xfId="12668"/>
    <cellStyle name="Normal 9_2012-2019" xfId="12669"/>
    <cellStyle name="Normal 9 2_2012-2019" xfId="12670"/>
    <cellStyle name="Normal 90_2012-2019" xfId="12671"/>
    <cellStyle name="Normal 91_2012-2019" xfId="12672"/>
    <cellStyle name="Normal 92_2012-2019" xfId="12673"/>
    <cellStyle name="Normal 93_2012-2019" xfId="12674"/>
    <cellStyle name="Normal 94_2012-2019" xfId="12675"/>
    <cellStyle name="Normal 95_2012-2019" xfId="12676"/>
    <cellStyle name="Normal 96_2012-2019" xfId="12677"/>
    <cellStyle name="Normal 97_2012-2019" xfId="12678"/>
    <cellStyle name="Normal 98_2012-2019" xfId="12679"/>
    <cellStyle name="Normal 99_2012-2019" xfId="12680"/>
    <cellStyle name="Note 10_2012-2019" xfId="12681"/>
    <cellStyle name="Note 10 2_2012-2019" xfId="12682"/>
    <cellStyle name="Note 100_2012-2019" xfId="12683"/>
    <cellStyle name="Note 101_2012-2019" xfId="12684"/>
    <cellStyle name="Note 102_2012-2019" xfId="12685"/>
    <cellStyle name="Note 103_2012-2019" xfId="12686"/>
    <cellStyle name="Note 104_2012-2019" xfId="12687"/>
    <cellStyle name="Note 105_2012-2019" xfId="12688"/>
    <cellStyle name="Note 106_2012-2019" xfId="12689"/>
    <cellStyle name="Note 107_2012-2019" xfId="12690"/>
    <cellStyle name="Note 108_2012-2019" xfId="12691"/>
    <cellStyle name="Note 109_2012-2019" xfId="12692"/>
    <cellStyle name="Note 11_2012-2019" xfId="12693"/>
    <cellStyle name="Note 11 2_2012-2019" xfId="12694"/>
    <cellStyle name="Note 110_2012-2019" xfId="12695"/>
    <cellStyle name="Note 111_2012-2019" xfId="12696"/>
    <cellStyle name="Note 112_2012-2019" xfId="12697"/>
    <cellStyle name="Note 113_2012-2019" xfId="12698"/>
    <cellStyle name="Note 114_2012-2019" xfId="12699"/>
    <cellStyle name="Note 115_2012-2019" xfId="12700"/>
    <cellStyle name="Note 116_2012-2019" xfId="12701"/>
    <cellStyle name="Note 117_2012-2019" xfId="12702"/>
    <cellStyle name="Note 118_2012-2019" xfId="12703"/>
    <cellStyle name="Note 119_2012-2019" xfId="12704"/>
    <cellStyle name="Note 12_2012-2019" xfId="12705"/>
    <cellStyle name="Note 12 2_2012-2019" xfId="12706"/>
    <cellStyle name="Note 120_2012-2019" xfId="12707"/>
    <cellStyle name="Note 121_2012-2019" xfId="12708"/>
    <cellStyle name="Note 122_2012-2019" xfId="12709"/>
    <cellStyle name="Note 123_2012-2019" xfId="12710"/>
    <cellStyle name="Note 124_2012-2019" xfId="12711"/>
    <cellStyle name="Note 125_2012-2019" xfId="12712"/>
    <cellStyle name="Note 126_2012-2019" xfId="12713"/>
    <cellStyle name="Note 127_2012-2019" xfId="12714"/>
    <cellStyle name="Note 128_2012-2019" xfId="12715"/>
    <cellStyle name="Note 129_2012-2019" xfId="12716"/>
    <cellStyle name="Note 13_2012-2019" xfId="12717"/>
    <cellStyle name="Note 13 2_2012-2019" xfId="12718"/>
    <cellStyle name="Note 130_2012-2019" xfId="12719"/>
    <cellStyle name="Note 131_2012-2019" xfId="12720"/>
    <cellStyle name="Note 132_2012-2019" xfId="12721"/>
    <cellStyle name="Note 133_2012-2019" xfId="12722"/>
    <cellStyle name="Note 134_2012-2019" xfId="12723"/>
    <cellStyle name="Note 135_2012-2019" xfId="12724"/>
    <cellStyle name="Note 136_2012-2019" xfId="12725"/>
    <cellStyle name="Note 137_2012-2019" xfId="12726"/>
    <cellStyle name="Note 138_2012-2019" xfId="12727"/>
    <cellStyle name="Note 139_2012-2019" xfId="12728"/>
    <cellStyle name="Note 14_2012-2019" xfId="12729"/>
    <cellStyle name="Note 14 2_2012-2019" xfId="12730"/>
    <cellStyle name="Note 140_2012-2019" xfId="12731"/>
    <cellStyle name="Note 141_2012-2019" xfId="12732"/>
    <cellStyle name="Note 142_2012-2019" xfId="12733"/>
    <cellStyle name="Note 143_2012-2019" xfId="12734"/>
    <cellStyle name="Note 144_2012-2019" xfId="12735"/>
    <cellStyle name="Note 145_2012-2019" xfId="12736"/>
    <cellStyle name="Note 146_2012-2019" xfId="12737"/>
    <cellStyle name="Note 147_2012-2019" xfId="12738"/>
    <cellStyle name="Note 148_2012-2019" xfId="12739"/>
    <cellStyle name="Note 149_2012-2019" xfId="12740"/>
    <cellStyle name="Note 15_2012-2019" xfId="12741"/>
    <cellStyle name="Note 15 2_2012-2019" xfId="12742"/>
    <cellStyle name="Note 150_2012-2019" xfId="12743"/>
    <cellStyle name="Note 151_2012-2019" xfId="12744"/>
    <cellStyle name="Note 152_2012-2019" xfId="12745"/>
    <cellStyle name="Note 153_2012-2019" xfId="12746"/>
    <cellStyle name="Note 154_2012-2019" xfId="12747"/>
    <cellStyle name="Note 155_2012-2019" xfId="12748"/>
    <cellStyle name="Note 156_2012-2019" xfId="12749"/>
    <cellStyle name="Note 157_2012-2019" xfId="12750"/>
    <cellStyle name="Note 158_2012-2019" xfId="12751"/>
    <cellStyle name="Note 159_2012-2019" xfId="12752"/>
    <cellStyle name="Note 16_2012-2019" xfId="12753"/>
    <cellStyle name="Note 16 2_2012-2019" xfId="12754"/>
    <cellStyle name="Note 160_2012-2019" xfId="12755"/>
    <cellStyle name="Note 161_2012-2019" xfId="12756"/>
    <cellStyle name="Note 162_2012-2019" xfId="12757"/>
    <cellStyle name="Note 163_2012-2019" xfId="12758"/>
    <cellStyle name="Note 164_2012-2019" xfId="12759"/>
    <cellStyle name="Note 17_2012-2019" xfId="12760"/>
    <cellStyle name="Note 17 2_2012-2019" xfId="12761"/>
    <cellStyle name="Note 18_2012-2019" xfId="12762"/>
    <cellStyle name="Note 18 2_2012-2019" xfId="12763"/>
    <cellStyle name="Note 19_2012-2019" xfId="12764"/>
    <cellStyle name="Note 19 2_2012-2019" xfId="12765"/>
    <cellStyle name="Note 2_2012-2019" xfId="12766"/>
    <cellStyle name="Note 2 2_2012-2019" xfId="12767"/>
    <cellStyle name="Note 2 2 2_2012-2019" xfId="12768"/>
    <cellStyle name="Note 2 3_2012-2019" xfId="12769"/>
    <cellStyle name="Note 20_2012-2019" xfId="12770"/>
    <cellStyle name="Note 20 2_2012-2019" xfId="12771"/>
    <cellStyle name="Note 21_2012-2019" xfId="12772"/>
    <cellStyle name="Note 21 2_2012-2019" xfId="12773"/>
    <cellStyle name="Note 22_2012-2019" xfId="12774"/>
    <cellStyle name="Note 22 2_2012-2019" xfId="12775"/>
    <cellStyle name="Note 23_2012-2019" xfId="12776"/>
    <cellStyle name="Note 23 2_2012-2019" xfId="12777"/>
    <cellStyle name="Note 24_2012-2019" xfId="12778"/>
    <cellStyle name="Note 24 2_2012-2019" xfId="12779"/>
    <cellStyle name="Note 25_2012-2019" xfId="12780"/>
    <cellStyle name="Note 25 2_2012-2019" xfId="12781"/>
    <cellStyle name="Note 26_2012-2019" xfId="12782"/>
    <cellStyle name="Note 26 2_2012-2019" xfId="12783"/>
    <cellStyle name="Note 27_2012-2019" xfId="12784"/>
    <cellStyle name="Note 27 2_2012-2019" xfId="12785"/>
    <cellStyle name="Note 28_2012-2019" xfId="12786"/>
    <cellStyle name="Note 28 2_2012-2019" xfId="12787"/>
    <cellStyle name="Note 29_2012-2019" xfId="12788"/>
    <cellStyle name="Note 29 2_2012-2019" xfId="12789"/>
    <cellStyle name="Note 3_2012-2019" xfId="12790"/>
    <cellStyle name="Note 3 2_2012-2019" xfId="12791"/>
    <cellStyle name="Note 3 2 2_2012-2019" xfId="12792"/>
    <cellStyle name="Note 3 3_2012-2019" xfId="12793"/>
    <cellStyle name="Note 30_2012-2019" xfId="12794"/>
    <cellStyle name="Note 30 2_2012-2019" xfId="12795"/>
    <cellStyle name="Note 31_2012-2019" xfId="12796"/>
    <cellStyle name="Note 31 2_2012-2019" xfId="12797"/>
    <cellStyle name="Note 32_2012-2019" xfId="12798"/>
    <cellStyle name="Note 32 2_2012-2019" xfId="12799"/>
    <cellStyle name="Note 33_2012-2019" xfId="12800"/>
    <cellStyle name="Note 33 2_2012-2019" xfId="12801"/>
    <cellStyle name="Note 34_2012-2019" xfId="12802"/>
    <cellStyle name="Note 34 2_2012-2019" xfId="12803"/>
    <cellStyle name="Note 35_2012-2019" xfId="12804"/>
    <cellStyle name="Note 35 2_2012-2019" xfId="12805"/>
    <cellStyle name="Note 36_2012-2019" xfId="12806"/>
    <cellStyle name="Note 36 2_2012-2019" xfId="12807"/>
    <cellStyle name="Note 37_2012-2019" xfId="12808"/>
    <cellStyle name="Note 37 2_2012-2019" xfId="12809"/>
    <cellStyle name="Note 38_2012-2019" xfId="12810"/>
    <cellStyle name="Note 38 2_2012-2019" xfId="12811"/>
    <cellStyle name="Note 39_2012-2019" xfId="12812"/>
    <cellStyle name="Note 39 2_2012-2019" xfId="12813"/>
    <cellStyle name="Note 4_2012-2019" xfId="12814"/>
    <cellStyle name="Note 4 2_2012-2019" xfId="12815"/>
    <cellStyle name="Note 4 2 2_2012-2019" xfId="12816"/>
    <cellStyle name="Note 4 3_2012-2019" xfId="12817"/>
    <cellStyle name="Note 40_2012-2019" xfId="12818"/>
    <cellStyle name="Note 40 2_2012-2019" xfId="12819"/>
    <cellStyle name="Note 41_2012-2019" xfId="12820"/>
    <cellStyle name="Note 41 2_2012-2019" xfId="12821"/>
    <cellStyle name="Note 42_2012-2019" xfId="12822"/>
    <cellStyle name="Note 42 2_2012-2019" xfId="12823"/>
    <cellStyle name="Note 43_2012-2019" xfId="12824"/>
    <cellStyle name="Note 43 2_2012-2019" xfId="12825"/>
    <cellStyle name="Note 44_2012-2019" xfId="12826"/>
    <cellStyle name="Note 44 2_2012-2019" xfId="12827"/>
    <cellStyle name="Note 45_2012-2019" xfId="12828"/>
    <cellStyle name="Note 45 2_2012-2019" xfId="12829"/>
    <cellStyle name="Note 46_2012-2019" xfId="12830"/>
    <cellStyle name="Note 46 2_2012-2019" xfId="12831"/>
    <cellStyle name="Note 47_2012-2019" xfId="12832"/>
    <cellStyle name="Note 47 2_2012-2019" xfId="12833"/>
    <cellStyle name="Note 48_2012-2019" xfId="12834"/>
    <cellStyle name="Note 48 2_2012-2019" xfId="12835"/>
    <cellStyle name="Note 49_2012-2019" xfId="12836"/>
    <cellStyle name="Note 49 2_2012-2019" xfId="12837"/>
    <cellStyle name="Note 5_2012-2019" xfId="12838"/>
    <cellStyle name="Note 5 2_2012-2019" xfId="12839"/>
    <cellStyle name="Note 5 2 2_2012-2019" xfId="12840"/>
    <cellStyle name="Note 5 3_2012-2019" xfId="12841"/>
    <cellStyle name="Note 50_2012-2019" xfId="12842"/>
    <cellStyle name="Note 50 2_2012-2019" xfId="12843"/>
    <cellStyle name="Note 51_2012-2019" xfId="12844"/>
    <cellStyle name="Note 51 2_2012-2019" xfId="12845"/>
    <cellStyle name="Note 52_2012-2019" xfId="12846"/>
    <cellStyle name="Note 52 2_2012-2019" xfId="12847"/>
    <cellStyle name="Note 53_2012-2019" xfId="12848"/>
    <cellStyle name="Note 53 2_2012-2019" xfId="12849"/>
    <cellStyle name="Note 54_2012-2019" xfId="12850"/>
    <cellStyle name="Note 54 2_2012-2019" xfId="12851"/>
    <cellStyle name="Note 55_2012-2019" xfId="12852"/>
    <cellStyle name="Note 55 2_2012-2019" xfId="12853"/>
    <cellStyle name="Note 56_2012-2019" xfId="12854"/>
    <cellStyle name="Note 56 2_2012-2019" xfId="12855"/>
    <cellStyle name="Note 57_2012-2019" xfId="12856"/>
    <cellStyle name="Note 57 2_2012-2019" xfId="12857"/>
    <cellStyle name="Note 58_2012-2019" xfId="12858"/>
    <cellStyle name="Note 58 2_2012-2019" xfId="12859"/>
    <cellStyle name="Note 59_2012-2019" xfId="12860"/>
    <cellStyle name="Note 59 2_2012-2019" xfId="12861"/>
    <cellStyle name="Note 6_2012-2019" xfId="12862"/>
    <cellStyle name="Note 6 2_2012-2019" xfId="12863"/>
    <cellStyle name="Note 60_2012-2019" xfId="12864"/>
    <cellStyle name="Note 60 2_2012-2019" xfId="12865"/>
    <cellStyle name="Note 61_2012-2019" xfId="12866"/>
    <cellStyle name="Note 62_2012-2019" xfId="12867"/>
    <cellStyle name="Note 63_2012-2019" xfId="12868"/>
    <cellStyle name="Note 64_2012-2019" xfId="12869"/>
    <cellStyle name="Note 65_2012-2019" xfId="12870"/>
    <cellStyle name="Note 66_2012-2019" xfId="12871"/>
    <cellStyle name="Note 67_2012-2019" xfId="12872"/>
    <cellStyle name="Note 68_2012-2019" xfId="12873"/>
    <cellStyle name="Note 69_2012-2019" xfId="12874"/>
    <cellStyle name="Note 7_2012-2019" xfId="12875"/>
    <cellStyle name="Note 7 2_2012-2019" xfId="12876"/>
    <cellStyle name="Note 70_2012-2019" xfId="12877"/>
    <cellStyle name="Note 71_2012-2019" xfId="12878"/>
    <cellStyle name="Note 72_2012-2019" xfId="12879"/>
    <cellStyle name="Note 73_2012-2019" xfId="12880"/>
    <cellStyle name="Note 74_2012-2019" xfId="12881"/>
    <cellStyle name="Note 75_2012-2019" xfId="12882"/>
    <cellStyle name="Note 76_2012-2019" xfId="12883"/>
    <cellStyle name="Note 77_2012-2019" xfId="12884"/>
    <cellStyle name="Note 78_2012-2019" xfId="12885"/>
    <cellStyle name="Note 79_2012-2019" xfId="12886"/>
    <cellStyle name="Note 8_2012-2019" xfId="12887"/>
    <cellStyle name="Note 8 2_2012-2019" xfId="12888"/>
    <cellStyle name="Note 80_2012-2019" xfId="12889"/>
    <cellStyle name="Note 81_2012-2019" xfId="12890"/>
    <cellStyle name="Note 82_2012-2019" xfId="12891"/>
    <cellStyle name="Note 83_2012-2019" xfId="12892"/>
    <cellStyle name="Note 84_2012-2019" xfId="12893"/>
    <cellStyle name="Note 85_2012-2019" xfId="12894"/>
    <cellStyle name="Note 86_2012-2019" xfId="12895"/>
    <cellStyle name="Note 87_2012-2019" xfId="12896"/>
    <cellStyle name="Note 88_2012-2019" xfId="12897"/>
    <cellStyle name="Note 89_2012-2019" xfId="12898"/>
    <cellStyle name="Note 9_2012-2019" xfId="12899"/>
    <cellStyle name="Note 9 2_2012-2019" xfId="12900"/>
    <cellStyle name="Note 90_2012-2019" xfId="12901"/>
    <cellStyle name="Note 91_2012-2019" xfId="12902"/>
    <cellStyle name="Note 92_2012-2019" xfId="12903"/>
    <cellStyle name="Note 93_2012-2019" xfId="12904"/>
    <cellStyle name="Note 94_2012-2019" xfId="12905"/>
    <cellStyle name="Note 95_2012-2019" xfId="12906"/>
    <cellStyle name="Note 96_2012-2019" xfId="12907"/>
    <cellStyle name="Note 97_2012-2019" xfId="12908"/>
    <cellStyle name="Note 98_2012-2019" xfId="12909"/>
    <cellStyle name="Note 99_2012-2019" xfId="12910"/>
    <cellStyle name="Notiz_2012-2019" xfId="12911"/>
    <cellStyle name="Notiz 10_2012-2019" xfId="12912"/>
    <cellStyle name="Notiz 100_2012-2019" xfId="12913"/>
    <cellStyle name="Notiz 101_2012-2019" xfId="12914"/>
    <cellStyle name="Notiz 102_2012-2019" xfId="12915"/>
    <cellStyle name="Notiz 103_2012-2019" xfId="12916"/>
    <cellStyle name="Notiz 104_2012-2019" xfId="12917"/>
    <cellStyle name="Notiz 105_2012-2019" xfId="12918"/>
    <cellStyle name="Notiz 106_2012-2019" xfId="12919"/>
    <cellStyle name="Notiz 107_2012-2019" xfId="12920"/>
    <cellStyle name="Notiz 108_2012-2019" xfId="12921"/>
    <cellStyle name="Notiz 109_2012-2019" xfId="12922"/>
    <cellStyle name="Notiz 11_2012-2019" xfId="12923"/>
    <cellStyle name="Notiz 110_2012-2019" xfId="12924"/>
    <cellStyle name="Notiz 111_2012-2019" xfId="12925"/>
    <cellStyle name="Notiz 112_2012-2019" xfId="12926"/>
    <cellStyle name="Notiz 113_2012-2019" xfId="12927"/>
    <cellStyle name="Notiz 114_2012-2019" xfId="12928"/>
    <cellStyle name="Notiz 115_2012-2019" xfId="12929"/>
    <cellStyle name="Notiz 116_2012-2019" xfId="12930"/>
    <cellStyle name="Notiz 117_2012-2019" xfId="12931"/>
    <cellStyle name="Notiz 118_2012-2019" xfId="12932"/>
    <cellStyle name="Notiz 119_2012-2019" xfId="12933"/>
    <cellStyle name="Notiz 12_2012-2019" xfId="12934"/>
    <cellStyle name="Notiz 120_2012-2019" xfId="12935"/>
    <cellStyle name="Notiz 121_2012-2019" xfId="12936"/>
    <cellStyle name="Notiz 122_2012-2019" xfId="12937"/>
    <cellStyle name="Notiz 123_2012-2019" xfId="12938"/>
    <cellStyle name="Notiz 124_2012-2019" xfId="12939"/>
    <cellStyle name="Notiz 125_2012-2019" xfId="12940"/>
    <cellStyle name="Notiz 126_2012-2019" xfId="12941"/>
    <cellStyle name="Notiz 127_2012-2019" xfId="12942"/>
    <cellStyle name="Notiz 128_2012-2019" xfId="12943"/>
    <cellStyle name="Notiz 129_2012-2019" xfId="12944"/>
    <cellStyle name="Notiz 13_2012-2019" xfId="12945"/>
    <cellStyle name="Notiz 130_2012-2019" xfId="12946"/>
    <cellStyle name="Notiz 131_2012-2019" xfId="12947"/>
    <cellStyle name="Notiz 132_2012-2019" xfId="12948"/>
    <cellStyle name="Notiz 133_2012-2019" xfId="12949"/>
    <cellStyle name="Notiz 134_2012-2019" xfId="12950"/>
    <cellStyle name="Notiz 135_2012-2019" xfId="12951"/>
    <cellStyle name="Notiz 136_2012-2019" xfId="12952"/>
    <cellStyle name="Notiz 137_2012-2019" xfId="12953"/>
    <cellStyle name="Notiz 138_2012-2019" xfId="12954"/>
    <cellStyle name="Notiz 139_2012-2019" xfId="12955"/>
    <cellStyle name="Notiz 14_2012-2019" xfId="12956"/>
    <cellStyle name="Notiz 140_2012-2019" xfId="12957"/>
    <cellStyle name="Notiz 141_2012-2019" xfId="12958"/>
    <cellStyle name="Notiz 142_2012-2019" xfId="12959"/>
    <cellStyle name="Notiz 143_2012-2019" xfId="12960"/>
    <cellStyle name="Notiz 144_2012-2019" xfId="12961"/>
    <cellStyle name="Notiz 145_2012-2019" xfId="12962"/>
    <cellStyle name="Notiz 146_2012-2019" xfId="12963"/>
    <cellStyle name="Notiz 147_2012-2019" xfId="12964"/>
    <cellStyle name="Notiz 148_2012-2019" xfId="12965"/>
    <cellStyle name="Notiz 149_2012-2019" xfId="12966"/>
    <cellStyle name="Notiz 15_2012-2019" xfId="12967"/>
    <cellStyle name="Notiz 15 2_2012-2019" xfId="12968"/>
    <cellStyle name="Notiz 150_2012-2019" xfId="12969"/>
    <cellStyle name="Notiz 151_2012-2019" xfId="12970"/>
    <cellStyle name="Notiz 16_2012-2019" xfId="12971"/>
    <cellStyle name="Notiz 16 2_2012-2019" xfId="12972"/>
    <cellStyle name="Notiz 17_2012-2019" xfId="12973"/>
    <cellStyle name="Notiz 17 2_2012-2019" xfId="12974"/>
    <cellStyle name="Notiz 18_2012-2019" xfId="12975"/>
    <cellStyle name="Notiz 18 2_2012-2019" xfId="12976"/>
    <cellStyle name="Notiz 19_2012-2019" xfId="12977"/>
    <cellStyle name="Notiz 19 2_2012-2019" xfId="12978"/>
    <cellStyle name="Notiz 2_2012-2019" xfId="12979"/>
    <cellStyle name="Notiz 2 2_2012-2019" xfId="12980"/>
    <cellStyle name="Notiz 2 3_2012-2019" xfId="12981"/>
    <cellStyle name="Notiz 2 4_2012-2019" xfId="12982"/>
    <cellStyle name="Notiz 20_2012-2019" xfId="12983"/>
    <cellStyle name="Notiz 20 2_2012-2019" xfId="12984"/>
    <cellStyle name="Notiz 21_2012-2019" xfId="12985"/>
    <cellStyle name="Notiz 21 2_2012-2019" xfId="12986"/>
    <cellStyle name="Notiz 22_2012-2019" xfId="12987"/>
    <cellStyle name="Notiz 22 2_2012-2019" xfId="12988"/>
    <cellStyle name="Notiz 23_2012-2019" xfId="12989"/>
    <cellStyle name="Notiz 23 2_2012-2019" xfId="12990"/>
    <cellStyle name="Notiz 24_2012-2019" xfId="12991"/>
    <cellStyle name="Notiz 24 2_2012-2019" xfId="12992"/>
    <cellStyle name="Notiz 25_2012-2019" xfId="12993"/>
    <cellStyle name="Notiz 25 2_2012-2019" xfId="12994"/>
    <cellStyle name="Notiz 26_2012-2019" xfId="12995"/>
    <cellStyle name="Notiz 26 2_2012-2019" xfId="12996"/>
    <cellStyle name="Notiz 27_2012-2019" xfId="12997"/>
    <cellStyle name="Notiz 27 2_2012-2019" xfId="12998"/>
    <cellStyle name="Notiz 28_2012-2019" xfId="12999"/>
    <cellStyle name="Notiz 28 2_2012-2019" xfId="13000"/>
    <cellStyle name="Notiz 29_2012-2019" xfId="13001"/>
    <cellStyle name="Notiz 29 2_2012-2019" xfId="13002"/>
    <cellStyle name="Notiz 3_2012-2019" xfId="13003"/>
    <cellStyle name="Notiz 3 2_2012-2019" xfId="13004"/>
    <cellStyle name="Notiz 3 3_2012-2019" xfId="13005"/>
    <cellStyle name="Notiz 3 4_2012-2019" xfId="13006"/>
    <cellStyle name="Notiz 30_2012-2019" xfId="13007"/>
    <cellStyle name="Notiz 30 2_2012-2019" xfId="13008"/>
    <cellStyle name="Notiz 31_2012-2019" xfId="13009"/>
    <cellStyle name="Notiz 31 2_2012-2019" xfId="13010"/>
    <cellStyle name="Notiz 32_2012-2019" xfId="13011"/>
    <cellStyle name="Notiz 32 2_2012-2019" xfId="13012"/>
    <cellStyle name="Notiz 33_2012-2019" xfId="13013"/>
    <cellStyle name="Notiz 33 2_2012-2019" xfId="13014"/>
    <cellStyle name="Notiz 34_2012-2019" xfId="13015"/>
    <cellStyle name="Notiz 34 2_2012-2019" xfId="13016"/>
    <cellStyle name="Notiz 35_2012-2019" xfId="13017"/>
    <cellStyle name="Notiz 35 2_2012-2019" xfId="13018"/>
    <cellStyle name="Notiz 36_2012-2019" xfId="13019"/>
    <cellStyle name="Notiz 36 2_2012-2019" xfId="13020"/>
    <cellStyle name="Notiz 37_2012-2019" xfId="13021"/>
    <cellStyle name="Notiz 37 2_2012-2019" xfId="13022"/>
    <cellStyle name="Notiz 38_2012-2019" xfId="13023"/>
    <cellStyle name="Notiz 38 2_2012-2019" xfId="13024"/>
    <cellStyle name="Notiz 39_2012-2019" xfId="13025"/>
    <cellStyle name="Notiz 39 2_2012-2019" xfId="13026"/>
    <cellStyle name="Notiz 4_2012-2019" xfId="13027"/>
    <cellStyle name="Notiz 4 2_2012-2019" xfId="13028"/>
    <cellStyle name="Notiz 4 3_2012-2019" xfId="13029"/>
    <cellStyle name="Notiz 4 4_2012-2019" xfId="13030"/>
    <cellStyle name="Notiz 40_2012-2019" xfId="13031"/>
    <cellStyle name="Notiz 40 2_2012-2019" xfId="13032"/>
    <cellStyle name="Notiz 41_2012-2019" xfId="13033"/>
    <cellStyle name="Notiz 41 2_2012-2019" xfId="13034"/>
    <cellStyle name="Notiz 42_2012-2019" xfId="13035"/>
    <cellStyle name="Notiz 42 2_2012-2019" xfId="13036"/>
    <cellStyle name="Notiz 43_2012-2019" xfId="13037"/>
    <cellStyle name="Notiz 43 2_2012-2019" xfId="13038"/>
    <cellStyle name="Notiz 44_2012-2019" xfId="13039"/>
    <cellStyle name="Notiz 44 2_2012-2019" xfId="13040"/>
    <cellStyle name="Notiz 45_2012-2019" xfId="13041"/>
    <cellStyle name="Notiz 45 2_2012-2019" xfId="13042"/>
    <cellStyle name="Notiz 46_2012-2019" xfId="13043"/>
    <cellStyle name="Notiz 46 2_2012-2019" xfId="13044"/>
    <cellStyle name="Notiz 47_2012-2019" xfId="13045"/>
    <cellStyle name="Notiz 47 2_2012-2019" xfId="13046"/>
    <cellStyle name="Notiz 48_2012-2019" xfId="13047"/>
    <cellStyle name="Notiz 48 2_2012-2019" xfId="13048"/>
    <cellStyle name="Notiz 49_2012-2019" xfId="13049"/>
    <cellStyle name="Notiz 49 2_2012-2019" xfId="13050"/>
    <cellStyle name="Notiz 5_2012-2019" xfId="13051"/>
    <cellStyle name="Notiz 5 2_2012-2019" xfId="13052"/>
    <cellStyle name="Notiz 5 3_2012-2019" xfId="13053"/>
    <cellStyle name="Notiz 5 4_2012-2019" xfId="13054"/>
    <cellStyle name="Notiz 50_2012-2019" xfId="13055"/>
    <cellStyle name="Notiz 50 2_2012-2019" xfId="13056"/>
    <cellStyle name="Notiz 51_2012-2019" xfId="13057"/>
    <cellStyle name="Notiz 51 2_2012-2019" xfId="13058"/>
    <cellStyle name="Notiz 52_2012-2019" xfId="13059"/>
    <cellStyle name="Notiz 52 2_2012-2019" xfId="13060"/>
    <cellStyle name="Notiz 53_2012-2019" xfId="13061"/>
    <cellStyle name="Notiz 53 2_2012-2019" xfId="13062"/>
    <cellStyle name="Notiz 54_2012-2019" xfId="13063"/>
    <cellStyle name="Notiz 54 2_2012-2019" xfId="13064"/>
    <cellStyle name="Notiz 55_2012-2019" xfId="13065"/>
    <cellStyle name="Notiz 55 2_2012-2019" xfId="13066"/>
    <cellStyle name="Notiz 56_2012-2019" xfId="13067"/>
    <cellStyle name="Notiz 56 2_2012-2019" xfId="13068"/>
    <cellStyle name="Notiz 57_2012-2019" xfId="13069"/>
    <cellStyle name="Notiz 57 2_2012-2019" xfId="13070"/>
    <cellStyle name="Notiz 58_2012-2019" xfId="13071"/>
    <cellStyle name="Notiz 58 2_2012-2019" xfId="13072"/>
    <cellStyle name="Notiz 59_2012-2019" xfId="13073"/>
    <cellStyle name="Notiz 59 2_2012-2019" xfId="13074"/>
    <cellStyle name="Notiz 6_2012-2019" xfId="13075"/>
    <cellStyle name="Notiz 60_2012-2019" xfId="13076"/>
    <cellStyle name="Notiz 60 2_2012-2019" xfId="13077"/>
    <cellStyle name="Notiz 61_2012-2019" xfId="13078"/>
    <cellStyle name="Notiz 61 2_2012-2019" xfId="13079"/>
    <cellStyle name="Notiz 62_2012-2019" xfId="13080"/>
    <cellStyle name="Notiz 62 2_2012-2019" xfId="13081"/>
    <cellStyle name="Notiz 63_2012-2019" xfId="13082"/>
    <cellStyle name="Notiz 63 2_2012-2019" xfId="13083"/>
    <cellStyle name="Notiz 64_2012-2019" xfId="13084"/>
    <cellStyle name="Notiz 64 2_2012-2019" xfId="13085"/>
    <cellStyle name="Notiz 65_2012-2019" xfId="13086"/>
    <cellStyle name="Notiz 65 2_2012-2019" xfId="13087"/>
    <cellStyle name="Notiz 66_2012-2019" xfId="13088"/>
    <cellStyle name="Notiz 66 2_2012-2019" xfId="13089"/>
    <cellStyle name="Notiz 67_2012-2019" xfId="13090"/>
    <cellStyle name="Notiz 67 2_2012-2019" xfId="13091"/>
    <cellStyle name="Notiz 68_2012-2019" xfId="13092"/>
    <cellStyle name="Notiz 68 2_2012-2019" xfId="13093"/>
    <cellStyle name="Notiz 69_2012-2019" xfId="13094"/>
    <cellStyle name="Notiz 69 2_2012-2019" xfId="13095"/>
    <cellStyle name="Notiz 7_2012-2019" xfId="13096"/>
    <cellStyle name="Notiz 70_2012-2019" xfId="13097"/>
    <cellStyle name="Notiz 70 2_2012-2019" xfId="13098"/>
    <cellStyle name="Notiz 71_2012-2019" xfId="13099"/>
    <cellStyle name="Notiz 71 2_2012-2019" xfId="13100"/>
    <cellStyle name="Notiz 72_2012-2019" xfId="13101"/>
    <cellStyle name="Notiz 72 2_2012-2019" xfId="13102"/>
    <cellStyle name="Notiz 73_2012-2019" xfId="13103"/>
    <cellStyle name="Notiz 73 2_2012-2019" xfId="13104"/>
    <cellStyle name="Notiz 74_2012-2019" xfId="13105"/>
    <cellStyle name="Notiz 74 2_2012-2019" xfId="13106"/>
    <cellStyle name="Notiz 75_2012-2019" xfId="13107"/>
    <cellStyle name="Notiz 75 2_2012-2019" xfId="13108"/>
    <cellStyle name="Notiz 76_2012-2019" xfId="13109"/>
    <cellStyle name="Notiz 76 2_2012-2019" xfId="13110"/>
    <cellStyle name="Notiz 77_2012-2019" xfId="13111"/>
    <cellStyle name="Notiz 77 2_2012-2019" xfId="13112"/>
    <cellStyle name="Notiz 78_2012-2019" xfId="13113"/>
    <cellStyle name="Notiz 78 2_2012-2019" xfId="13114"/>
    <cellStyle name="Notiz 79_2012-2019" xfId="13115"/>
    <cellStyle name="Notiz 79 2_2012-2019" xfId="13116"/>
    <cellStyle name="Notiz 8_2012-2019" xfId="13117"/>
    <cellStyle name="Notiz 80_2012-2019" xfId="13118"/>
    <cellStyle name="Notiz 80 2_2012-2019" xfId="13119"/>
    <cellStyle name="Notiz 81_2012-2019" xfId="13120"/>
    <cellStyle name="Notiz 81 2_2012-2019" xfId="13121"/>
    <cellStyle name="Notiz 82_2012-2019" xfId="13122"/>
    <cellStyle name="Notiz 82 2_2012-2019" xfId="13123"/>
    <cellStyle name="Notiz 83_2012-2019" xfId="13124"/>
    <cellStyle name="Notiz 83 2_2012-2019" xfId="13125"/>
    <cellStyle name="Notiz 84_2012-2019" xfId="13126"/>
    <cellStyle name="Notiz 84 2_2012-2019" xfId="13127"/>
    <cellStyle name="Notiz 85_2012-2019" xfId="13128"/>
    <cellStyle name="Notiz 85 2_2012-2019" xfId="13129"/>
    <cellStyle name="Notiz 86_2012-2019" xfId="13130"/>
    <cellStyle name="Notiz 86 2_2012-2019" xfId="13131"/>
    <cellStyle name="Notiz 87_2012-2019" xfId="13132"/>
    <cellStyle name="Notiz 87 2_2012-2019" xfId="13133"/>
    <cellStyle name="Notiz 88_2012-2019" xfId="13134"/>
    <cellStyle name="Notiz 88 2_2012-2019" xfId="13135"/>
    <cellStyle name="Notiz 89_2012-2019" xfId="13136"/>
    <cellStyle name="Notiz 89 2_2012-2019" xfId="13137"/>
    <cellStyle name="Notiz 9_2012-2019" xfId="13138"/>
    <cellStyle name="Notiz 90_2012-2019" xfId="13139"/>
    <cellStyle name="Notiz 90 2_2012-2019" xfId="13140"/>
    <cellStyle name="Notiz 91_2012-2019" xfId="13141"/>
    <cellStyle name="Notiz 92_2012-2019" xfId="13142"/>
    <cellStyle name="Notiz 93_2012-2019" xfId="13143"/>
    <cellStyle name="Notiz 94_2012-2019" xfId="13144"/>
    <cellStyle name="Notiz 95_2012-2019" xfId="13145"/>
    <cellStyle name="Notiz 96_2012-2019" xfId="13146"/>
    <cellStyle name="Notiz 97_2012-2019" xfId="13147"/>
    <cellStyle name="Notiz 98_2012-2019" xfId="13148"/>
    <cellStyle name="Notiz 99_2012-2019" xfId="13149"/>
    <cellStyle name="Prozent 2_2012-2019" xfId="13150"/>
    <cellStyle name="Prozent 3_2012-2019" xfId="13151"/>
    <cellStyle name="Schlecht_2012-2019" xfId="13152"/>
    <cellStyle name="Schlecht 10_2012-2019" xfId="13153"/>
    <cellStyle name="Schlecht 11_2012-2019" xfId="13154"/>
    <cellStyle name="Schlecht 12_2012-2019" xfId="13155"/>
    <cellStyle name="Schlecht 13_2012-2019" xfId="13156"/>
    <cellStyle name="Schlecht 14_2012-2019" xfId="13157"/>
    <cellStyle name="Schlecht 2_2012-2019" xfId="13158"/>
    <cellStyle name="Schlecht 3_2012-2019" xfId="13159"/>
    <cellStyle name="Schlecht 4_2012-2019" xfId="13160"/>
    <cellStyle name="Schlecht 5_2012-2019" xfId="13161"/>
    <cellStyle name="Schlecht 6_2012-2019" xfId="13162"/>
    <cellStyle name="Schlecht 7_2012-2019" xfId="13163"/>
    <cellStyle name="Schlecht 8_2012-2019" xfId="13164"/>
    <cellStyle name="Schlecht 9_2012-2019" xfId="13165"/>
    <cellStyle name="Standard 10_2012-2019" xfId="13166"/>
    <cellStyle name="Standard 10 4_2012-2019" xfId="13167"/>
    <cellStyle name="Standard 10 4 2_2012-2019" xfId="13168"/>
    <cellStyle name="Standard 10 4 3_2012-2019" xfId="13169"/>
    <cellStyle name="Standard 10 5_2012-2019" xfId="13170"/>
    <cellStyle name="Standard 11_2012-2019" xfId="13171"/>
    <cellStyle name="Standard 11 2_2012-2019" xfId="13172"/>
    <cellStyle name="Standard 11 4_2012-2019" xfId="13173"/>
    <cellStyle name="Standard 12_2012-2019" xfId="13174"/>
    <cellStyle name="Standard 12 4_2012-2019" xfId="13175"/>
    <cellStyle name="Standard 12 4 2_2012-2019" xfId="13176"/>
    <cellStyle name="Standard 13_2012-2019" xfId="13177"/>
    <cellStyle name="Standard 13 4_2012-2019" xfId="13178"/>
    <cellStyle name="Standard 13 4 2_2012-2019" xfId="13179"/>
    <cellStyle name="Standard 14_2012-2019" xfId="13180"/>
    <cellStyle name="Standard 15_2012-2019" xfId="13181"/>
    <cellStyle name="Standard 15 3_2012-2019" xfId="13182"/>
    <cellStyle name="Standard 16_2012-2019" xfId="13183"/>
    <cellStyle name="Standard 16 2_2012-2019" xfId="13184"/>
    <cellStyle name="Standard 17_2012-2019" xfId="13185"/>
    <cellStyle name="Standard 17 2_2012-2019" xfId="13186"/>
    <cellStyle name="Standard 18_2012-2019" xfId="13187"/>
    <cellStyle name="Standard 18 2_2012-2019" xfId="13188"/>
    <cellStyle name="Standard 19_2012-2019" xfId="13189"/>
    <cellStyle name="Standard 19 2_2012-2019" xfId="13190"/>
    <cellStyle name="Standard 2_2012-2019" xfId="13191"/>
    <cellStyle name="Standard 2 2_2012-2019" xfId="13192"/>
    <cellStyle name="Standard 2 2 2_2012-2019" xfId="13193"/>
    <cellStyle name="Standard 2 3_2012-2019" xfId="13194"/>
    <cellStyle name="Standard 2 3 2_2012-2019" xfId="13195"/>
    <cellStyle name="Standard 2 4_2012-2019" xfId="13196"/>
    <cellStyle name="Standard 2 4 2_2012-2019" xfId="13197"/>
    <cellStyle name="Standard 2 5_2012-2019" xfId="13198"/>
    <cellStyle name="Standard 2 6_2012-2019" xfId="13199"/>
    <cellStyle name="Standard 2 6 2_2012-2019" xfId="13200"/>
    <cellStyle name="Standard 20_2012-2019" xfId="13201"/>
    <cellStyle name="Standard 20 2_2012-2019" xfId="13202"/>
    <cellStyle name="Standard 21_2012-2019" xfId="13203"/>
    <cellStyle name="Standard 21 2_2012-2019" xfId="13204"/>
    <cellStyle name="Standard 22_2012-2019" xfId="13205"/>
    <cellStyle name="Standard 22 2_2012-2019" xfId="13206"/>
    <cellStyle name="Standard 23_2012-2019" xfId="13207"/>
    <cellStyle name="Standard 23 2_2012-2019" xfId="13208"/>
    <cellStyle name="Standard 24_2012-2019" xfId="13209"/>
    <cellStyle name="Standard 24 2_2012-2019" xfId="13210"/>
    <cellStyle name="Standard 25_2012-2019" xfId="13211"/>
    <cellStyle name="Standard 25 2_2012-2019" xfId="13212"/>
    <cellStyle name="Standard 26_2012-2019" xfId="13213"/>
    <cellStyle name="Standard 26 2_2012-2019" xfId="13214"/>
    <cellStyle name="Standard 27_2012-2019" xfId="13215"/>
    <cellStyle name="Standard 27 2_2012-2019" xfId="13216"/>
    <cellStyle name="Standard 28_2012-2019" xfId="13217"/>
    <cellStyle name="Standard 28 2_2012-2019" xfId="13218"/>
    <cellStyle name="Standard 29_2012-2019" xfId="13219"/>
    <cellStyle name="Standard 29 2_2012-2019" xfId="13220"/>
    <cellStyle name="Standard 3_2012-2019" xfId="13221"/>
    <cellStyle name="Standard 3 4_2012-2019" xfId="13222"/>
    <cellStyle name="Standard 30_2012-2019" xfId="13223"/>
    <cellStyle name="Standard 30 2_2012-2019" xfId="13224"/>
    <cellStyle name="Standard 31_2012-2019" xfId="13225"/>
    <cellStyle name="Standard 31 2_2012-2019" xfId="13226"/>
    <cellStyle name="Standard 32_2012-2019" xfId="13227"/>
    <cellStyle name="Standard 32 2_2012-2019" xfId="13228"/>
    <cellStyle name="Standard 33_2012-2019" xfId="13229"/>
    <cellStyle name="Standard 33 2_2012-2019" xfId="13230"/>
    <cellStyle name="Standard 34_2012-2019" xfId="13231"/>
    <cellStyle name="Standard 34 2_2012-2019" xfId="13232"/>
    <cellStyle name="Standard 35_2012-2019" xfId="13233"/>
    <cellStyle name="Standard 35 2_2012-2019" xfId="13234"/>
    <cellStyle name="Standard 36_2012-2019" xfId="13235"/>
    <cellStyle name="Standard 36 2_2012-2019" xfId="13236"/>
    <cellStyle name="Standard 37_2012-2019" xfId="13237"/>
    <cellStyle name="Standard 37 2_2012-2019" xfId="13238"/>
    <cellStyle name="Standard 38_2012-2019" xfId="13239"/>
    <cellStyle name="Standard 38 2_2012-2019" xfId="13240"/>
    <cellStyle name="Standard 39_2012-2019" xfId="13241"/>
    <cellStyle name="Standard 39 2_2012-2019" xfId="13242"/>
    <cellStyle name="Standard 4_2012-2019" xfId="13243"/>
    <cellStyle name="Standard 4 4_2012-2019" xfId="13244"/>
    <cellStyle name="Standard 40_2012-2019" xfId="13245"/>
    <cellStyle name="Standard 40 2_2012-2019" xfId="13246"/>
    <cellStyle name="Standard 41_2012-2019" xfId="13247"/>
    <cellStyle name="Standard 41 2_2012-2019" xfId="13248"/>
    <cellStyle name="Standard 42_2012-2019" xfId="13249"/>
    <cellStyle name="Standard 42 2_2012-2019" xfId="13250"/>
    <cellStyle name="Standard 43_2012-2019" xfId="13251"/>
    <cellStyle name="Standard 43 2_2012-2019" xfId="13252"/>
    <cellStyle name="Standard 44_2012-2019" xfId="13253"/>
    <cellStyle name="Standard 44 2_2012-2019" xfId="13254"/>
    <cellStyle name="Standard 45_2012-2019" xfId="13255"/>
    <cellStyle name="Standard 45 2_2012-2019" xfId="13256"/>
    <cellStyle name="Standard 46_2012-2019" xfId="13257"/>
    <cellStyle name="Standard 46 2_2012-2019" xfId="13258"/>
    <cellStyle name="Standard 47_2012-2019" xfId="13259"/>
    <cellStyle name="Standard 47 2_2012-2019" xfId="13260"/>
    <cellStyle name="Standard 48_2012-2019" xfId="13261"/>
    <cellStyle name="Standard 48 2_2012-2019" xfId="13262"/>
    <cellStyle name="Standard 49_2012-2019" xfId="13263"/>
    <cellStyle name="Standard 49 2_2012-2019" xfId="13264"/>
    <cellStyle name="Standard 5_2012-2019" xfId="13265"/>
    <cellStyle name="Standard 5 4_2012-2019" xfId="13266"/>
    <cellStyle name="Standard 50_2012-2019" xfId="13267"/>
    <cellStyle name="Standard 50 2_2012-2019" xfId="13268"/>
    <cellStyle name="Standard 51_2012-2019" xfId="13269"/>
    <cellStyle name="Standard 51 2_2012-2019" xfId="13270"/>
    <cellStyle name="Standard 52_2012-2019" xfId="13271"/>
    <cellStyle name="Standard 52 2_2012-2019" xfId="13272"/>
    <cellStyle name="Standard 53_2012-2019" xfId="13273"/>
    <cellStyle name="Standard 53 2_2012-2019" xfId="13274"/>
    <cellStyle name="Standard 54_2012-2019" xfId="13275"/>
    <cellStyle name="Standard 54 2_2012-2019" xfId="13276"/>
    <cellStyle name="Standard 56_2012-2019" xfId="13277"/>
    <cellStyle name="Standard 56 2_2012-2019" xfId="13278"/>
    <cellStyle name="Standard 57_2012-2019" xfId="13279"/>
    <cellStyle name="Standard 57 2_2012-2019" xfId="13280"/>
    <cellStyle name="Standard 58_2012-2019" xfId="13281"/>
    <cellStyle name="Standard 58 2_2012-2019" xfId="13282"/>
    <cellStyle name="Standard 59_2012-2019" xfId="13283"/>
    <cellStyle name="Standard 59 2_2012-2019" xfId="13284"/>
    <cellStyle name="Standard 6_2012-2019" xfId="13285"/>
    <cellStyle name="Standard 6 4_2012-2019" xfId="13286"/>
    <cellStyle name="Standard 60_2012-2019" xfId="13287"/>
    <cellStyle name="Standard 60 2_2012-2019" xfId="13288"/>
    <cellStyle name="Standard 61_2012-2019" xfId="13289"/>
    <cellStyle name="Standard 61 2_2012-2019" xfId="13290"/>
    <cellStyle name="Standard 62_2012-2019" xfId="13291"/>
    <cellStyle name="Standard 62 2_2012-2019" xfId="13292"/>
    <cellStyle name="Standard 63_2012-2019" xfId="13293"/>
    <cellStyle name="Standard 63 2_2012-2019" xfId="13294"/>
    <cellStyle name="Standard 64_2012-2019" xfId="13295"/>
    <cellStyle name="Standard 64 2_2012-2019" xfId="13296"/>
    <cellStyle name="Standard 65_2012-2019" xfId="13297"/>
    <cellStyle name="Standard 65 2_2012-2019" xfId="13298"/>
    <cellStyle name="Standard 66_2012-2019" xfId="13299"/>
    <cellStyle name="Standard 66 2_2012-2019" xfId="13300"/>
    <cellStyle name="Standard 67_2012-2019" xfId="13301"/>
    <cellStyle name="Standard 67 2_2012-2019" xfId="13302"/>
    <cellStyle name="Standard 68_2012-2019" xfId="13303"/>
    <cellStyle name="Standard 68 2_2012-2019" xfId="13304"/>
    <cellStyle name="Standard 7_2012-2019" xfId="13305"/>
    <cellStyle name="Standard 7 4_2012-2019" xfId="13306"/>
    <cellStyle name="Standard 70_2012-2019" xfId="13307"/>
    <cellStyle name="Standard 70 2_2012-2019" xfId="13308"/>
    <cellStyle name="Standard 71_2012-2019" xfId="13309"/>
    <cellStyle name="Standard 71 2_2012-2019" xfId="13310"/>
    <cellStyle name="Standard 72_2012-2019" xfId="13311"/>
    <cellStyle name="Standard 72 2_2012-2019" xfId="13312"/>
    <cellStyle name="Standard 73_2012-2019" xfId="13313"/>
    <cellStyle name="Standard 73 2_2012-2019" xfId="13314"/>
    <cellStyle name="Standard 74_2012-2019" xfId="13315"/>
    <cellStyle name="Standard 74 2_2012-2019" xfId="13316"/>
    <cellStyle name="Standard 75_2012-2019" xfId="13317"/>
    <cellStyle name="Standard 75 2_2012-2019" xfId="13318"/>
    <cellStyle name="Standard 76_2012-2019" xfId="13319"/>
    <cellStyle name="Standard 76 2_2012-2019" xfId="13320"/>
    <cellStyle name="Standard 77_2012-2019" xfId="13321"/>
    <cellStyle name="Standard 77 2_2012-2019" xfId="13322"/>
    <cellStyle name="Standard 78_2012-2019" xfId="13323"/>
    <cellStyle name="Standard 78 2_2012-2019" xfId="13324"/>
    <cellStyle name="Standard 79_2012-2019" xfId="13325"/>
    <cellStyle name="Standard 79 2_2012-2019" xfId="13326"/>
    <cellStyle name="Standard 8_2012-2019" xfId="13327"/>
    <cellStyle name="Standard 8 4_2012-2019" xfId="13328"/>
    <cellStyle name="Standard 80_2012-2019" xfId="13329"/>
    <cellStyle name="Standard 80 2_2012-2019" xfId="13330"/>
    <cellStyle name="Standard 81_2012-2019" xfId="13331"/>
    <cellStyle name="Standard 81 2_2012-2019" xfId="13332"/>
    <cellStyle name="Standard 82_2012-2019" xfId="13333"/>
    <cellStyle name="Standard 82 2_2012-2019" xfId="13334"/>
    <cellStyle name="Standard 83_2012-2019" xfId="13335"/>
    <cellStyle name="Standard 83 2_2012-2019" xfId="13336"/>
    <cellStyle name="Standard 84_2012-2019" xfId="13337"/>
    <cellStyle name="Standard 84 2_2012-2019" xfId="13338"/>
    <cellStyle name="Standard 85_2012-2019" xfId="13339"/>
    <cellStyle name="Standard 85 2_2012-2019" xfId="13340"/>
    <cellStyle name="Standard 86_2012-2019" xfId="13341"/>
    <cellStyle name="Standard 86 2_2012-2019" xfId="13342"/>
    <cellStyle name="Standard 87_2012-2019" xfId="13343"/>
    <cellStyle name="Standard 87 2_2012-2019" xfId="13344"/>
    <cellStyle name="Standard 88_2012-2019" xfId="13345"/>
    <cellStyle name="Standard 88 2_2012-2019" xfId="13346"/>
    <cellStyle name="Standard 89_2012-2019" xfId="13347"/>
    <cellStyle name="Standard 89 2_2012-2019" xfId="13348"/>
    <cellStyle name="Standard 9_2012-2019" xfId="13349"/>
    <cellStyle name="Standard 9 4_2012-2019" xfId="13350"/>
    <cellStyle name="Standard 90_2012-2019" xfId="13351"/>
    <cellStyle name="Standard 90 2_2012-2019" xfId="13352"/>
    <cellStyle name="Standard 93_2012-2019" xfId="13353"/>
    <cellStyle name="Tabelle Text 10_2012-2019" xfId="13354"/>
    <cellStyle name="Tabelle Text 11_2012-2019" xfId="13355"/>
    <cellStyle name="Tabelle Text 12_2012-2019" xfId="13356"/>
    <cellStyle name="Tabelle Text 8_2012-2019" xfId="13357"/>
    <cellStyle name="Tabelle Text 9_2012-2019" xfId="13358"/>
    <cellStyle name="Tabelle Zahl 2 10_2012-2019" xfId="13359"/>
    <cellStyle name="Überschrift_2012-2019" xfId="13360"/>
    <cellStyle name="Überschrift 1_2012-2019" xfId="13361"/>
    <cellStyle name="Überschrift 1 10_2012-2019" xfId="13362"/>
    <cellStyle name="Überschrift 1 11_2012-2019" xfId="13363"/>
    <cellStyle name="Überschrift 1 12_2012-2019" xfId="13364"/>
    <cellStyle name="Überschrift 1 13_2012-2019" xfId="13365"/>
    <cellStyle name="Überschrift 1 14_2012-2019" xfId="13366"/>
    <cellStyle name="Überschrift 1 2_2012-2019" xfId="13367"/>
    <cellStyle name="Überschrift 1 3_2012-2019" xfId="13368"/>
    <cellStyle name="Überschrift 1 4_2012-2019" xfId="13369"/>
    <cellStyle name="Überschrift 1 5_2012-2019" xfId="13370"/>
    <cellStyle name="Überschrift 1 6_2012-2019" xfId="13371"/>
    <cellStyle name="Überschrift 1 7_2012-2019" xfId="13372"/>
    <cellStyle name="Überschrift 1 8_2012-2019" xfId="13373"/>
    <cellStyle name="Überschrift 1 9_2012-2019" xfId="13374"/>
    <cellStyle name="Überschrift 10_2012-2019" xfId="13375"/>
    <cellStyle name="Überschrift 11_2012-2019" xfId="13376"/>
    <cellStyle name="Überschrift 12_2012-2019" xfId="13377"/>
    <cellStyle name="Überschrift 13_2012-2019" xfId="13378"/>
    <cellStyle name="Überschrift 14_2012-2019" xfId="13379"/>
    <cellStyle name="Überschrift 15_2012-2019" xfId="13380"/>
    <cellStyle name="Überschrift 16_2012-2019" xfId="13381"/>
    <cellStyle name="Überschrift 17_2012-2019" xfId="13382"/>
    <cellStyle name="Überschrift 2_2012-2019" xfId="13383"/>
    <cellStyle name="Überschrift 2 10_2012-2019" xfId="13384"/>
    <cellStyle name="Überschrift 2 11_2012-2019" xfId="13385"/>
    <cellStyle name="Überschrift 2 12_2012-2019" xfId="13386"/>
    <cellStyle name="Überschrift 2 13_2012-2019" xfId="13387"/>
    <cellStyle name="Überschrift 2 14_2012-2019" xfId="13388"/>
    <cellStyle name="Überschrift 2 2_2012-2019" xfId="13389"/>
    <cellStyle name="Überschrift 2 3_2012-2019" xfId="13390"/>
    <cellStyle name="Überschrift 2 4_2012-2019" xfId="13391"/>
    <cellStyle name="Überschrift 2 5_2012-2019" xfId="13392"/>
    <cellStyle name="Überschrift 2 6_2012-2019" xfId="13393"/>
    <cellStyle name="Überschrift 2 7_2012-2019" xfId="13394"/>
    <cellStyle name="Überschrift 2 8_2012-2019" xfId="13395"/>
    <cellStyle name="Überschrift 2 9_2012-2019" xfId="13396"/>
    <cellStyle name="Überschrift 3_2012-2019" xfId="13397"/>
    <cellStyle name="Überschrift 3 10_2012-2019" xfId="13398"/>
    <cellStyle name="Überschrift 3 11_2012-2019" xfId="13399"/>
    <cellStyle name="Überschrift 3 12_2012-2019" xfId="13400"/>
    <cellStyle name="Überschrift 3 13_2012-2019" xfId="13401"/>
    <cellStyle name="Überschrift 3 14_2012-2019" xfId="13402"/>
    <cellStyle name="Überschrift 3 2_2012-2019" xfId="13403"/>
    <cellStyle name="Überschrift 3 3_2012-2019" xfId="13404"/>
    <cellStyle name="Überschrift 3 4_2012-2019" xfId="13405"/>
    <cellStyle name="Überschrift 3 5_2012-2019" xfId="13406"/>
    <cellStyle name="Überschrift 3 6_2012-2019" xfId="13407"/>
    <cellStyle name="Überschrift 3 7_2012-2019" xfId="13408"/>
    <cellStyle name="Überschrift 3 8_2012-2019" xfId="13409"/>
    <cellStyle name="Überschrift 3 9_2012-2019" xfId="13410"/>
    <cellStyle name="Überschrift 4_2012-2019" xfId="13411"/>
    <cellStyle name="Überschrift 4 10_2012-2019" xfId="13412"/>
    <cellStyle name="Überschrift 4 11_2012-2019" xfId="13413"/>
    <cellStyle name="Überschrift 4 12_2012-2019" xfId="13414"/>
    <cellStyle name="Überschrift 4 13_2012-2019" xfId="13415"/>
    <cellStyle name="Überschrift 4 14_2012-2019" xfId="13416"/>
    <cellStyle name="Überschrift 4 2_2012-2019" xfId="13417"/>
    <cellStyle name="Überschrift 4 3_2012-2019" xfId="13418"/>
    <cellStyle name="Überschrift 4 4_2012-2019" xfId="13419"/>
    <cellStyle name="Überschrift 4 5_2012-2019" xfId="13420"/>
    <cellStyle name="Überschrift 4 6_2012-2019" xfId="13421"/>
    <cellStyle name="Überschrift 4 7_2012-2019" xfId="13422"/>
    <cellStyle name="Überschrift 4 8_2012-2019" xfId="13423"/>
    <cellStyle name="Überschrift 4 9_2012-2019" xfId="13424"/>
    <cellStyle name="Überschrift 5_2012-2019" xfId="13425"/>
    <cellStyle name="Überschrift 6_2012-2019" xfId="13426"/>
    <cellStyle name="Überschrift 7_2012-2019" xfId="13427"/>
    <cellStyle name="Überschrift 8_2012-2019" xfId="13428"/>
    <cellStyle name="Überschrift 9_2012-2019" xfId="13429"/>
    <cellStyle name="Verknüpfte Zelle_2012-2019" xfId="13430"/>
    <cellStyle name="Verknüpfte Zelle 10_2012-2019" xfId="13431"/>
    <cellStyle name="Verknüpfte Zelle 11_2012-2019" xfId="13432"/>
    <cellStyle name="Verknüpfte Zelle 12_2012-2019" xfId="13433"/>
    <cellStyle name="Verknüpfte Zelle 13_2012-2019" xfId="13434"/>
    <cellStyle name="Verknüpfte Zelle 14_2012-2019" xfId="13435"/>
    <cellStyle name="Verknüpfte Zelle 2_2012-2019" xfId="13436"/>
    <cellStyle name="Verknüpfte Zelle 3_2012-2019" xfId="13437"/>
    <cellStyle name="Verknüpfte Zelle 4_2012-2019" xfId="13438"/>
    <cellStyle name="Verknüpfte Zelle 5_2012-2019" xfId="13439"/>
    <cellStyle name="Verknüpfte Zelle 6_2012-2019" xfId="13440"/>
    <cellStyle name="Verknüpfte Zelle 7_2012-2019" xfId="13441"/>
    <cellStyle name="Verknüpfte Zelle 8_2012-2019" xfId="13442"/>
    <cellStyle name="Verknüpfte Zelle 9_2012-2019" xfId="13443"/>
    <cellStyle name="Warnender Text_2012-2019" xfId="13444"/>
    <cellStyle name="Zelle überprüfen_2012-2019" xfId="13445"/>
    <cellStyle name="Normal 3 7" xfId="13446"/>
    <cellStyle name="Currency 2 2" xfId="13447"/>
    <cellStyle name="40% - Akzent2 70 2" xfId="13448"/>
    <cellStyle name="40% - Akzent2 71 2" xfId="13449"/>
    <cellStyle name="40% - Akzent2 72 2" xfId="13450"/>
    <cellStyle name="40% - Akzent2 73 2" xfId="13451"/>
    <cellStyle name="40% - Akzent2 74 2" xfId="13452"/>
    <cellStyle name="40% - Akzent2 75 2" xfId="13453"/>
    <cellStyle name="40% - Akzent2 76 2" xfId="13454"/>
    <cellStyle name="40% - Akzent2 77 2" xfId="13455"/>
    <cellStyle name="40% - Akzent2 78 2" xfId="13456"/>
    <cellStyle name="40% - Akzent2 79 2" xfId="13457"/>
    <cellStyle name="40% - Akzent2 8 2" xfId="13458"/>
    <cellStyle name="40% - Akzent2 80 2" xfId="13459"/>
    <cellStyle name="40% - Akzent2 81 2" xfId="13460"/>
    <cellStyle name="40% - Akzent2 82 2" xfId="13461"/>
    <cellStyle name="40% - Akzent2 83 2" xfId="13462"/>
    <cellStyle name="40% - Akzent2 84 2" xfId="13463"/>
    <cellStyle name="40% - Akzent2 85 2" xfId="13464"/>
    <cellStyle name="40% - Akzent2 86 2" xfId="13465"/>
    <cellStyle name="40% - Akzent2 87 2" xfId="13466"/>
    <cellStyle name="40% - Akzent2 88 2" xfId="13467"/>
    <cellStyle name="40% - Akzent2 89 2" xfId="13468"/>
    <cellStyle name="40% - Akzent2 9 2" xfId="13469"/>
    <cellStyle name="40% - Akzent2 90 2" xfId="13470"/>
    <cellStyle name="40% - Akzent2 91 2" xfId="13471"/>
    <cellStyle name="40% - Akzent2 92 2" xfId="13472"/>
    <cellStyle name="40% - Akzent2 93 2" xfId="13473"/>
    <cellStyle name="40% - Akzent2 94 2" xfId="13474"/>
    <cellStyle name="40% - Akzent2 95 2" xfId="13475"/>
    <cellStyle name="40% - Akzent2 96 2" xfId="13476"/>
    <cellStyle name="40% - Akzent2 97 2" xfId="13477"/>
    <cellStyle name="40% - Akzent2 98 2" xfId="13478"/>
    <cellStyle name="40% - Akzent2 99 2" xfId="13479"/>
    <cellStyle name="40% - Akzent3 10 3" xfId="13480"/>
    <cellStyle name="40% - Akzent3 10 2 2" xfId="13481"/>
    <cellStyle name="40% - Akzent3 100 3" xfId="13482"/>
    <cellStyle name="40% - Akzent3 100 2 2" xfId="13483"/>
    <cellStyle name="40% - Akzent3 101 3" xfId="13484"/>
    <cellStyle name="40% - Akzent3 101 2 2" xfId="13485"/>
    <cellStyle name="40% - Akzent3 102 3" xfId="13486"/>
    <cellStyle name="40% - Akzent3 102 2 2" xfId="13487"/>
    <cellStyle name="40% - Akzent3 103 3" xfId="13488"/>
    <cellStyle name="40% - Akzent3 103 2 2" xfId="13489"/>
    <cellStyle name="40% - Akzent3 104 3" xfId="13490"/>
    <cellStyle name="40% - Akzent3 104 2 2" xfId="13491"/>
    <cellStyle name="40% - Akzent3 105 3" xfId="13492"/>
    <cellStyle name="40% - Akzent3 105 2 2" xfId="13493"/>
    <cellStyle name="40% - Akzent3 106 3" xfId="13494"/>
    <cellStyle name="40% - Akzent3 106 2 2" xfId="13495"/>
    <cellStyle name="40% - Akzent3 107 3" xfId="13496"/>
    <cellStyle name="40% - Akzent3 107 2 2" xfId="13497"/>
    <cellStyle name="40% - Akzent3 108 3" xfId="13498"/>
    <cellStyle name="40% - Akzent3 108 2 2" xfId="13499"/>
    <cellStyle name="40% - Akzent3 109 3" xfId="13500"/>
    <cellStyle name="40% - Akzent3 109 2 2" xfId="13501"/>
    <cellStyle name="40% - Akzent3 11 3" xfId="13502"/>
    <cellStyle name="40% - Akzent3 11 2 2" xfId="13503"/>
    <cellStyle name="40% - Akzent3 110 3" xfId="13504"/>
    <cellStyle name="40% - Akzent3 110 2 2" xfId="13505"/>
    <cellStyle name="40% - Akzent3 111 3" xfId="13506"/>
    <cellStyle name="40% - Akzent3 111 2 2" xfId="13507"/>
    <cellStyle name="40% - Akzent3 112 3" xfId="13508"/>
    <cellStyle name="40% - Akzent3 112 2 2" xfId="13509"/>
    <cellStyle name="40% - Akzent3 113 3" xfId="13510"/>
    <cellStyle name="40% - Akzent3 113 2 2" xfId="13511"/>
    <cellStyle name="40% - Akzent3 114 3" xfId="13512"/>
    <cellStyle name="40% - Akzent3 114 2 2" xfId="13513"/>
    <cellStyle name="40% - Akzent3 115 3" xfId="13514"/>
    <cellStyle name="40% - Akzent3 115 2 2" xfId="13515"/>
    <cellStyle name="40% - Akzent3 116 3" xfId="13516"/>
    <cellStyle name="40% - Akzent3 116 2 2" xfId="13517"/>
    <cellStyle name="40% - Akzent3 117 3" xfId="13518"/>
    <cellStyle name="40% - Akzent3 117 2 2" xfId="13519"/>
    <cellStyle name="40% - Akzent3 118 3" xfId="13520"/>
    <cellStyle name="40% - Akzent3 118 2 2" xfId="13521"/>
    <cellStyle name="40% - Akzent3 119 3" xfId="13522"/>
    <cellStyle name="40% - Akzent3 119 2 2" xfId="13523"/>
    <cellStyle name="40% - Akzent3 12 3" xfId="13524"/>
    <cellStyle name="40% - Akzent3 12 2 2" xfId="13525"/>
    <cellStyle name="40% - Akzent3 120 3" xfId="13526"/>
    <cellStyle name="40% - Akzent3 120 2 2" xfId="13527"/>
    <cellStyle name="40% - Akzent3 121 3" xfId="13528"/>
    <cellStyle name="40% - Akzent3 121 2 2" xfId="13529"/>
    <cellStyle name="40% - Akzent3 122 3" xfId="13530"/>
    <cellStyle name="40% - Akzent3 122 2 2" xfId="13531"/>
    <cellStyle name="40% - Akzent3 123 3" xfId="13532"/>
    <cellStyle name="40% - Akzent3 123 2 2" xfId="13533"/>
    <cellStyle name="40% - Akzent3 124 3" xfId="13534"/>
    <cellStyle name="40% - Akzent3 124 2 2" xfId="13535"/>
    <cellStyle name="40% - Akzent3 125 3" xfId="13536"/>
    <cellStyle name="40% - Akzent3 125 2 2" xfId="13537"/>
    <cellStyle name="40% - Akzent3 126 3" xfId="13538"/>
    <cellStyle name="40% - Akzent3 126 2 2" xfId="13539"/>
    <cellStyle name="40% - Akzent3 127 3" xfId="13540"/>
    <cellStyle name="40% - Akzent3 127 2 2" xfId="13541"/>
    <cellStyle name="40% - Akzent3 128 3" xfId="13542"/>
    <cellStyle name="40% - Akzent3 128 2 2" xfId="13543"/>
    <cellStyle name="40% - Akzent3 129 3" xfId="13544"/>
    <cellStyle name="40% - Akzent3 129 2 2" xfId="13545"/>
    <cellStyle name="40% - Akzent3 13 3" xfId="13546"/>
    <cellStyle name="40% - Akzent3 13 2 2" xfId="13547"/>
    <cellStyle name="40% - Akzent3 130 3" xfId="13548"/>
    <cellStyle name="40% - Akzent3 130 2 2" xfId="13549"/>
    <cellStyle name="40% - Akzent3 131 3" xfId="13550"/>
    <cellStyle name="40% - Akzent3 131 2 2" xfId="13551"/>
    <cellStyle name="40% - Akzent3 132 3" xfId="13552"/>
    <cellStyle name="40% - Akzent3 132 2 2" xfId="13553"/>
    <cellStyle name="40% - Akzent3 133 3" xfId="13554"/>
    <cellStyle name="40% - Akzent3 133 2 2" xfId="13555"/>
    <cellStyle name="40% - Akzent3 134 3" xfId="13556"/>
    <cellStyle name="40% - Akzent3 134 2 2" xfId="13557"/>
    <cellStyle name="40% - Akzent3 135 3" xfId="13558"/>
    <cellStyle name="40% - Akzent3 135 2 2" xfId="13559"/>
    <cellStyle name="40% - Akzent3 136 3" xfId="13560"/>
    <cellStyle name="40% - Akzent3 136 2 2" xfId="13561"/>
    <cellStyle name="40% - Akzent3 137 3" xfId="13562"/>
    <cellStyle name="40% - Akzent3 137 2 2" xfId="13563"/>
    <cellStyle name="40% - Akzent3 138 3" xfId="13564"/>
    <cellStyle name="40% - Akzent3 138 2 2" xfId="13565"/>
    <cellStyle name="40% - Akzent3 139 3" xfId="13566"/>
    <cellStyle name="40% - Akzent3 139 2 2" xfId="13567"/>
    <cellStyle name="40% - Akzent3 14 3" xfId="13568"/>
    <cellStyle name="40% - Akzent3 14 2 2" xfId="13569"/>
    <cellStyle name="40% - Akzent3 140 3" xfId="13570"/>
    <cellStyle name="40% - Akzent3 140 2 2" xfId="13571"/>
    <cellStyle name="40% - Akzent3 141 3" xfId="13572"/>
    <cellStyle name="40% - Akzent3 141 2 2" xfId="13573"/>
    <cellStyle name="40% - Akzent3 142 3" xfId="13574"/>
    <cellStyle name="40% - Akzent3 142 2 2" xfId="13575"/>
    <cellStyle name="40% - Akzent3 143 3" xfId="13576"/>
    <cellStyle name="40% - Akzent3 143 2 2" xfId="13577"/>
    <cellStyle name="40% - Akzent3 144 3" xfId="13578"/>
    <cellStyle name="40% - Akzent3 144 2 2" xfId="13579"/>
    <cellStyle name="40% - Akzent3 145 3" xfId="13580"/>
    <cellStyle name="40% - Akzent3 145 2 2" xfId="13581"/>
    <cellStyle name="40% - Akzent3 146 3" xfId="13582"/>
    <cellStyle name="40% - Akzent3 146 2 2" xfId="13583"/>
    <cellStyle name="40% - Akzent3 147 3" xfId="13584"/>
    <cellStyle name="40% - Akzent3 147 2 2" xfId="13585"/>
    <cellStyle name="40% - Akzent3 148 3" xfId="13586"/>
    <cellStyle name="40% - Akzent3 148 2 2" xfId="13587"/>
    <cellStyle name="40% - Akzent3 149 3" xfId="13588"/>
    <cellStyle name="40% - Akzent3 149 2 2" xfId="13589"/>
    <cellStyle name="40% - Akzent3 15 3" xfId="13590"/>
    <cellStyle name="40% - Akzent3 15 2 2" xfId="13591"/>
    <cellStyle name="40% - Akzent3 150 3" xfId="13592"/>
    <cellStyle name="40% - Akzent3 150 2 2" xfId="13593"/>
    <cellStyle name="40% - Akzent3 151 3" xfId="13594"/>
    <cellStyle name="40% - Akzent3 151 2 2" xfId="13595"/>
    <cellStyle name="40% - Akzent3 16 3" xfId="13596"/>
    <cellStyle name="40% - Akzent3 16 2 2" xfId="13597"/>
    <cellStyle name="40% - Akzent3 17 3" xfId="13598"/>
    <cellStyle name="40% - Akzent3 17 2 2" xfId="13599"/>
    <cellStyle name="40% - Akzent3 18 3" xfId="13600"/>
    <cellStyle name="40% - Akzent3 18 2 2" xfId="13601"/>
    <cellStyle name="40% - Akzent3 19 3" xfId="13602"/>
    <cellStyle name="40% - Akzent3 19 2 2" xfId="13603"/>
    <cellStyle name="40% - Akzent3 2 6" xfId="13604"/>
    <cellStyle name="40% - Akzent3 2 2 2" xfId="13605"/>
    <cellStyle name="40% - Akzent3 2 3 2" xfId="13606"/>
    <cellStyle name="40% - Akzent3 2 4 3" xfId="13607"/>
    <cellStyle name="40% - Akzent3 2 4 2 2" xfId="13608"/>
    <cellStyle name="40% - Akzent3 2 5 2" xfId="13609"/>
    <cellStyle name="40% - Akzent3 20 3" xfId="13610"/>
    <cellStyle name="40% - Akzent3 20 2 2" xfId="13611"/>
    <cellStyle name="40% - Akzent3 21 3" xfId="13612"/>
    <cellStyle name="40% - Akzent3 21 2 2" xfId="13613"/>
    <cellStyle name="40% - Akzent3 22 3" xfId="13614"/>
    <cellStyle name="40% - Akzent3 22 2 2" xfId="13615"/>
    <cellStyle name="40% - Akzent3 23 3" xfId="13616"/>
    <cellStyle name="40% - Akzent3 23 2 2" xfId="13617"/>
    <cellStyle name="40% - Akzent3 24 3" xfId="13618"/>
    <cellStyle name="40% - Akzent3 24 2 2" xfId="13619"/>
    <cellStyle name="40% - Akzent3 25 3" xfId="13620"/>
    <cellStyle name="40% - Akzent3 25 2 2" xfId="13621"/>
    <cellStyle name="40% - Akzent3 26 3" xfId="13622"/>
    <cellStyle name="40% - Akzent3 26 2 2" xfId="13623"/>
    <cellStyle name="40% - Akzent3 27 3" xfId="13624"/>
    <cellStyle name="40% - Akzent3 27 2 2" xfId="13625"/>
    <cellStyle name="40% - Akzent3 28 3" xfId="13626"/>
    <cellStyle name="40% - Akzent3 28 2 2" xfId="13627"/>
    <cellStyle name="40% - Akzent3 29 3" xfId="13628"/>
    <cellStyle name="40% - Akzent3 29 2 2" xfId="13629"/>
    <cellStyle name="40% - Akzent3 3 6" xfId="13630"/>
    <cellStyle name="40% - Akzent3 3 2 2" xfId="13631"/>
    <cellStyle name="40% - Akzent3 3 3 2" xfId="13632"/>
    <cellStyle name="40% - Akzent3 3 4 3" xfId="13633"/>
    <cellStyle name="40% - Akzent3 3 4 2 2" xfId="13634"/>
    <cellStyle name="40% - Akzent3 3 5 2" xfId="13635"/>
    <cellStyle name="40% - Akzent3 30 3" xfId="13636"/>
    <cellStyle name="40% - Akzent3 30 2 2" xfId="13637"/>
    <cellStyle name="40% - Akzent3 31 3" xfId="13638"/>
    <cellStyle name="40% - Akzent3 31 2 2" xfId="13639"/>
    <cellStyle name="40% - Akzent3 32 3" xfId="13640"/>
    <cellStyle name="40% - Akzent3 32 2 2" xfId="13641"/>
    <cellStyle name="40% - Akzent3 33 3" xfId="13642"/>
    <cellStyle name="40% - Akzent3 33 2 2" xfId="13643"/>
    <cellStyle name="40% - Akzent3 34 3" xfId="13644"/>
    <cellStyle name="40% - Akzent3 34 2 2" xfId="13645"/>
    <cellStyle name="40% - Akzent3 35 3" xfId="13646"/>
    <cellStyle name="40% - Akzent3 35 2 2" xfId="13647"/>
    <cellStyle name="40% - Akzent3 36 3" xfId="13648"/>
    <cellStyle name="40% - Akzent3 36 2 2" xfId="13649"/>
    <cellStyle name="40% - Akzent3 37 3" xfId="13650"/>
    <cellStyle name="40% - Akzent3 37 2 2" xfId="13651"/>
    <cellStyle name="40% - Akzent3 38 3" xfId="13652"/>
    <cellStyle name="40% - Akzent3 38 2 2" xfId="13653"/>
    <cellStyle name="40% - Akzent3 39 3" xfId="13654"/>
    <cellStyle name="40% - Akzent3 39 2 2" xfId="13655"/>
    <cellStyle name="40% - Akzent3 4 6" xfId="13656"/>
    <cellStyle name="40% - Akzent3 4 2 2" xfId="13657"/>
    <cellStyle name="40% - Akzent3 4 3 2" xfId="13658"/>
    <cellStyle name="40% - Akzent3 4 4 3" xfId="13659"/>
    <cellStyle name="40% - Akzent3 4 4 2 2" xfId="13660"/>
    <cellStyle name="40% - Akzent3 4 5 2" xfId="13661"/>
    <cellStyle name="40% - Akzent3 40 3" xfId="13662"/>
    <cellStyle name="40% - Akzent3 40 2 2" xfId="13663"/>
    <cellStyle name="40% - Akzent3 41 3" xfId="13664"/>
    <cellStyle name="40% - Akzent3 41 2 2" xfId="13665"/>
    <cellStyle name="40% - Akzent3 42 3" xfId="13666"/>
    <cellStyle name="40% - Akzent3 42 2 2" xfId="13667"/>
    <cellStyle name="40% - Akzent3 43 3" xfId="13668"/>
    <cellStyle name="40% - Akzent3 43 2 2" xfId="13669"/>
    <cellStyle name="40% - Akzent3 44 3" xfId="13670"/>
    <cellStyle name="40% - Akzent3 44 2 2" xfId="13671"/>
    <cellStyle name="40% - Akzent3 45 3" xfId="13672"/>
    <cellStyle name="40% - Akzent3 45 2 2" xfId="13673"/>
    <cellStyle name="40% - Akzent3 46 3" xfId="13674"/>
    <cellStyle name="40% - Akzent3 46 2 2" xfId="13675"/>
    <cellStyle name="40% - Akzent3 47 3" xfId="13676"/>
    <cellStyle name="40% - Akzent3 47 2 2" xfId="13677"/>
    <cellStyle name="40% - Akzent3 48 3" xfId="13678"/>
    <cellStyle name="40% - Akzent3 48 2 2" xfId="13679"/>
    <cellStyle name="40% - Akzent3 49 3" xfId="13680"/>
    <cellStyle name="40% - Akzent3 49 2 2" xfId="13681"/>
    <cellStyle name="40% - Akzent3 5 3" xfId="13682"/>
    <cellStyle name="40% - Akzent3 5 2 2" xfId="13683"/>
    <cellStyle name="40% - Akzent3 50 3" xfId="13684"/>
    <cellStyle name="40% - Akzent3 50 2 2" xfId="13685"/>
    <cellStyle name="40% - Akzent3 51 3" xfId="13686"/>
    <cellStyle name="40% - Akzent3 51 2 2" xfId="13687"/>
    <cellStyle name="40% - Akzent3 52 3" xfId="13688"/>
    <cellStyle name="40% - Akzent3 52 2 2" xfId="13689"/>
    <cellStyle name="40% - Akzent3 53 3" xfId="13690"/>
    <cellStyle name="40% - Akzent3 53 2 2" xfId="13691"/>
    <cellStyle name="40% - Akzent3 54 3" xfId="13692"/>
    <cellStyle name="40% - Akzent3 54 2 2" xfId="13693"/>
    <cellStyle name="40% - Akzent3 55 3" xfId="13694"/>
    <cellStyle name="40% - Akzent3 55 2 2" xfId="13695"/>
    <cellStyle name="40% - Akzent3 56 3" xfId="13696"/>
    <cellStyle name="40% - Akzent3 56 2 2" xfId="13697"/>
    <cellStyle name="40% - Akzent3 57 3" xfId="13698"/>
    <cellStyle name="40% - Akzent3 57 2 2" xfId="13699"/>
    <cellStyle name="40% - Akzent3 58 3" xfId="13700"/>
    <cellStyle name="40% - Akzent3 58 2 2" xfId="13701"/>
    <cellStyle name="40% - Akzent3 59 3" xfId="13702"/>
    <cellStyle name="40% - Akzent3 59 2 2" xfId="13703"/>
    <cellStyle name="40% - Akzent3 6 3" xfId="13704"/>
    <cellStyle name="40% - Akzent3 6 2 2" xfId="13705"/>
    <cellStyle name="40% - Akzent3 60 3" xfId="13706"/>
    <cellStyle name="40% - Akzent3 60 2 2" xfId="13707"/>
    <cellStyle name="40% - Akzent3 61 3" xfId="13708"/>
    <cellStyle name="40% - Akzent3 61 2 2" xfId="13709"/>
    <cellStyle name="40% - Akzent3 62 3" xfId="13710"/>
    <cellStyle name="40% - Akzent3 62 2 2" xfId="13711"/>
    <cellStyle name="40% - Akzent3 63 3" xfId="13712"/>
    <cellStyle name="40% - Akzent3 63 2 2" xfId="13713"/>
    <cellStyle name="40% - Akzent3 64 3" xfId="13714"/>
    <cellStyle name="40% - Akzent3 64 2 2" xfId="13715"/>
    <cellStyle name="40% - Akzent3 65 3" xfId="13716"/>
    <cellStyle name="40% - Akzent3 65 2 2" xfId="13717"/>
    <cellStyle name="40% - Akzent3 66 3" xfId="13718"/>
    <cellStyle name="40% - Akzent3 66 2 2" xfId="13719"/>
    <cellStyle name="40% - Akzent3 67 3" xfId="13720"/>
    <cellStyle name="40% - Akzent3 67 2 2" xfId="13721"/>
    <cellStyle name="40% - Akzent3 68 3" xfId="13722"/>
    <cellStyle name="40% - Akzent3 68 2 2" xfId="13723"/>
    <cellStyle name="40% - Akzent3 69 3" xfId="13724"/>
    <cellStyle name="40% - Akzent3 69 2 2" xfId="13725"/>
    <cellStyle name="40% - Akzent3 7 3" xfId="13726"/>
    <cellStyle name="40% - Akzent3 7 2 2" xfId="13727"/>
    <cellStyle name="40% - Akzent3 70 3" xfId="13728"/>
    <cellStyle name="40% - Akzent3 70 2 2" xfId="13729"/>
    <cellStyle name="40% - Akzent3 71 3" xfId="13730"/>
    <cellStyle name="40% - Akzent3 71 2 2" xfId="13731"/>
    <cellStyle name="40% - Akzent3 72 3" xfId="13732"/>
    <cellStyle name="40% - Akzent3 72 2 2" xfId="13733"/>
    <cellStyle name="40% - Akzent3 73 3" xfId="13734"/>
    <cellStyle name="40% - Akzent3 73 2 2" xfId="13735"/>
    <cellStyle name="40% - Akzent3 74 3" xfId="13736"/>
    <cellStyle name="40% - Akzent3 74 2 2" xfId="13737"/>
    <cellStyle name="40% - Akzent3 75 3" xfId="13738"/>
    <cellStyle name="40% - Akzent3 75 2 2" xfId="13739"/>
    <cellStyle name="40% - Akzent3 76 3" xfId="13740"/>
    <cellStyle name="40% - Akzent3 76 2 2" xfId="13741"/>
    <cellStyle name="40% - Akzent3 77 3" xfId="13742"/>
    <cellStyle name="40% - Akzent3 77 2 2" xfId="13743"/>
    <cellStyle name="40% - Akzent3 78 3" xfId="13744"/>
    <cellStyle name="40% - Akzent3 78 2 2" xfId="13745"/>
    <cellStyle name="40% - Akzent3 79 3" xfId="13746"/>
    <cellStyle name="40% - Akzent3 79 2 2" xfId="13747"/>
    <cellStyle name="40% - Akzent3 8 3" xfId="13748"/>
    <cellStyle name="40% - Akzent3 8 2 2" xfId="13749"/>
    <cellStyle name="40% - Akzent3 80 3" xfId="13750"/>
    <cellStyle name="40% - Akzent3 80 2 2" xfId="13751"/>
    <cellStyle name="40% - Akzent3 81 3" xfId="13752"/>
    <cellStyle name="40% - Akzent3 81 2 2" xfId="13753"/>
    <cellStyle name="40% - Akzent3 82 3" xfId="13754"/>
    <cellStyle name="40% - Akzent3 82 2 2" xfId="13755"/>
    <cellStyle name="40% - Akzent3 83 3" xfId="13756"/>
    <cellStyle name="40% - Akzent3 83 2 2" xfId="13757"/>
    <cellStyle name="40% - Akzent3 84 3" xfId="13758"/>
    <cellStyle name="40% - Akzent3 84 2 2" xfId="13759"/>
    <cellStyle name="40% - Akzent3 85 3" xfId="13760"/>
    <cellStyle name="40% - Akzent3 85 2 2" xfId="13761"/>
    <cellStyle name="40% - Akzent3 86 3" xfId="13762"/>
    <cellStyle name="40% - Akzent3 86 2 2" xfId="13763"/>
    <cellStyle name="40% - Akzent3 87 3" xfId="13764"/>
    <cellStyle name="40% - Akzent3 87 2 2" xfId="13765"/>
    <cellStyle name="40% - Akzent3 88 3" xfId="13766"/>
    <cellStyle name="40% - Akzent3 88 2 2" xfId="13767"/>
    <cellStyle name="40% - Akzent3 89 3" xfId="13768"/>
    <cellStyle name="40% - Akzent3 89 2 2" xfId="13769"/>
    <cellStyle name="40% - Akzent3 9 3" xfId="13770"/>
    <cellStyle name="40% - Akzent3 9 2 2" xfId="13771"/>
    <cellStyle name="40% - Akzent3 90 3" xfId="13772"/>
    <cellStyle name="40% - Akzent3 90 2 2" xfId="13773"/>
    <cellStyle name="40% - Akzent3 91 3" xfId="13774"/>
    <cellStyle name="40% - Akzent3 91 2 2" xfId="13775"/>
    <cellStyle name="40% - Akzent3 92 3" xfId="13776"/>
    <cellStyle name="40% - Akzent3 92 2 2" xfId="13777"/>
    <cellStyle name="40% - Akzent3 93 3" xfId="13778"/>
    <cellStyle name="40% - Akzent3 93 2 2" xfId="13779"/>
    <cellStyle name="40% - Akzent3 94 3" xfId="13780"/>
    <cellStyle name="40% - Akzent3 94 2 2" xfId="13781"/>
    <cellStyle name="40% - Akzent3 95 3" xfId="13782"/>
    <cellStyle name="40% - Akzent3 95 2 2" xfId="13783"/>
    <cellStyle name="40% - Akzent3 96 3" xfId="13784"/>
    <cellStyle name="40% - Akzent3 96 2 2" xfId="13785"/>
    <cellStyle name="40% - Akzent3 97 3" xfId="13786"/>
    <cellStyle name="40% - Akzent3 97 2 2" xfId="13787"/>
    <cellStyle name="40% - Akzent3 98 3" xfId="13788"/>
    <cellStyle name="40% - Akzent3 98 2 2" xfId="13789"/>
    <cellStyle name="40% - Akzent3 99 3" xfId="13790"/>
    <cellStyle name="40% - Akzent3 99 2 2" xfId="13791"/>
    <cellStyle name="40% - Akzent4 10 3" xfId="13792"/>
    <cellStyle name="40% - Akzent4 10 2 2" xfId="13793"/>
    <cellStyle name="40% - Akzent4 100 3" xfId="13794"/>
    <cellStyle name="40% - Akzent4 100 2 2" xfId="13795"/>
    <cellStyle name="40% - Akzent4 101 3" xfId="13796"/>
    <cellStyle name="40% - Akzent4 101 2 2" xfId="13797"/>
    <cellStyle name="40% - Akzent4 102 3" xfId="13798"/>
    <cellStyle name="40% - Akzent4 102 2 2" xfId="13799"/>
    <cellStyle name="40% - Akzent4 103 3" xfId="13800"/>
    <cellStyle name="40% - Akzent4 103 2 2" xfId="13801"/>
    <cellStyle name="40% - Akzent4 104 3" xfId="13802"/>
    <cellStyle name="40% - Akzent4 104 2 2" xfId="13803"/>
    <cellStyle name="40% - Akzent4 105 3" xfId="13804"/>
    <cellStyle name="40% - Akzent4 105 2 2" xfId="13805"/>
    <cellStyle name="40% - Akzent4 106 3" xfId="13806"/>
    <cellStyle name="40% - Akzent4 106 2 2" xfId="13807"/>
    <cellStyle name="40% - Akzent4 107 3" xfId="13808"/>
    <cellStyle name="40% - Akzent4 107 2 2" xfId="13809"/>
    <cellStyle name="40% - Akzent4 108 3" xfId="13810"/>
    <cellStyle name="40% - Akzent4 108 2 2" xfId="13811"/>
    <cellStyle name="40% - Akzent4 109 3" xfId="13812"/>
    <cellStyle name="40% - Akzent4 109 2 2" xfId="13813"/>
    <cellStyle name="40% - Akzent4 11 3" xfId="13814"/>
    <cellStyle name="40% - Akzent4 11 2 2" xfId="13815"/>
    <cellStyle name="40% - Akzent4 110 3" xfId="13816"/>
    <cellStyle name="40% - Akzent4 110 2 2" xfId="13817"/>
    <cellStyle name="40% - Akzent4 111 3" xfId="13818"/>
    <cellStyle name="40% - Akzent4 111 2 2" xfId="13819"/>
    <cellStyle name="40% - Akzent4 112 3" xfId="13820"/>
    <cellStyle name="40% - Akzent4 112 2 2" xfId="13821"/>
    <cellStyle name="40% - Akzent4 113 3" xfId="13822"/>
    <cellStyle name="40% - Akzent4 113 2 2" xfId="13823"/>
    <cellStyle name="40% - Akzent4 114 3" xfId="13824"/>
    <cellStyle name="40% - Akzent4 114 2 2" xfId="13825"/>
    <cellStyle name="40% - Akzent4 115 3" xfId="13826"/>
    <cellStyle name="40% - Akzent4 115 2 2" xfId="13827"/>
    <cellStyle name="40% - Akzent4 116 3" xfId="13828"/>
    <cellStyle name="40% - Akzent4 116 2 2" xfId="13829"/>
    <cellStyle name="40% - Akzent4 117 3" xfId="13830"/>
    <cellStyle name="40% - Akzent4 117 2 2" xfId="13831"/>
    <cellStyle name="40% - Akzent4 118 3" xfId="13832"/>
    <cellStyle name="40% - Akzent4 118 2 2" xfId="13833"/>
    <cellStyle name="40% - Akzent4 119 3" xfId="13834"/>
    <cellStyle name="40% - Akzent4 119 2 2" xfId="13835"/>
    <cellStyle name="40% - Akzent4 12 3" xfId="13836"/>
    <cellStyle name="40% - Akzent4 12 2 2" xfId="13837"/>
    <cellStyle name="40% - Akzent4 120 3" xfId="13838"/>
    <cellStyle name="40% - Akzent4 120 2 2" xfId="13839"/>
    <cellStyle name="40% - Akzent4 121 3" xfId="13840"/>
    <cellStyle name="40% - Akzent4 121 2 2" xfId="13841"/>
    <cellStyle name="40% - Akzent4 122 3" xfId="13842"/>
    <cellStyle name="40% - Akzent4 122 2 2" xfId="13843"/>
    <cellStyle name="40% - Akzent4 123 3" xfId="13844"/>
    <cellStyle name="40% - Akzent4 123 2 2" xfId="13845"/>
    <cellStyle name="40% - Akzent4 124 3" xfId="13846"/>
    <cellStyle name="40% - Akzent4 124 2 2" xfId="13847"/>
    <cellStyle name="40% - Akzent4 125 3" xfId="13848"/>
    <cellStyle name="40% - Akzent4 125 2 2" xfId="13849"/>
    <cellStyle name="40% - Akzent4 126 3" xfId="13850"/>
    <cellStyle name="40% - Akzent4 126 2 2" xfId="13851"/>
    <cellStyle name="40% - Akzent4 127 3" xfId="13852"/>
    <cellStyle name="40% - Akzent4 127 2 2" xfId="13853"/>
    <cellStyle name="40% - Akzent4 128 3" xfId="13854"/>
    <cellStyle name="40% - Akzent4 128 2 2" xfId="13855"/>
    <cellStyle name="40% - Akzent4 129 3" xfId="13856"/>
    <cellStyle name="40% - Akzent4 129 2 2" xfId="13857"/>
    <cellStyle name="40% - Akzent4 13 3" xfId="13858"/>
    <cellStyle name="40% - Akzent4 13 2 2" xfId="13859"/>
    <cellStyle name="40% - Akzent4 130 3" xfId="13860"/>
    <cellStyle name="40% - Akzent4 130 2 2" xfId="13861"/>
    <cellStyle name="40% - Akzent4 131 3" xfId="13862"/>
    <cellStyle name="40% - Akzent4 131 2 2" xfId="13863"/>
    <cellStyle name="40% - Akzent4 132 3" xfId="13864"/>
    <cellStyle name="40% - Akzent4 132 2 2" xfId="13865"/>
    <cellStyle name="40% - Akzent4 133 3" xfId="13866"/>
    <cellStyle name="40% - Akzent4 133 2 2" xfId="13867"/>
    <cellStyle name="40% - Akzent4 134 3" xfId="13868"/>
    <cellStyle name="40% - Akzent4 134 2 2" xfId="13869"/>
    <cellStyle name="40% - Akzent4 135 3" xfId="13870"/>
    <cellStyle name="40% - Akzent4 135 2 2" xfId="13871"/>
    <cellStyle name="40% - Akzent4 136 3" xfId="13872"/>
    <cellStyle name="40% - Akzent4 136 2 2" xfId="13873"/>
    <cellStyle name="40% - Akzent4 137 3" xfId="13874"/>
    <cellStyle name="40% - Akzent4 137 2 2" xfId="13875"/>
    <cellStyle name="40% - Akzent4 138 3" xfId="13876"/>
    <cellStyle name="40% - Akzent4 138 2 2" xfId="13877"/>
    <cellStyle name="40% - Akzent4 139 3" xfId="13878"/>
    <cellStyle name="40% - Akzent4 139 2 2" xfId="13879"/>
    <cellStyle name="40% - Akzent4 14 3" xfId="13880"/>
    <cellStyle name="40% - Akzent4 14 2 2" xfId="13881"/>
    <cellStyle name="40% - Akzent4 140 3" xfId="13882"/>
    <cellStyle name="40% - Akzent4 140 2 2" xfId="13883"/>
    <cellStyle name="40% - Akzent4 141 3" xfId="13884"/>
    <cellStyle name="40% - Akzent4 141 2 2" xfId="13885"/>
    <cellStyle name="40% - Akzent4 142 3" xfId="13886"/>
    <cellStyle name="40% - Akzent4 142 2 2" xfId="13887"/>
    <cellStyle name="40% - Akzent4 143 3" xfId="13888"/>
    <cellStyle name="40% - Akzent4 143 2 2" xfId="13889"/>
    <cellStyle name="40% - Akzent4 144 3" xfId="13890"/>
    <cellStyle name="40% - Akzent4 144 2 2" xfId="13891"/>
    <cellStyle name="40% - Akzent4 145 3" xfId="13892"/>
    <cellStyle name="40% - Akzent4 145 2 2" xfId="13893"/>
    <cellStyle name="40% - Akzent4 146 3" xfId="13894"/>
    <cellStyle name="40% - Akzent4 146 2 2" xfId="13895"/>
    <cellStyle name="40% - Akzent4 147 3" xfId="13896"/>
    <cellStyle name="40% - Akzent4 147 2 2" xfId="13897"/>
    <cellStyle name="40% - Akzent4 148 3" xfId="13898"/>
    <cellStyle name="40% - Akzent4 148 2 2" xfId="13899"/>
    <cellStyle name="40% - Akzent4 149 3" xfId="13900"/>
    <cellStyle name="40% - Akzent4 149 2 2" xfId="13901"/>
    <cellStyle name="40% - Akzent4 15 3" xfId="13902"/>
    <cellStyle name="40% - Akzent4 15 2 2" xfId="13903"/>
    <cellStyle name="40% - Akzent4 150 3" xfId="13904"/>
    <cellStyle name="40% - Akzent4 150 2 2" xfId="13905"/>
    <cellStyle name="40% - Akzent4 151 3" xfId="13906"/>
    <cellStyle name="40% - Akzent4 151 2 2" xfId="13907"/>
    <cellStyle name="40% - Akzent4 16 3" xfId="13908"/>
    <cellStyle name="40% - Akzent4 16 2 2" xfId="13909"/>
    <cellStyle name="40% - Akzent4 17 3" xfId="13910"/>
    <cellStyle name="40% - Akzent4 17 2 2" xfId="13911"/>
    <cellStyle name="40% - Akzent4 18 3" xfId="13912"/>
    <cellStyle name="40% - Akzent4 18 2 2" xfId="13913"/>
    <cellStyle name="40% - Akzent4 19 3" xfId="13914"/>
    <cellStyle name="40% - Akzent4 19 2 2" xfId="13915"/>
    <cellStyle name="40% - Akzent4 2 6" xfId="13916"/>
    <cellStyle name="40% - Akzent4 2 2 2" xfId="13917"/>
    <cellStyle name="40% - Akzent4 2 3 2" xfId="13918"/>
    <cellStyle name="40% - Akzent4 2 4 3" xfId="13919"/>
    <cellStyle name="40% - Akzent4 2 4 2 2" xfId="13920"/>
    <cellStyle name="40% - Akzent4 2 5 2" xfId="13921"/>
    <cellStyle name="40% - Akzent4 20 3" xfId="13922"/>
    <cellStyle name="40% - Akzent4 20 2 2" xfId="13923"/>
    <cellStyle name="40% - Akzent4 21 3" xfId="13924"/>
    <cellStyle name="40% - Akzent4 21 2 2" xfId="13925"/>
    <cellStyle name="40% - Akzent4 22 3" xfId="13926"/>
    <cellStyle name="40% - Akzent4 22 2 2" xfId="13927"/>
    <cellStyle name="40% - Akzent4 23 3" xfId="13928"/>
    <cellStyle name="40% - Akzent4 23 2 2" xfId="13929"/>
    <cellStyle name="40% - Akzent4 24 3" xfId="13930"/>
    <cellStyle name="40% - Akzent4 24 2 2" xfId="13931"/>
    <cellStyle name="40% - Akzent4 25 3" xfId="13932"/>
    <cellStyle name="40% - Akzent4 25 2 2" xfId="13933"/>
    <cellStyle name="40% - Akzent4 26 3" xfId="13934"/>
    <cellStyle name="40% - Akzent4 26 2 2" xfId="13935"/>
    <cellStyle name="40% - Akzent4 27 3" xfId="13936"/>
    <cellStyle name="40% - Akzent4 27 2 2" xfId="13937"/>
    <cellStyle name="40% - Akzent4 28 3" xfId="13938"/>
    <cellStyle name="40% - Akzent4 28 2 2" xfId="13939"/>
    <cellStyle name="40% - Akzent4 29 3" xfId="13940"/>
    <cellStyle name="40% - Akzent4 29 2 2" xfId="13941"/>
    <cellStyle name="40% - Akzent4 3 6" xfId="13942"/>
    <cellStyle name="40% - Akzent4 3 2 2" xfId="13943"/>
    <cellStyle name="40% - Akzent4 3 3 2" xfId="13944"/>
    <cellStyle name="40% - Akzent4 3 4 3" xfId="13945"/>
    <cellStyle name="40% - Akzent4 3 4 2 2" xfId="13946"/>
    <cellStyle name="40% - Akzent4 3 5 2" xfId="13947"/>
    <cellStyle name="40% - Akzent4 30 3" xfId="13948"/>
    <cellStyle name="40% - Akzent4 30 2 2" xfId="13949"/>
    <cellStyle name="40% - Akzent4 31 3" xfId="13950"/>
    <cellStyle name="40% - Akzent4 31 2 2" xfId="13951"/>
    <cellStyle name="40% - Akzent4 32 3" xfId="13952"/>
    <cellStyle name="40% - Akzent4 32 2 2" xfId="13953"/>
    <cellStyle name="40% - Akzent4 33 3" xfId="13954"/>
    <cellStyle name="40% - Akzent4 33 2 2" xfId="13955"/>
    <cellStyle name="40% - Akzent4 34 3" xfId="13956"/>
    <cellStyle name="40% - Akzent4 34 2 2" xfId="13957"/>
    <cellStyle name="40% - Akzent4 35 3" xfId="13958"/>
    <cellStyle name="40% - Akzent4 35 2 2" xfId="13959"/>
    <cellStyle name="40% - Akzent4 36 3" xfId="13960"/>
    <cellStyle name="40% - Akzent4 36 2 2" xfId="13961"/>
    <cellStyle name="40% - Akzent4 37 3" xfId="13962"/>
    <cellStyle name="40% - Akzent4 37 2 2" xfId="13963"/>
    <cellStyle name="40% - Akzent4 38 3" xfId="13964"/>
    <cellStyle name="40% - Akzent4 38 2 2" xfId="13965"/>
    <cellStyle name="40% - Akzent4 39 3" xfId="13966"/>
    <cellStyle name="40% - Akzent4 39 2 2" xfId="13967"/>
    <cellStyle name="40% - Akzent4 4 6" xfId="13968"/>
    <cellStyle name="40% - Akzent4 4 2 2" xfId="13969"/>
    <cellStyle name="40% - Akzent4 4 3 2" xfId="13970"/>
    <cellStyle name="40% - Akzent4 4 4 3" xfId="13971"/>
    <cellStyle name="40% - Akzent4 4 4 2 2" xfId="13972"/>
    <cellStyle name="40% - Akzent4 4 5 2" xfId="13973"/>
    <cellStyle name="40% - Akzent4 40 3" xfId="13974"/>
    <cellStyle name="40% - Akzent4 40 2 2" xfId="13975"/>
    <cellStyle name="40% - Akzent4 41 3" xfId="13976"/>
    <cellStyle name="40% - Akzent4 41 2 2" xfId="13977"/>
    <cellStyle name="40% - Akzent4 42 3" xfId="13978"/>
    <cellStyle name="40% - Akzent4 42 2 2" xfId="13979"/>
    <cellStyle name="40% - Akzent4 43 3" xfId="13980"/>
    <cellStyle name="40% - Akzent4 43 2 2" xfId="13981"/>
    <cellStyle name="40% - Akzent4 44 3" xfId="13982"/>
    <cellStyle name="40% - Akzent4 44 2 2" xfId="13983"/>
    <cellStyle name="40% - Akzent4 45 3" xfId="13984"/>
    <cellStyle name="40% - Akzent4 45 2 2" xfId="13985"/>
    <cellStyle name="40% - Akzent4 46 3" xfId="13986"/>
    <cellStyle name="40% - Akzent4 46 2 2" xfId="13987"/>
    <cellStyle name="40% - Akzent4 47 3" xfId="13988"/>
    <cellStyle name="40% - Akzent4 47 2 2" xfId="13989"/>
    <cellStyle name="40% - Akzent4 48 3" xfId="13990"/>
    <cellStyle name="40% - Akzent4 48 2 2" xfId="13991"/>
    <cellStyle name="40% - Akzent4 49 3" xfId="13992"/>
    <cellStyle name="40% - Akzent4 49 2 2" xfId="13993"/>
    <cellStyle name="40% - Akzent4 5 3" xfId="13994"/>
    <cellStyle name="40% - Akzent4 5 2 2" xfId="13995"/>
    <cellStyle name="40% - Akzent4 50 3" xfId="13996"/>
    <cellStyle name="40% - Akzent4 50 2 2" xfId="13997"/>
    <cellStyle name="40% - Akzent4 51 3" xfId="13998"/>
    <cellStyle name="40% - Akzent4 51 2 2" xfId="13999"/>
    <cellStyle name="40% - Akzent4 52 3" xfId="14000"/>
    <cellStyle name="40% - Akzent4 52 2 2" xfId="14001"/>
    <cellStyle name="40% - Akzent4 53 3" xfId="14002"/>
    <cellStyle name="40% - Akzent4 53 2 2" xfId="14003"/>
    <cellStyle name="40% - Akzent4 54 3" xfId="14004"/>
    <cellStyle name="40% - Akzent4 54 2 2" xfId="14005"/>
    <cellStyle name="40% - Akzent4 55 3" xfId="14006"/>
    <cellStyle name="40% - Akzent4 55 2 2" xfId="14007"/>
    <cellStyle name="40% - Akzent4 56 3" xfId="14008"/>
    <cellStyle name="40% - Akzent4 56 2 2" xfId="14009"/>
    <cellStyle name="40% - Akzent4 57 3" xfId="14010"/>
    <cellStyle name="40% - Akzent4 57 2 2" xfId="14011"/>
    <cellStyle name="40% - Akzent4 58 3" xfId="14012"/>
    <cellStyle name="40% - Akzent4 58 2 2" xfId="14013"/>
    <cellStyle name="40% - Akzent4 59 3" xfId="14014"/>
    <cellStyle name="40% - Akzent4 59 2 2" xfId="14015"/>
    <cellStyle name="40% - Akzent4 6 3" xfId="14016"/>
    <cellStyle name="40% - Akzent4 6 2 2" xfId="14017"/>
    <cellStyle name="40% - Akzent4 60 3" xfId="14018"/>
    <cellStyle name="40% - Akzent4 60 2 2" xfId="14019"/>
    <cellStyle name="40% - Akzent4 61 3" xfId="14020"/>
    <cellStyle name="40% - Akzent4 61 2 2" xfId="14021"/>
    <cellStyle name="40% - Akzent4 62 3" xfId="14022"/>
    <cellStyle name="40% - Akzent4 62 2 2" xfId="14023"/>
    <cellStyle name="40% - Akzent4 63 3" xfId="14024"/>
    <cellStyle name="40% - Akzent4 63 2 2" xfId="14025"/>
    <cellStyle name="40% - Akzent4 64 3" xfId="14026"/>
    <cellStyle name="40% - Akzent4 64 2 2" xfId="14027"/>
    <cellStyle name="40% - Akzent4 65 3" xfId="14028"/>
    <cellStyle name="40% - Akzent4 65 2 2" xfId="14029"/>
    <cellStyle name="40% - Akzent4 66 3" xfId="14030"/>
    <cellStyle name="40% - Akzent4 66 2 2" xfId="14031"/>
    <cellStyle name="40% - Akzent4 67 3" xfId="14032"/>
    <cellStyle name="40% - Akzent4 67 2 2" xfId="14033"/>
    <cellStyle name="40% - Akzent4 68 3" xfId="14034"/>
    <cellStyle name="40% - Akzent4 68 2 2" xfId="14035"/>
    <cellStyle name="40% - Akzent4 69 3" xfId="14036"/>
    <cellStyle name="40% - Akzent4 69 2 2" xfId="14037"/>
    <cellStyle name="40% - Akzent4 7 3" xfId="14038"/>
    <cellStyle name="40% - Akzent4 7 2 2" xfId="14039"/>
    <cellStyle name="40% - Akzent4 70 3" xfId="14040"/>
    <cellStyle name="40% - Akzent4 70 2 2" xfId="14041"/>
    <cellStyle name="40% - Akzent4 71 3" xfId="14042"/>
    <cellStyle name="40% - Akzent4 71 2 2" xfId="14043"/>
    <cellStyle name="40% - Akzent4 72 3" xfId="14044"/>
    <cellStyle name="40% - Akzent4 72 2 2" xfId="14045"/>
    <cellStyle name="40% - Akzent4 73 3" xfId="14046"/>
    <cellStyle name="40% - Akzent4 73 2 2" xfId="14047"/>
    <cellStyle name="40% - Akzent4 74 3" xfId="14048"/>
    <cellStyle name="40% - Akzent4 74 2 2" xfId="14049"/>
    <cellStyle name="40% - Akzent4 75 3" xfId="14050"/>
    <cellStyle name="40% - Akzent4 75 2 2" xfId="14051"/>
    <cellStyle name="40% - Akzent4 76 3" xfId="14052"/>
    <cellStyle name="40% - Akzent4 76 2 2" xfId="14053"/>
    <cellStyle name="40% - Akzent4 77 3" xfId="14054"/>
    <cellStyle name="40% - Akzent4 77 2 2" xfId="14055"/>
    <cellStyle name="40% - Akzent4 78 3" xfId="14056"/>
    <cellStyle name="40% - Akzent4 78 2 2" xfId="14057"/>
    <cellStyle name="40% - Akzent4 79 3" xfId="14058"/>
    <cellStyle name="40% - Akzent4 79 2 2" xfId="14059"/>
    <cellStyle name="40% - Akzent4 8 3" xfId="14060"/>
    <cellStyle name="40% - Akzent4 8 2 2" xfId="14061"/>
    <cellStyle name="40% - Akzent4 80 3" xfId="14062"/>
    <cellStyle name="40% - Akzent4 80 2 2" xfId="14063"/>
    <cellStyle name="40% - Akzent4 81 3" xfId="14064"/>
    <cellStyle name="40% - Akzent4 81 2 2" xfId="14065"/>
    <cellStyle name="40% - Akzent4 82 3" xfId="14066"/>
    <cellStyle name="40% - Akzent4 82 2 2" xfId="14067"/>
    <cellStyle name="40% - Akzent4 83 3" xfId="14068"/>
    <cellStyle name="40% - Akzent4 83 2 2" xfId="14069"/>
    <cellStyle name="40% - Akzent4 84 3" xfId="14070"/>
    <cellStyle name="40% - Akzent4 84 2 2" xfId="14071"/>
    <cellStyle name="40% - Akzent4 85 3" xfId="14072"/>
    <cellStyle name="40% - Akzent4 85 2 2" xfId="14073"/>
    <cellStyle name="40% - Akzent4 86 3" xfId="14074"/>
    <cellStyle name="40% - Akzent4 86 2 2" xfId="14075"/>
    <cellStyle name="40% - Akzent4 87 3" xfId="14076"/>
    <cellStyle name="40% - Akzent4 87 2 2" xfId="14077"/>
    <cellStyle name="40% - Akzent4 88 3" xfId="14078"/>
    <cellStyle name="40% - Akzent4 88 2 2" xfId="14079"/>
    <cellStyle name="40% - Akzent4 89 3" xfId="14080"/>
    <cellStyle name="40% - Akzent4 89 2 2" xfId="14081"/>
    <cellStyle name="40% - Akzent4 9 3" xfId="14082"/>
    <cellStyle name="40% - Akzent4 9 2 2" xfId="14083"/>
    <cellStyle name="40% - Akzent4 90 3" xfId="14084"/>
    <cellStyle name="40% - Akzent4 90 2 2" xfId="14085"/>
    <cellStyle name="40% - Akzent4 91 3" xfId="14086"/>
    <cellStyle name="40% - Akzent4 91 2 2" xfId="14087"/>
    <cellStyle name="40% - Akzent4 92 3" xfId="14088"/>
    <cellStyle name="40% - Akzent4 92 2 2" xfId="14089"/>
    <cellStyle name="40% - Akzent4 93 3" xfId="14090"/>
    <cellStyle name="40% - Akzent4 93 2 2" xfId="14091"/>
    <cellStyle name="40% - Akzent4 94 3" xfId="14092"/>
    <cellStyle name="40% - Akzent4 94 2 2" xfId="14093"/>
    <cellStyle name="40% - Akzent4 95 3" xfId="14094"/>
    <cellStyle name="40% - Akzent4 95 2 2" xfId="14095"/>
    <cellStyle name="40% - Akzent4 96 3" xfId="14096"/>
    <cellStyle name="40% - Akzent4 96 2 2" xfId="14097"/>
    <cellStyle name="40% - Akzent4 97 3" xfId="14098"/>
    <cellStyle name="40% - Akzent4 97 2 2" xfId="14099"/>
    <cellStyle name="40% - Akzent4 98 3" xfId="14100"/>
    <cellStyle name="40% - Akzent4 98 2 2" xfId="14101"/>
    <cellStyle name="40% - Akzent4 99 3" xfId="14102"/>
    <cellStyle name="40% - Akzent4 99 2 2" xfId="14103"/>
    <cellStyle name="40% - Akzent5 10 3" xfId="14104"/>
    <cellStyle name="40% - Akzent5 10 2 2" xfId="14105"/>
    <cellStyle name="40% - Akzent5 100 3" xfId="14106"/>
    <cellStyle name="40% - Akzent5 100 2 2" xfId="14107"/>
    <cellStyle name="40% - Akzent5 101 3" xfId="14108"/>
    <cellStyle name="40% - Akzent5 101 2 2" xfId="14109"/>
    <cellStyle name="40% - Akzent5 102 3" xfId="14110"/>
    <cellStyle name="40% - Akzent5 102 2 2" xfId="14111"/>
    <cellStyle name="40% - Akzent5 103 3" xfId="14112"/>
    <cellStyle name="40% - Akzent5 103 2 2" xfId="14113"/>
    <cellStyle name="40% - Akzent5 104 3" xfId="14114"/>
    <cellStyle name="40% - Akzent5 104 2 2" xfId="14115"/>
    <cellStyle name="40% - Akzent5 105 3" xfId="14116"/>
    <cellStyle name="40% - Akzent5 105 2 2" xfId="14117"/>
    <cellStyle name="40% - Akzent5 106 3" xfId="14118"/>
    <cellStyle name="40% - Akzent5 106 2 2" xfId="14119"/>
    <cellStyle name="40% - Akzent5 107 3" xfId="14120"/>
    <cellStyle name="40% - Akzent5 107 2 2" xfId="14121"/>
    <cellStyle name="40% - Akzent5 108 3" xfId="14122"/>
    <cellStyle name="40% - Akzent5 108 2 2" xfId="14123"/>
    <cellStyle name="40% - Akzent5 109 3" xfId="14124"/>
    <cellStyle name="40% - Akzent5 109 2 2" xfId="14125"/>
    <cellStyle name="40% - Akzent5 11 3" xfId="14126"/>
    <cellStyle name="40% - Akzent5 11 2 2" xfId="14127"/>
    <cellStyle name="40% - Akzent5 110 3" xfId="14128"/>
    <cellStyle name="40% - Akzent5 110 2 2" xfId="14129"/>
    <cellStyle name="40% - Akzent5 111 3" xfId="14130"/>
    <cellStyle name="40% - Akzent5 111 2 2" xfId="14131"/>
    <cellStyle name="40% - Akzent5 112 3" xfId="14132"/>
    <cellStyle name="40% - Akzent5 112 2 2" xfId="14133"/>
    <cellStyle name="40% - Akzent5 113 3" xfId="14134"/>
    <cellStyle name="40% - Akzent5 113 2 2" xfId="14135"/>
    <cellStyle name="40% - Akzent5 114 3" xfId="14136"/>
    <cellStyle name="40% - Akzent5 114 2 2" xfId="14137"/>
    <cellStyle name="40% - Akzent5 115 3" xfId="14138"/>
    <cellStyle name="40% - Akzent5 115 2 2" xfId="14139"/>
    <cellStyle name="40% - Akzent5 116 3" xfId="14140"/>
    <cellStyle name="40% - Akzent5 116 2 2" xfId="14141"/>
    <cellStyle name="40% - Akzent5 117 3" xfId="14142"/>
    <cellStyle name="40% - Akzent5 117 2 2" xfId="14143"/>
    <cellStyle name="40% - Akzent5 118 3" xfId="14144"/>
    <cellStyle name="40% - Akzent5 118 2 2" xfId="14145"/>
    <cellStyle name="40% - Akzent5 119 3" xfId="14146"/>
    <cellStyle name="40% - Akzent5 119 2 2" xfId="14147"/>
    <cellStyle name="40% - Akzent5 12 3" xfId="14148"/>
    <cellStyle name="40% - Akzent5 12 2 2" xfId="14149"/>
    <cellStyle name="40% - Akzent5 120 3" xfId="14150"/>
    <cellStyle name="40% - Akzent5 120 2 2" xfId="14151"/>
    <cellStyle name="40% - Akzent5 121 3" xfId="14152"/>
    <cellStyle name="40% - Akzent5 121 2 2" xfId="14153"/>
    <cellStyle name="40% - Akzent5 122 3" xfId="14154"/>
    <cellStyle name="40% - Akzent5 122 2 2" xfId="14155"/>
    <cellStyle name="40% - Akzent5 123 3" xfId="14156"/>
    <cellStyle name="40% - Akzent5 123 2 2" xfId="14157"/>
    <cellStyle name="40% - Akzent5 124 3" xfId="14158"/>
    <cellStyle name="40% - Akzent5 124 2 2" xfId="14159"/>
    <cellStyle name="40% - Akzent5 125 3" xfId="14160"/>
    <cellStyle name="40% - Akzent5 125 2 2" xfId="14161"/>
    <cellStyle name="40% - Akzent5 126 3" xfId="14162"/>
    <cellStyle name="40% - Akzent5 126 2 2" xfId="14163"/>
    <cellStyle name="40% - Akzent5 127 3" xfId="14164"/>
    <cellStyle name="40% - Akzent5 127 2 2" xfId="14165"/>
    <cellStyle name="40% - Akzent5 128 3" xfId="14166"/>
    <cellStyle name="40% - Akzent5 128 2 2" xfId="14167"/>
    <cellStyle name="40% - Akzent5 129 3" xfId="14168"/>
    <cellStyle name="40% - Akzent5 129 2 2" xfId="14169"/>
    <cellStyle name="40% - Akzent5 13 3" xfId="14170"/>
    <cellStyle name="40% - Akzent5 13 2 2" xfId="14171"/>
    <cellStyle name="40% - Akzent5 130 3" xfId="14172"/>
    <cellStyle name="40% - Akzent5 130 2 2" xfId="14173"/>
    <cellStyle name="40% - Akzent5 131 3" xfId="14174"/>
    <cellStyle name="40% - Akzent5 131 2 2" xfId="14175"/>
    <cellStyle name="40% - Akzent5 132 3" xfId="14176"/>
    <cellStyle name="40% - Akzent5 132 2 2" xfId="14177"/>
    <cellStyle name="40% - Akzent5 133 3" xfId="14178"/>
    <cellStyle name="40% - Akzent5 133 2 2" xfId="14179"/>
    <cellStyle name="40% - Akzent5 134 3" xfId="14180"/>
    <cellStyle name="40% - Akzent5 134 2 2" xfId="14181"/>
    <cellStyle name="40% - Akzent5 135 3" xfId="14182"/>
    <cellStyle name="40% - Akzent5 135 2 2" xfId="14183"/>
    <cellStyle name="40% - Akzent5 136 3" xfId="14184"/>
    <cellStyle name="40% - Akzent5 136 2 2" xfId="14185"/>
    <cellStyle name="40% - Akzent5 137 3" xfId="14186"/>
    <cellStyle name="40% - Akzent5 137 2 2" xfId="14187"/>
    <cellStyle name="40% - Akzent5 138 3" xfId="14188"/>
    <cellStyle name="40% - Akzent5 138 2 2" xfId="14189"/>
    <cellStyle name="40% - Akzent5 139 3" xfId="14190"/>
    <cellStyle name="40% - Akzent5 139 2 2" xfId="14191"/>
    <cellStyle name="40% - Akzent5 14 3" xfId="14192"/>
    <cellStyle name="40% - Akzent5 14 2 2" xfId="14193"/>
    <cellStyle name="40% - Akzent5 140 3" xfId="14194"/>
    <cellStyle name="40% - Akzent5 140 2 2" xfId="14195"/>
    <cellStyle name="40% - Akzent5 141 3" xfId="14196"/>
    <cellStyle name="40% - Akzent5 141 2 2" xfId="14197"/>
    <cellStyle name="40% - Akzent5 142 3" xfId="14198"/>
    <cellStyle name="40% - Akzent5 142 2 2" xfId="14199"/>
    <cellStyle name="40% - Akzent5 143 3" xfId="14200"/>
    <cellStyle name="40% - Akzent5 143 2 2" xfId="14201"/>
    <cellStyle name="40% - Akzent5 144 3" xfId="14202"/>
    <cellStyle name="40% - Akzent5 144 2 2" xfId="14203"/>
    <cellStyle name="40% - Akzent5 145 3" xfId="14204"/>
    <cellStyle name="40% - Akzent5 145 2 2" xfId="14205"/>
    <cellStyle name="40% - Akzent5 146 3" xfId="14206"/>
    <cellStyle name="40% - Akzent5 146 2 2" xfId="14207"/>
    <cellStyle name="40% - Akzent5 147 3" xfId="14208"/>
    <cellStyle name="40% - Akzent5 147 2 2" xfId="14209"/>
    <cellStyle name="40% - Akzent5 148 3" xfId="14210"/>
    <cellStyle name="40% - Akzent5 148 2 2" xfId="14211"/>
    <cellStyle name="40% - Akzent5 149 3" xfId="14212"/>
    <cellStyle name="40% - Akzent5 149 2 2" xfId="14213"/>
    <cellStyle name="40% - Akzent5 15 3" xfId="14214"/>
    <cellStyle name="40% - Akzent5 15 2 2" xfId="14215"/>
    <cellStyle name="40% - Akzent5 150 3" xfId="14216"/>
    <cellStyle name="40% - Akzent5 150 2 2" xfId="14217"/>
    <cellStyle name="40% - Akzent5 151 3" xfId="14218"/>
    <cellStyle name="40% - Akzent5 151 2 2" xfId="14219"/>
    <cellStyle name="40% - Akzent5 16 3" xfId="14220"/>
    <cellStyle name="40% - Akzent5 16 2 2" xfId="14221"/>
    <cellStyle name="40% - Akzent5 17 3" xfId="14222"/>
    <cellStyle name="40% - Akzent5 17 2 2" xfId="14223"/>
    <cellStyle name="40% - Akzent5 18 3" xfId="14224"/>
    <cellStyle name="40% - Akzent5 18 2 2" xfId="14225"/>
    <cellStyle name="40% - Akzent5 19 3" xfId="14226"/>
    <cellStyle name="40% - Akzent5 19 2 2" xfId="14227"/>
    <cellStyle name="40% - Akzent5 2 6" xfId="14228"/>
    <cellStyle name="40% - Akzent5 2 2 2" xfId="14229"/>
    <cellStyle name="40% - Akzent5 2 3 2" xfId="14230"/>
    <cellStyle name="40% - Akzent5 2 4 3" xfId="14231"/>
    <cellStyle name="40% - Akzent5 2 4 2 2" xfId="14232"/>
    <cellStyle name="40% - Akzent5 2 5 2" xfId="14233"/>
    <cellStyle name="40% - Akzent5 20 3" xfId="14234"/>
    <cellStyle name="40% - Akzent5 20 2 2" xfId="14235"/>
    <cellStyle name="40% - Akzent5 21 3" xfId="14236"/>
    <cellStyle name="40% - Akzent5 21 2 2" xfId="14237"/>
    <cellStyle name="40% - Akzent5 22 3" xfId="14238"/>
    <cellStyle name="40% - Akzent5 22 2 2" xfId="14239"/>
    <cellStyle name="40% - Akzent5 23 3" xfId="14240"/>
    <cellStyle name="40% - Akzent5 23 2 2" xfId="14241"/>
    <cellStyle name="40% - Akzent5 24 3" xfId="14242"/>
    <cellStyle name="40% - Akzent5 24 2 2" xfId="14243"/>
    <cellStyle name="40% - Akzent5 25 3" xfId="14244"/>
    <cellStyle name="40% - Akzent5 25 2 2" xfId="14245"/>
    <cellStyle name="40% - Akzent5 26 3" xfId="14246"/>
    <cellStyle name="40% - Akzent5 26 2 2" xfId="14247"/>
    <cellStyle name="40% - Akzent5 27 3" xfId="14248"/>
    <cellStyle name="40% - Akzent5 27 2 2" xfId="14249"/>
    <cellStyle name="40% - Akzent5 28 3" xfId="14250"/>
    <cellStyle name="40% - Akzent5 28 2 2" xfId="14251"/>
    <cellStyle name="40% - Akzent5 29 3" xfId="14252"/>
    <cellStyle name="40% - Akzent5 29 2 2" xfId="14253"/>
    <cellStyle name="40% - Akzent5 3 6" xfId="14254"/>
    <cellStyle name="40% - Akzent5 3 2 2" xfId="14255"/>
    <cellStyle name="40% - Akzent5 3 3 2" xfId="14256"/>
    <cellStyle name="40% - Akzent5 3 4 3" xfId="14257"/>
    <cellStyle name="40% - Akzent5 3 4 2 2" xfId="14258"/>
    <cellStyle name="40% - Akzent5 3 5 2" xfId="14259"/>
    <cellStyle name="40% - Akzent5 30 3" xfId="14260"/>
    <cellStyle name="40% - Akzent5 30 2 2" xfId="14261"/>
    <cellStyle name="40% - Akzent5 31 3" xfId="14262"/>
    <cellStyle name="40% - Akzent5 31 2 2" xfId="14263"/>
    <cellStyle name="40% - Akzent5 32 3" xfId="14264"/>
    <cellStyle name="40% - Akzent5 32 2 2" xfId="14265"/>
    <cellStyle name="40% - Akzent5 33 3" xfId="14266"/>
    <cellStyle name="40% - Akzent5 33 2 2" xfId="14267"/>
    <cellStyle name="40% - Akzent5 34 3" xfId="14268"/>
    <cellStyle name="40% - Akzent5 34 2 2" xfId="14269"/>
    <cellStyle name="40% - Akzent5 35 3" xfId="14270"/>
    <cellStyle name="40% - Akzent5 35 2 2" xfId="14271"/>
    <cellStyle name="40% - Akzent5 36 3" xfId="14272"/>
    <cellStyle name="40% - Akzent5 36 2 2" xfId="14273"/>
    <cellStyle name="40% - Akzent5 37 3" xfId="14274"/>
    <cellStyle name="40% - Akzent5 37 2 2" xfId="14275"/>
    <cellStyle name="40% - Akzent5 38 3" xfId="14276"/>
    <cellStyle name="40% - Akzent5 38 2 2" xfId="14277"/>
    <cellStyle name="40% - Akzent5 39 3" xfId="14278"/>
    <cellStyle name="40% - Akzent5 39 2 2" xfId="14279"/>
    <cellStyle name="40% - Akzent5 4 6" xfId="14280"/>
    <cellStyle name="40% - Akzent5 4 2 2" xfId="14281"/>
    <cellStyle name="40% - Akzent5 4 3 2" xfId="14282"/>
    <cellStyle name="40% - Akzent5 4 4 3" xfId="14283"/>
    <cellStyle name="40% - Akzent5 4 4 2 2" xfId="14284"/>
    <cellStyle name="40% - Akzent5 4 5 2" xfId="14285"/>
    <cellStyle name="40% - Akzent5 40 3" xfId="14286"/>
    <cellStyle name="40% - Akzent5 40 2 2" xfId="14287"/>
    <cellStyle name="40% - Akzent5 41 3" xfId="14288"/>
    <cellStyle name="40% - Akzent5 41 2 2" xfId="14289"/>
    <cellStyle name="40% - Akzent5 42 3" xfId="14290"/>
    <cellStyle name="40% - Akzent5 42 2 2" xfId="14291"/>
    <cellStyle name="40% - Akzent5 43 3" xfId="14292"/>
    <cellStyle name="40% - Akzent5 43 2 2" xfId="14293"/>
    <cellStyle name="40% - Akzent5 44 3" xfId="14294"/>
    <cellStyle name="40% - Akzent5 44 2 2" xfId="14295"/>
    <cellStyle name="40% - Akzent5 45 3" xfId="14296"/>
    <cellStyle name="40% - Akzent5 45 2 2" xfId="14297"/>
    <cellStyle name="40% - Akzent5 46 3" xfId="14298"/>
    <cellStyle name="40% - Akzent5 46 2 2" xfId="14299"/>
    <cellStyle name="40% - Akzent5 47 3" xfId="14300"/>
    <cellStyle name="40% - Akzent5 47 2 2" xfId="14301"/>
    <cellStyle name="40% - Akzent5 48 3" xfId="14302"/>
    <cellStyle name="40% - Akzent5 48 2 2" xfId="14303"/>
    <cellStyle name="40% - Akzent5 49 3" xfId="14304"/>
    <cellStyle name="40% - Akzent5 49 2 2" xfId="14305"/>
    <cellStyle name="40% - Akzent5 5 3" xfId="14306"/>
    <cellStyle name="40% - Akzent5 5 2 2" xfId="14307"/>
    <cellStyle name="40% - Akzent5 50 3" xfId="14308"/>
    <cellStyle name="40% - Akzent5 50 2 2" xfId="14309"/>
    <cellStyle name="40% - Akzent5 51 3" xfId="14310"/>
    <cellStyle name="40% - Akzent5 51 2 2" xfId="14311"/>
    <cellStyle name="40% - Akzent5 52 3" xfId="14312"/>
    <cellStyle name="40% - Akzent5 52 2 2" xfId="14313"/>
    <cellStyle name="40% - Akzent5 53 3" xfId="14314"/>
    <cellStyle name="40% - Akzent5 53 2 2" xfId="14315"/>
    <cellStyle name="40% - Akzent5 54 3" xfId="14316"/>
    <cellStyle name="40% - Akzent5 54 2 2" xfId="14317"/>
    <cellStyle name="40% - Akzent5 55 3" xfId="14318"/>
    <cellStyle name="40% - Akzent5 55 2 2" xfId="14319"/>
    <cellStyle name="40% - Akzent5 56 3" xfId="14320"/>
    <cellStyle name="40% - Akzent5 56 2 2" xfId="14321"/>
    <cellStyle name="40% - Akzent5 57 3" xfId="14322"/>
    <cellStyle name="40% - Akzent5 57 2 2" xfId="14323"/>
    <cellStyle name="40% - Akzent5 58 3" xfId="14324"/>
    <cellStyle name="40% - Akzent5 58 2 2" xfId="14325"/>
    <cellStyle name="40% - Akzent5 59 3" xfId="14326"/>
    <cellStyle name="40% - Akzent5 59 2 2" xfId="14327"/>
    <cellStyle name="40% - Akzent5 6 3" xfId="14328"/>
    <cellStyle name="40% - Akzent5 6 2 2" xfId="14329"/>
    <cellStyle name="40% - Akzent5 60 3" xfId="14330"/>
    <cellStyle name="40% - Akzent5 60 2 2" xfId="14331"/>
    <cellStyle name="40% - Akzent5 61 3" xfId="14332"/>
    <cellStyle name="40% - Akzent5 61 2 2" xfId="14333"/>
    <cellStyle name="40% - Akzent5 62 3" xfId="14334"/>
    <cellStyle name="40% - Akzent5 62 2 2" xfId="14335"/>
    <cellStyle name="40% - Akzent5 63 3" xfId="14336"/>
    <cellStyle name="40% - Akzent5 63 2 2" xfId="14337"/>
    <cellStyle name="40% - Akzent5 64 3" xfId="14338"/>
    <cellStyle name="40% - Akzent5 64 2 2" xfId="14339"/>
    <cellStyle name="40% - Akzent5 65 3" xfId="14340"/>
    <cellStyle name="40% - Akzent5 65 2 2" xfId="14341"/>
    <cellStyle name="40% - Akzent5 66 3" xfId="14342"/>
    <cellStyle name="40% - Akzent5 66 2 2" xfId="14343"/>
    <cellStyle name="40% - Akzent5 67 3" xfId="14344"/>
    <cellStyle name="40% - Akzent5 67 2 2" xfId="14345"/>
    <cellStyle name="40% - Akzent5 68 3" xfId="14346"/>
    <cellStyle name="40% - Akzent5 68 2 2" xfId="14347"/>
    <cellStyle name="40% - Akzent5 69 3" xfId="14348"/>
    <cellStyle name="40% - Akzent5 69 2 2" xfId="14349"/>
    <cellStyle name="40% - Akzent5 7 3" xfId="14350"/>
    <cellStyle name="40% - Akzent5 7 2 2" xfId="14351"/>
    <cellStyle name="40% - Akzent5 70 3" xfId="14352"/>
    <cellStyle name="40% - Akzent5 70 2 2" xfId="14353"/>
    <cellStyle name="40% - Akzent5 71 3" xfId="14354"/>
    <cellStyle name="40% - Akzent5 71 2 2" xfId="14355"/>
    <cellStyle name="40% - Akzent5 72 3" xfId="14356"/>
    <cellStyle name="40% - Akzent5 72 2 2" xfId="14357"/>
    <cellStyle name="40% - Akzent5 73 3" xfId="14358"/>
    <cellStyle name="40% - Akzent5 73 2 2" xfId="14359"/>
    <cellStyle name="40% - Akzent5 74 3" xfId="14360"/>
    <cellStyle name="40% - Akzent5 74 2 2" xfId="14361"/>
    <cellStyle name="40% - Akzent5 75 3" xfId="14362"/>
    <cellStyle name="40% - Akzent5 75 2 2" xfId="14363"/>
    <cellStyle name="40% - Akzent5 76 3" xfId="14364"/>
    <cellStyle name="40% - Akzent5 76 2 2" xfId="14365"/>
    <cellStyle name="40% - Akzent5 77 3" xfId="14366"/>
    <cellStyle name="40% - Akzent5 77 2 2" xfId="14367"/>
    <cellStyle name="40% - Akzent5 78 3" xfId="14368"/>
    <cellStyle name="40% - Akzent5 78 2 2" xfId="14369"/>
    <cellStyle name="40% - Akzent5 79 3" xfId="14370"/>
    <cellStyle name="40% - Akzent5 79 2 2" xfId="14371"/>
    <cellStyle name="40% - Akzent5 8 3" xfId="14372"/>
    <cellStyle name="40% - Akzent5 8 2 2" xfId="14373"/>
    <cellStyle name="40% - Akzent5 80 3" xfId="14374"/>
    <cellStyle name="40% - Akzent5 80 2 2" xfId="14375"/>
    <cellStyle name="40% - Akzent5 81 3" xfId="14376"/>
    <cellStyle name="40% - Akzent5 81 2 2" xfId="14377"/>
    <cellStyle name="40% - Akzent5 82 3" xfId="14378"/>
    <cellStyle name="40% - Akzent5 82 2 2" xfId="14379"/>
    <cellStyle name="40% - Akzent5 83 3" xfId="14380"/>
    <cellStyle name="40% - Akzent5 83 2 2" xfId="14381"/>
    <cellStyle name="40% - Akzent5 84 3" xfId="14382"/>
    <cellStyle name="40% - Akzent5 84 2 2" xfId="14383"/>
    <cellStyle name="40% - Akzent5 85 3" xfId="14384"/>
    <cellStyle name="40% - Akzent5 85 2 2" xfId="14385"/>
    <cellStyle name="40% - Akzent5 86 3" xfId="14386"/>
    <cellStyle name="40% - Akzent5 86 2 2" xfId="14387"/>
    <cellStyle name="40% - Akzent5 87 3" xfId="14388"/>
    <cellStyle name="40% - Akzent5 87 2 2" xfId="14389"/>
    <cellStyle name="40% - Akzent5 88 3" xfId="14390"/>
    <cellStyle name="40% - Akzent5 88 2 2" xfId="14391"/>
    <cellStyle name="40% - Akzent5 89 3" xfId="14392"/>
    <cellStyle name="40% - Akzent5 89 2 2" xfId="14393"/>
    <cellStyle name="40% - Akzent5 9 3" xfId="14394"/>
    <cellStyle name="40% - Akzent5 9 2 2" xfId="14395"/>
    <cellStyle name="40% - Akzent5 90 3" xfId="14396"/>
    <cellStyle name="40% - Akzent5 90 2 2" xfId="14397"/>
    <cellStyle name="40% - Akzent5 91 3" xfId="14398"/>
    <cellStyle name="40% - Akzent5 91 2 2" xfId="14399"/>
    <cellStyle name="40% - Akzent5 92 3" xfId="14400"/>
    <cellStyle name="40% - Akzent5 92 2 2" xfId="14401"/>
    <cellStyle name="40% - Akzent5 93 3" xfId="14402"/>
    <cellStyle name="40% - Akzent5 93 2 2" xfId="14403"/>
    <cellStyle name="40% - Akzent5 94 3" xfId="14404"/>
    <cellStyle name="40% - Akzent5 94 2 2" xfId="14405"/>
    <cellStyle name="40% - Akzent5 95 3" xfId="14406"/>
    <cellStyle name="40% - Akzent5 95 2 2" xfId="14407"/>
    <cellStyle name="40% - Akzent5 96 3" xfId="14408"/>
    <cellStyle name="40% - Akzent5 96 2 2" xfId="14409"/>
    <cellStyle name="40% - Akzent5 97 3" xfId="14410"/>
    <cellStyle name="40% - Akzent5 97 2 2" xfId="14411"/>
    <cellStyle name="40% - Akzent5 98 3" xfId="14412"/>
    <cellStyle name="40% - Akzent5 98 2 2" xfId="14413"/>
    <cellStyle name="40% - Akzent5 99 3" xfId="14414"/>
    <cellStyle name="40% - Akzent5 99 2 2" xfId="14415"/>
    <cellStyle name="40% - Akzent6 10 3" xfId="14416"/>
    <cellStyle name="40% - Akzent6 10 2 2" xfId="14417"/>
    <cellStyle name="40% - Akzent6 100 3" xfId="14418"/>
    <cellStyle name="40% - Akzent6 100 2 2" xfId="14419"/>
    <cellStyle name="40% - Akzent6 101 3" xfId="14420"/>
    <cellStyle name="40% - Akzent6 101 2 2" xfId="14421"/>
    <cellStyle name="40% - Akzent6 102 3" xfId="14422"/>
    <cellStyle name="40% - Akzent6 102 2 2" xfId="14423"/>
    <cellStyle name="40% - Akzent6 103 3" xfId="14424"/>
    <cellStyle name="40% - Akzent6 103 2 2" xfId="14425"/>
    <cellStyle name="40% - Akzent6 104 3" xfId="14426"/>
    <cellStyle name="40% - Akzent6 104 2 2" xfId="14427"/>
    <cellStyle name="40% - Akzent6 105 3" xfId="14428"/>
    <cellStyle name="40% - Akzent6 105 2 2" xfId="14429"/>
    <cellStyle name="40% - Akzent6 106 3" xfId="14430"/>
    <cellStyle name="40% - Akzent6 106 2 2" xfId="14431"/>
    <cellStyle name="40% - Akzent6 107 3" xfId="14432"/>
    <cellStyle name="40% - Akzent6 107 2 2" xfId="14433"/>
    <cellStyle name="40% - Akzent6 108 3" xfId="14434"/>
    <cellStyle name="40% - Akzent6 108 2 2" xfId="14435"/>
    <cellStyle name="40% - Akzent6 109 3" xfId="14436"/>
    <cellStyle name="40% - Akzent6 109 2 2" xfId="14437"/>
    <cellStyle name="40% - Akzent6 11 3" xfId="14438"/>
    <cellStyle name="40% - Akzent6 11 2 2" xfId="14439"/>
    <cellStyle name="40% - Akzent6 110 3" xfId="14440"/>
    <cellStyle name="40% - Akzent6 110 2 2" xfId="14441"/>
    <cellStyle name="40% - Akzent6 111 3" xfId="14442"/>
    <cellStyle name="40% - Akzent6 111 2 2" xfId="14443"/>
    <cellStyle name="40% - Akzent6 112 3" xfId="14444"/>
    <cellStyle name="40% - Akzent6 112 2 2" xfId="14445"/>
    <cellStyle name="40% - Akzent6 113 3" xfId="14446"/>
    <cellStyle name="40% - Akzent6 113 2 2" xfId="14447"/>
    <cellStyle name="40% - Akzent6 114 3" xfId="14448"/>
    <cellStyle name="40% - Akzent6 114 2 2" xfId="14449"/>
    <cellStyle name="40% - Akzent6 115 3" xfId="14450"/>
    <cellStyle name="40% - Akzent6 115 2 2" xfId="14451"/>
    <cellStyle name="40% - Akzent6 116 3" xfId="14452"/>
    <cellStyle name="40% - Akzent6 116 2 2" xfId="14453"/>
    <cellStyle name="40% - Akzent6 117 3" xfId="14454"/>
    <cellStyle name="40% - Akzent6 117 2 2" xfId="14455"/>
    <cellStyle name="40% - Akzent6 118 3" xfId="14456"/>
    <cellStyle name="40% - Akzent6 118 2 2" xfId="14457"/>
    <cellStyle name="40% - Akzent6 119 3" xfId="14458"/>
    <cellStyle name="40% - Akzent6 119 2 2" xfId="14459"/>
    <cellStyle name="40% - Akzent6 12 3" xfId="14460"/>
    <cellStyle name="40% - Akzent6 12 2 2" xfId="14461"/>
    <cellStyle name="40% - Akzent6 120 3" xfId="14462"/>
    <cellStyle name="40% - Akzent6 120 2 2" xfId="14463"/>
    <cellStyle name="40% - Akzent6 121 3" xfId="14464"/>
    <cellStyle name="40% - Akzent6 121 2 2" xfId="14465"/>
    <cellStyle name="40% - Akzent6 122 3" xfId="14466"/>
    <cellStyle name="40% - Akzent6 122 2 2" xfId="14467"/>
    <cellStyle name="40% - Akzent6 123 3" xfId="14468"/>
    <cellStyle name="40% - Akzent6 123 2 2" xfId="14469"/>
    <cellStyle name="40% - Akzent6 124 3" xfId="14470"/>
    <cellStyle name="40% - Akzent6 124 2 2" xfId="14471"/>
    <cellStyle name="40% - Akzent6 125 3" xfId="14472"/>
    <cellStyle name="40% - Akzent6 125 2 2" xfId="14473"/>
    <cellStyle name="40% - Akzent6 126 3" xfId="14474"/>
    <cellStyle name="40% - Akzent6 126 2 2" xfId="14475"/>
    <cellStyle name="40% - Akzent6 127 3" xfId="14476"/>
    <cellStyle name="40% - Akzent6 127 2 2" xfId="14477"/>
    <cellStyle name="40% - Akzent6 128 3" xfId="14478"/>
    <cellStyle name="40% - Akzent6 128 2 2" xfId="14479"/>
    <cellStyle name="40% - Akzent6 129 3" xfId="14480"/>
    <cellStyle name="40% - Akzent6 129 2 2" xfId="14481"/>
    <cellStyle name="40% - Akzent6 13 3" xfId="14482"/>
    <cellStyle name="40% - Akzent6 13 2 2" xfId="14483"/>
    <cellStyle name="40% - Akzent6 130 3" xfId="14484"/>
    <cellStyle name="40% - Akzent6 130 2 2" xfId="14485"/>
    <cellStyle name="40% - Akzent6 131 3" xfId="14486"/>
    <cellStyle name="40% - Akzent6 131 2 2" xfId="14487"/>
    <cellStyle name="40% - Akzent6 132 3" xfId="14488"/>
    <cellStyle name="40% - Akzent6 132 2 2" xfId="14489"/>
    <cellStyle name="40% - Akzent6 133 3" xfId="14490"/>
    <cellStyle name="40% - Akzent6 133 2 2" xfId="14491"/>
    <cellStyle name="40% - Akzent6 134 3" xfId="14492"/>
    <cellStyle name="40% - Akzent6 134 2 2" xfId="14493"/>
    <cellStyle name="40% - Akzent6 135 3" xfId="14494"/>
    <cellStyle name="40% - Akzent6 135 2 2" xfId="14495"/>
    <cellStyle name="40% - Akzent6 136 3" xfId="14496"/>
    <cellStyle name="40% - Akzent6 136 2 2" xfId="14497"/>
    <cellStyle name="40% - Akzent6 137 3" xfId="14498"/>
    <cellStyle name="40% - Akzent6 137 2 2" xfId="14499"/>
    <cellStyle name="40% - Akzent6 138 3" xfId="14500"/>
    <cellStyle name="40% - Akzent6 138 2 2" xfId="14501"/>
    <cellStyle name="40% - Akzent6 139 3" xfId="14502"/>
    <cellStyle name="40% - Akzent6 139 2 2" xfId="14503"/>
    <cellStyle name="40% - Akzent6 14 3" xfId="14504"/>
    <cellStyle name="40% - Akzent6 14 2 2" xfId="14505"/>
    <cellStyle name="40% - Akzent6 140 3" xfId="14506"/>
    <cellStyle name="40% - Akzent6 140 2 2" xfId="14507"/>
    <cellStyle name="40% - Akzent6 141 3" xfId="14508"/>
    <cellStyle name="40% - Akzent6 141 2 2" xfId="14509"/>
    <cellStyle name="40% - Akzent6 142 3" xfId="14510"/>
    <cellStyle name="40% - Akzent6 142 2 2" xfId="14511"/>
    <cellStyle name="40% - Akzent6 143 3" xfId="14512"/>
    <cellStyle name="40% - Akzent6 143 2 2" xfId="14513"/>
    <cellStyle name="40% - Akzent6 144 3" xfId="14514"/>
    <cellStyle name="40% - Akzent6 144 2 2" xfId="14515"/>
    <cellStyle name="40% - Akzent6 145 3" xfId="14516"/>
    <cellStyle name="40% - Akzent6 145 2 2" xfId="14517"/>
    <cellStyle name="40% - Akzent6 146 3" xfId="14518"/>
    <cellStyle name="40% - Akzent6 146 2 2" xfId="14519"/>
    <cellStyle name="40% - Akzent6 147 3" xfId="14520"/>
    <cellStyle name="40% - Akzent6 147 2 2" xfId="14521"/>
    <cellStyle name="40% - Akzent6 148 3" xfId="14522"/>
    <cellStyle name="40% - Akzent6 148 2 2" xfId="14523"/>
    <cellStyle name="40% - Akzent6 149 3" xfId="14524"/>
    <cellStyle name="40% - Akzent6 149 2 2" xfId="14525"/>
    <cellStyle name="40% - Akzent6 15 3" xfId="14526"/>
    <cellStyle name="40% - Akzent6 15 2 2" xfId="14527"/>
    <cellStyle name="40% - Akzent6 150 3" xfId="14528"/>
    <cellStyle name="40% - Akzent6 150 2 2" xfId="14529"/>
    <cellStyle name="40% - Akzent6 151 3" xfId="14530"/>
    <cellStyle name="40% - Akzent6 151 2 2" xfId="14531"/>
    <cellStyle name="40% - Akzent6 16 3" xfId="14532"/>
    <cellStyle name="40% - Akzent6 16 2 2" xfId="14533"/>
    <cellStyle name="40% - Akzent6 17 3" xfId="14534"/>
    <cellStyle name="40% - Akzent6 17 2 2" xfId="14535"/>
    <cellStyle name="40% - Akzent6 18 3" xfId="14536"/>
    <cellStyle name="40% - Akzent6 18 2 2" xfId="14537"/>
    <cellStyle name="40% - Akzent6 19 3" xfId="14538"/>
    <cellStyle name="40% - Akzent6 19 2 2" xfId="14539"/>
    <cellStyle name="40% - Akzent6 2 6" xfId="14540"/>
    <cellStyle name="40% - Akzent6 2 2 2" xfId="14541"/>
    <cellStyle name="40% - Akzent6 2 3 2" xfId="14542"/>
    <cellStyle name="40% - Akzent6 2 4 3" xfId="14543"/>
    <cellStyle name="40% - Akzent6 2 4 2 2" xfId="14544"/>
    <cellStyle name="40% - Akzent6 2 5 2" xfId="14545"/>
    <cellStyle name="40% - Akzent6 20 3" xfId="14546"/>
    <cellStyle name="40% - Akzent6 20 2 2" xfId="14547"/>
    <cellStyle name="40% - Akzent6 21 3" xfId="14548"/>
    <cellStyle name="40% - Akzent6 21 2 2" xfId="14549"/>
    <cellStyle name="40% - Akzent6 22 3" xfId="14550"/>
    <cellStyle name="40% - Akzent6 22 2 2" xfId="14551"/>
    <cellStyle name="40% - Akzent6 23 3" xfId="14552"/>
    <cellStyle name="40% - Akzent6 23 2 2" xfId="14553"/>
    <cellStyle name="40% - Akzent6 24 3" xfId="14554"/>
    <cellStyle name="40% - Akzent6 24 2 2" xfId="14555"/>
    <cellStyle name="40% - Akzent6 25 3" xfId="14556"/>
    <cellStyle name="40% - Akzent6 25 2 2" xfId="14557"/>
    <cellStyle name="40% - Akzent6 26 3" xfId="14558"/>
    <cellStyle name="40% - Akzent6 26 2 2" xfId="14559"/>
    <cellStyle name="40% - Akzent6 27 3" xfId="14560"/>
    <cellStyle name="40% - Akzent6 27 2 2" xfId="14561"/>
    <cellStyle name="40% - Akzent6 28 3" xfId="14562"/>
    <cellStyle name="40% - Akzent6 28 2 2" xfId="14563"/>
    <cellStyle name="40% - Akzent6 29 3" xfId="14564"/>
    <cellStyle name="40% - Akzent6 29 2 2" xfId="14565"/>
    <cellStyle name="40% - Akzent6 3 6" xfId="14566"/>
    <cellStyle name="40% - Akzent6 3 2 2" xfId="14567"/>
    <cellStyle name="40% - Akzent6 3 3 2" xfId="14568"/>
    <cellStyle name="40% - Akzent6 3 4 3" xfId="14569"/>
    <cellStyle name="40% - Akzent6 3 4 2 2" xfId="14570"/>
    <cellStyle name="40% - Akzent6 3 5 2" xfId="14571"/>
    <cellStyle name="40% - Akzent6 30 3" xfId="14572"/>
    <cellStyle name="40% - Akzent6 30 2 2" xfId="14573"/>
    <cellStyle name="40% - Akzent6 31 3" xfId="14574"/>
    <cellStyle name="40% - Akzent6 31 2 2" xfId="14575"/>
    <cellStyle name="40% - Akzent6 32 3" xfId="14576"/>
    <cellStyle name="40% - Akzent6 32 2 2" xfId="14577"/>
    <cellStyle name="40% - Akzent6 33 3" xfId="14578"/>
    <cellStyle name="40% - Akzent6 33 2 2" xfId="14579"/>
    <cellStyle name="40% - Akzent6 34 3" xfId="14580"/>
    <cellStyle name="40% - Akzent6 34 2 2" xfId="14581"/>
    <cellStyle name="40% - Akzent6 35 3" xfId="14582"/>
    <cellStyle name="40% - Akzent6 35 2 2" xfId="14583"/>
    <cellStyle name="40% - Akzent6 36 3" xfId="14584"/>
    <cellStyle name="40% - Akzent6 36 2 2" xfId="14585"/>
    <cellStyle name="40% - Akzent6 37 3" xfId="14586"/>
    <cellStyle name="40% - Akzent6 37 2 2" xfId="14587"/>
    <cellStyle name="40% - Akzent6 38 3" xfId="14588"/>
    <cellStyle name="40% - Akzent6 38 2 2" xfId="14589"/>
    <cellStyle name="40% - Akzent6 39 3" xfId="14590"/>
    <cellStyle name="40% - Akzent6 39 2 2" xfId="14591"/>
    <cellStyle name="40% - Akzent6 4 6" xfId="14592"/>
    <cellStyle name="40% - Akzent6 4 2 2" xfId="14593"/>
    <cellStyle name="40% - Akzent6 4 3 2" xfId="14594"/>
    <cellStyle name="40% - Akzent6 4 4 3" xfId="14595"/>
    <cellStyle name="40% - Akzent6 4 4 2 2" xfId="14596"/>
    <cellStyle name="40% - Akzent6 4 5 2" xfId="14597"/>
    <cellStyle name="40% - Akzent6 40 3" xfId="14598"/>
    <cellStyle name="40% - Akzent6 40 2 2" xfId="14599"/>
    <cellStyle name="40% - Akzent6 41 3" xfId="14600"/>
    <cellStyle name="40% - Akzent6 41 2 2" xfId="14601"/>
    <cellStyle name="40% - Akzent6 42 3" xfId="14602"/>
    <cellStyle name="40% - Akzent6 42 2 2" xfId="14603"/>
    <cellStyle name="40% - Akzent6 43 3" xfId="14604"/>
    <cellStyle name="40% - Akzent6 43 2 2" xfId="14605"/>
    <cellStyle name="40% - Akzent6 44 3" xfId="14606"/>
    <cellStyle name="40% - Akzent6 44 2 2" xfId="14607"/>
    <cellStyle name="40% - Akzent6 45 3" xfId="14608"/>
    <cellStyle name="40% - Akzent6 45 2 2" xfId="14609"/>
    <cellStyle name="40% - Akzent6 46 3" xfId="14610"/>
    <cellStyle name="40% - Akzent6 46 2 2" xfId="14611"/>
    <cellStyle name="40% - Akzent6 47 3" xfId="14612"/>
    <cellStyle name="40% - Akzent6 47 2 2" xfId="14613"/>
    <cellStyle name="40% - Akzent6 48 3" xfId="14614"/>
    <cellStyle name="40% - Akzent6 48 2 2" xfId="14615"/>
    <cellStyle name="40% - Akzent6 49 3" xfId="14616"/>
    <cellStyle name="40% - Akzent6 49 2 2" xfId="14617"/>
    <cellStyle name="40% - Akzent6 5 3" xfId="14618"/>
    <cellStyle name="40% - Akzent6 5 2 2" xfId="14619"/>
    <cellStyle name="40% - Akzent6 50 3" xfId="14620"/>
    <cellStyle name="40% - Akzent6 50 2 2" xfId="14621"/>
    <cellStyle name="40% - Akzent6 51 3" xfId="14622"/>
    <cellStyle name="40% - Akzent6 51 2 2" xfId="14623"/>
    <cellStyle name="40% - Akzent6 52 3" xfId="14624"/>
    <cellStyle name="40% - Akzent6 52 2 2" xfId="14625"/>
    <cellStyle name="40% - Akzent6 53 3" xfId="14626"/>
    <cellStyle name="40% - Akzent6 53 2 2" xfId="14627"/>
    <cellStyle name="40% - Akzent6 54 3" xfId="14628"/>
    <cellStyle name="40% - Akzent6 54 2 2" xfId="14629"/>
    <cellStyle name="40% - Akzent6 55 3" xfId="14630"/>
    <cellStyle name="40% - Akzent6 55 2 2" xfId="14631"/>
    <cellStyle name="40% - Akzent6 56 3" xfId="14632"/>
    <cellStyle name="40% - Akzent6 56 2 2" xfId="14633"/>
    <cellStyle name="40% - Akzent6 57 3" xfId="14634"/>
    <cellStyle name="40% - Akzent6 57 2 2" xfId="14635"/>
    <cellStyle name="40% - Akzent6 58 3" xfId="14636"/>
    <cellStyle name="40% - Akzent6 58 2 2" xfId="14637"/>
    <cellStyle name="40% - Akzent6 59 3" xfId="14638"/>
    <cellStyle name="40% - Akzent6 59 2 2" xfId="14639"/>
    <cellStyle name="40% - Akzent6 6 3" xfId="14640"/>
    <cellStyle name="40% - Akzent6 6 2 2" xfId="14641"/>
    <cellStyle name="40% - Akzent6 60 3" xfId="14642"/>
    <cellStyle name="40% - Akzent6 60 2 2" xfId="14643"/>
    <cellStyle name="40% - Akzent6 61 3" xfId="14644"/>
    <cellStyle name="40% - Akzent6 61 2 2" xfId="14645"/>
    <cellStyle name="40% - Akzent6 62 3" xfId="14646"/>
    <cellStyle name="40% - Akzent6 62 2 2" xfId="14647"/>
    <cellStyle name="40% - Akzent6 63 3" xfId="14648"/>
    <cellStyle name="40% - Akzent6 63 2 2" xfId="14649"/>
    <cellStyle name="40% - Akzent6 64 3" xfId="14650"/>
    <cellStyle name="40% - Akzent6 64 2 2" xfId="14651"/>
    <cellStyle name="40% - Akzent6 65 3" xfId="14652"/>
    <cellStyle name="40% - Akzent6 65 2 2" xfId="14653"/>
    <cellStyle name="40% - Akzent6 66 3" xfId="14654"/>
    <cellStyle name="40% - Akzent6 66 2 2" xfId="14655"/>
    <cellStyle name="40% - Akzent6 67 3" xfId="14656"/>
    <cellStyle name="40% - Akzent6 67 2 2" xfId="14657"/>
    <cellStyle name="40% - Akzent6 68 3" xfId="14658"/>
    <cellStyle name="40% - Akzent6 68 2 2" xfId="14659"/>
    <cellStyle name="40% - Akzent6 69 3" xfId="14660"/>
    <cellStyle name="40% - Akzent6 69 2 2" xfId="14661"/>
    <cellStyle name="40% - Akzent6 7 3" xfId="14662"/>
    <cellStyle name="40% - Akzent6 7 2 2" xfId="14663"/>
    <cellStyle name="40% - Akzent6 70 3" xfId="14664"/>
    <cellStyle name="40% - Akzent6 70 2 2" xfId="14665"/>
    <cellStyle name="40% - Akzent6 71 3" xfId="14666"/>
    <cellStyle name="40% - Akzent6 71 2 2" xfId="14667"/>
    <cellStyle name="40% - Akzent6 72 3" xfId="14668"/>
    <cellStyle name="40% - Akzent6 72 2 2" xfId="14669"/>
    <cellStyle name="40% - Akzent6 73 3" xfId="14670"/>
    <cellStyle name="40% - Akzent6 73 2 2" xfId="14671"/>
    <cellStyle name="40% - Akzent6 74 3" xfId="14672"/>
    <cellStyle name="40% - Akzent6 74 2 2" xfId="14673"/>
    <cellStyle name="40% - Akzent6 75 3" xfId="14674"/>
    <cellStyle name="40% - Akzent6 75 2 2" xfId="14675"/>
    <cellStyle name="40% - Akzent6 76 3" xfId="14676"/>
    <cellStyle name="40% - Akzent6 76 2 2" xfId="14677"/>
    <cellStyle name="40% - Akzent6 77 3" xfId="14678"/>
    <cellStyle name="40% - Akzent6 77 2 2" xfId="14679"/>
    <cellStyle name="40% - Akzent6 78 3" xfId="14680"/>
    <cellStyle name="40% - Akzent6 78 2 2" xfId="14681"/>
    <cellStyle name="40% - Akzent6 79 3" xfId="14682"/>
    <cellStyle name="40% - Akzent6 79 2 2" xfId="14683"/>
    <cellStyle name="40% - Akzent6 8 3" xfId="14684"/>
    <cellStyle name="40% - Akzent6 8 2 2" xfId="14685"/>
    <cellStyle name="40% - Akzent6 80 3" xfId="14686"/>
    <cellStyle name="40% - Akzent6 80 2 2" xfId="14687"/>
    <cellStyle name="40% - Akzent6 81 3" xfId="14688"/>
    <cellStyle name="40% - Akzent6 81 2 2" xfId="14689"/>
    <cellStyle name="40% - Akzent6 82 3" xfId="14690"/>
    <cellStyle name="40% - Akzent6 82 2 2" xfId="14691"/>
    <cellStyle name="40% - Akzent6 83 3" xfId="14692"/>
    <cellStyle name="40% - Akzent6 83 2 2" xfId="14693"/>
    <cellStyle name="40% - Akzent6 84 3" xfId="14694"/>
    <cellStyle name="40% - Akzent6 84 2 2" xfId="14695"/>
    <cellStyle name="40% - Akzent6 85 3" xfId="14696"/>
    <cellStyle name="40% - Akzent6 85 2 2" xfId="14697"/>
    <cellStyle name="40% - Akzent6 86 3" xfId="14698"/>
    <cellStyle name="40% - Akzent6 86 2 2" xfId="14699"/>
    <cellStyle name="40% - Akzent6 87 3" xfId="14700"/>
    <cellStyle name="40% - Akzent6 87 2 2" xfId="14701"/>
    <cellStyle name="40% - Akzent6 88 3" xfId="14702"/>
    <cellStyle name="40% - Akzent6 88 2 2" xfId="14703"/>
    <cellStyle name="40% - Akzent6 89 3" xfId="14704"/>
    <cellStyle name="40% - Akzent6 89 2 2" xfId="14705"/>
    <cellStyle name="40% - Akzent6 9 3" xfId="14706"/>
    <cellStyle name="40% - Akzent6 9 2 2" xfId="14707"/>
    <cellStyle name="40% - Akzent6 90 3" xfId="14708"/>
    <cellStyle name="40% - Akzent6 90 2 2" xfId="14709"/>
    <cellStyle name="40% - Akzent6 91 3" xfId="14710"/>
    <cellStyle name="40% - Akzent6 91 2 2" xfId="14711"/>
    <cellStyle name="40% - Akzent6 92 3" xfId="14712"/>
    <cellStyle name="40% - Akzent6 92 2 2" xfId="14713"/>
    <cellStyle name="40% - Akzent6 93 3" xfId="14714"/>
    <cellStyle name="40% - Akzent6 93 2 2" xfId="14715"/>
    <cellStyle name="40% - Akzent6 94 3" xfId="14716"/>
    <cellStyle name="40% - Akzent6 94 2 2" xfId="14717"/>
    <cellStyle name="40% - Akzent6 95 3" xfId="14718"/>
    <cellStyle name="40% - Akzent6 95 2 2" xfId="14719"/>
    <cellStyle name="40% - Akzent6 96 3" xfId="14720"/>
    <cellStyle name="40% - Akzent6 96 2 2" xfId="14721"/>
    <cellStyle name="40% - Akzent6 97 3" xfId="14722"/>
    <cellStyle name="40% - Akzent6 97 2 2" xfId="14723"/>
    <cellStyle name="40% - Akzent6 98 3" xfId="14724"/>
    <cellStyle name="40% - Akzent6 98 2 2" xfId="14725"/>
    <cellStyle name="40% - Akzent6 99 3" xfId="14726"/>
    <cellStyle name="40% - Akzent6 99 2 2" xfId="14727"/>
    <cellStyle name="60 % - Akzent1 2" xfId="14728"/>
    <cellStyle name="60 % - Akzent2 2" xfId="14729"/>
    <cellStyle name="60 % - Akzent3 2" xfId="14730"/>
    <cellStyle name="60 % - Akzent4 2" xfId="14731"/>
    <cellStyle name="60 % - Akzent5 2" xfId="14732"/>
    <cellStyle name="60 % - Akzent6 2" xfId="14733"/>
    <cellStyle name="60% - Accent1 2 2" xfId="14734"/>
    <cellStyle name="60% - Accent2 2 2" xfId="14735"/>
    <cellStyle name="60% - Accent3 2 2" xfId="14736"/>
    <cellStyle name="60% - Accent3 3 2" xfId="14737"/>
    <cellStyle name="60% - Accent4 2 2" xfId="14738"/>
    <cellStyle name="60% - Accent4 3 2" xfId="14739"/>
    <cellStyle name="60% - Accent5 2 2" xfId="14740"/>
    <cellStyle name="60% - Accent6 2 2" xfId="14741"/>
    <cellStyle name="60% - Accent6 3 2" xfId="14742"/>
    <cellStyle name="60% - Akzent1 10 3" xfId="14743"/>
    <cellStyle name="60% - Akzent1 10 2 2" xfId="14744"/>
    <cellStyle name="60% - Akzent1 100 2" xfId="14745"/>
    <cellStyle name="60% - Akzent1 101 2" xfId="14746"/>
    <cellStyle name="60% - Akzent1 102 2" xfId="14747"/>
    <cellStyle name="60% - Akzent1 103 2" xfId="14748"/>
    <cellStyle name="60% - Akzent1 104 2" xfId="14749"/>
    <cellStyle name="60% - Akzent1 105 2" xfId="14750"/>
    <cellStyle name="60% - Akzent1 106 2" xfId="14751"/>
    <cellStyle name="60% - Akzent1 107 2" xfId="14752"/>
    <cellStyle name="60% - Akzent1 108 2" xfId="14753"/>
    <cellStyle name="60% - Akzent1 109 2" xfId="14754"/>
    <cellStyle name="60% - Akzent1 11 3" xfId="14755"/>
    <cellStyle name="60% - Akzent1 11 2 2" xfId="14756"/>
    <cellStyle name="60% - Akzent1 110 2" xfId="14757"/>
    <cellStyle name="60% - Akzent1 111 2" xfId="14758"/>
    <cellStyle name="60% - Akzent1 112 2" xfId="14759"/>
    <cellStyle name="60% - Akzent1 113 2" xfId="14760"/>
    <cellStyle name="60% - Akzent1 114 2" xfId="14761"/>
    <cellStyle name="60% - Akzent1 115 2" xfId="14762"/>
    <cellStyle name="60% - Akzent1 116 2" xfId="14763"/>
    <cellStyle name="60% - Akzent1 117 2" xfId="14764"/>
    <cellStyle name="60% - Akzent1 118 2" xfId="14765"/>
    <cellStyle name="60% - Akzent1 119 2" xfId="14766"/>
    <cellStyle name="60% - Akzent1 12 3" xfId="14767"/>
    <cellStyle name="60% - Akzent1 12 2 2" xfId="14768"/>
    <cellStyle name="60% - Akzent1 120 2" xfId="14769"/>
    <cellStyle name="60% - Akzent1 121 2" xfId="14770"/>
    <cellStyle name="60% - Akzent1 122 2" xfId="14771"/>
    <cellStyle name="60% - Akzent1 123 2" xfId="14772"/>
    <cellStyle name="60% - Akzent1 124 2" xfId="14773"/>
    <cellStyle name="60% - Akzent1 125 2" xfId="14774"/>
    <cellStyle name="60% - Akzent1 126 2" xfId="14775"/>
    <cellStyle name="60% - Akzent1 127 2" xfId="14776"/>
    <cellStyle name="60% - Akzent1 128 2" xfId="14777"/>
    <cellStyle name="60% - Akzent1 129 2" xfId="14778"/>
    <cellStyle name="60% - Akzent1 13 3" xfId="14779"/>
    <cellStyle name="60% - Akzent1 13 2 2" xfId="14780"/>
    <cellStyle name="60% - Akzent1 130 2" xfId="14781"/>
    <cellStyle name="60% - Akzent1 131 2" xfId="14782"/>
    <cellStyle name="60% - Akzent1 132 2" xfId="14783"/>
    <cellStyle name="60% - Akzent1 133 2" xfId="14784"/>
    <cellStyle name="60% - Akzent1 134 2" xfId="14785"/>
    <cellStyle name="60% - Akzent1 135 2" xfId="14786"/>
    <cellStyle name="60% - Akzent1 136 2" xfId="14787"/>
    <cellStyle name="60% - Akzent1 137 2" xfId="14788"/>
    <cellStyle name="60% - Akzent1 138 2" xfId="14789"/>
    <cellStyle name="60% - Akzent1 139 2" xfId="14790"/>
    <cellStyle name="60% - Akzent1 14 3" xfId="14791"/>
    <cellStyle name="60% - Akzent1 14 2 2" xfId="14792"/>
    <cellStyle name="60% - Akzent1 140 2" xfId="14793"/>
    <cellStyle name="60% - Akzent1 141 2" xfId="14794"/>
    <cellStyle name="60% - Akzent1 142 2" xfId="14795"/>
    <cellStyle name="60% - Akzent1 143 2" xfId="14796"/>
    <cellStyle name="60% - Akzent1 144 2" xfId="14797"/>
    <cellStyle name="60% - Akzent1 145 2" xfId="14798"/>
    <cellStyle name="60% - Akzent1 146 2" xfId="14799"/>
    <cellStyle name="60% - Akzent1 147 2" xfId="14800"/>
    <cellStyle name="60% - Akzent1 148 2" xfId="14801"/>
    <cellStyle name="60% - Akzent1 149 2" xfId="14802"/>
    <cellStyle name="60% - Akzent1 15 2" xfId="14803"/>
    <cellStyle name="60% - Akzent1 150 2" xfId="14804"/>
    <cellStyle name="60% - Akzent1 151 2" xfId="14805"/>
    <cellStyle name="60% - Akzent1 16 2" xfId="14806"/>
    <cellStyle name="60% - Akzent1 17 2" xfId="14807"/>
    <cellStyle name="60% - Akzent1 18 2" xfId="14808"/>
    <cellStyle name="60% - Akzent1 19 2" xfId="14809"/>
    <cellStyle name="60% - Akzent1 2 3" xfId="14810"/>
    <cellStyle name="60% - Akzent1 2 2 2" xfId="14811"/>
    <cellStyle name="60% - Akzent1 20 2" xfId="14812"/>
    <cellStyle name="60% - Akzent1 21 2" xfId="14813"/>
    <cellStyle name="60% - Akzent1 22 2" xfId="14814"/>
    <cellStyle name="60% - Akzent1 23 2" xfId="14815"/>
    <cellStyle name="60% - Akzent1 24 2" xfId="14816"/>
    <cellStyle name="60% - Akzent1 25 2" xfId="14817"/>
    <cellStyle name="60% - Akzent1 26 2" xfId="14818"/>
    <cellStyle name="60% - Akzent1 27 2" xfId="14819"/>
    <cellStyle name="60% - Akzent1 28 2" xfId="14820"/>
    <cellStyle name="60% - Akzent1 29 2" xfId="14821"/>
    <cellStyle name="60% - Akzent1 3 3" xfId="14822"/>
    <cellStyle name="60% - Akzent1 3 2 2" xfId="14823"/>
    <cellStyle name="60% - Akzent1 30 2" xfId="14824"/>
    <cellStyle name="60% - Akzent1 31 2" xfId="14825"/>
    <cellStyle name="60% - Akzent1 32 2" xfId="14826"/>
    <cellStyle name="60% - Akzent1 33 2" xfId="14827"/>
    <cellStyle name="60% - Akzent1 34 2" xfId="14828"/>
    <cellStyle name="60% - Akzent1 35 2" xfId="14829"/>
    <cellStyle name="60% - Akzent1 36 2" xfId="14830"/>
    <cellStyle name="60% - Akzent1 37 2" xfId="14831"/>
    <cellStyle name="60% - Akzent1 38 2" xfId="14832"/>
    <cellStyle name="60% - Akzent1 39 2" xfId="14833"/>
    <cellStyle name="60% - Akzent1 4 3" xfId="14834"/>
    <cellStyle name="60% - Akzent1 4 2 2" xfId="14835"/>
    <cellStyle name="60% - Akzent1 40 2" xfId="14836"/>
    <cellStyle name="60% - Akzent1 41 2" xfId="14837"/>
    <cellStyle name="60% - Akzent1 42 2" xfId="14838"/>
    <cellStyle name="60% - Akzent1 43 2" xfId="14839"/>
    <cellStyle name="60% - Akzent1 44 2" xfId="14840"/>
    <cellStyle name="60% - Akzent1 45 2" xfId="14841"/>
    <cellStyle name="60% - Akzent1 46 2" xfId="14842"/>
    <cellStyle name="60% - Akzent1 47 2" xfId="14843"/>
    <cellStyle name="60% - Akzent1 48 2" xfId="14844"/>
    <cellStyle name="60% - Akzent1 49 2" xfId="14845"/>
    <cellStyle name="60% - Akzent1 5 3" xfId="14846"/>
    <cellStyle name="60% - Akzent1 5 2 2" xfId="14847"/>
    <cellStyle name="60% - Akzent1 50 2" xfId="14848"/>
    <cellStyle name="60% - Akzent1 51 2" xfId="14849"/>
    <cellStyle name="60% - Akzent1 52 2" xfId="14850"/>
    <cellStyle name="60% - Akzent1 53 2" xfId="14851"/>
    <cellStyle name="60% - Akzent1 54 2" xfId="14852"/>
    <cellStyle name="60% - Akzent1 55 2" xfId="14853"/>
    <cellStyle name="60% - Akzent1 56 2" xfId="14854"/>
    <cellStyle name="60% - Akzent1 57 2" xfId="14855"/>
    <cellStyle name="60% - Akzent1 58 2" xfId="14856"/>
    <cellStyle name="60% - Akzent1 59 2" xfId="14857"/>
    <cellStyle name="60% - Akzent1 6 3" xfId="14858"/>
    <cellStyle name="60% - Akzent1 6 2 2" xfId="14859"/>
    <cellStyle name="60% - Akzent1 60 2" xfId="14860"/>
    <cellStyle name="60% - Akzent1 61 2" xfId="14861"/>
    <cellStyle name="60% - Akzent1 62 2" xfId="14862"/>
    <cellStyle name="60% - Akzent1 63 2" xfId="14863"/>
    <cellStyle name="60% - Akzent1 64 2" xfId="14864"/>
    <cellStyle name="60% - Akzent1 65 2" xfId="14865"/>
    <cellStyle name="60% - Akzent1 66 2" xfId="14866"/>
    <cellStyle name="60% - Akzent1 67 2" xfId="14867"/>
    <cellStyle name="60% - Akzent1 68 2" xfId="14868"/>
    <cellStyle name="60% - Akzent1 69 2" xfId="14869"/>
    <cellStyle name="60% - Akzent1 7 3" xfId="14870"/>
    <cellStyle name="60% - Akzent1 7 2 2" xfId="14871"/>
    <cellStyle name="60% - Akzent1 70 2" xfId="14872"/>
    <cellStyle name="60% - Akzent1 71 2" xfId="14873"/>
    <cellStyle name="60% - Akzent1 72 2" xfId="14874"/>
    <cellStyle name="60% - Akzent1 73 2" xfId="14875"/>
    <cellStyle name="60% - Akzent1 74 2" xfId="14876"/>
    <cellStyle name="60% - Akzent1 75 2" xfId="14877"/>
    <cellStyle name="60% - Akzent1 76 2" xfId="14878"/>
    <cellStyle name="60% - Akzent1 77 2" xfId="14879"/>
    <cellStyle name="60% - Akzent1 78 2" xfId="14880"/>
    <cellStyle name="60% - Akzent1 79 2" xfId="14881"/>
    <cellStyle name="60% - Akzent1 8 3" xfId="14882"/>
    <cellStyle name="60% - Akzent1 8 2 2" xfId="14883"/>
    <cellStyle name="60% - Akzent1 80 2" xfId="14884"/>
    <cellStyle name="60% - Akzent1 81 2" xfId="14885"/>
    <cellStyle name="60% - Akzent1 82 2" xfId="14886"/>
    <cellStyle name="60% - Akzent1 83 2" xfId="14887"/>
    <cellStyle name="60% - Akzent1 84 2" xfId="14888"/>
    <cellStyle name="60% - Akzent1 85 2" xfId="14889"/>
    <cellStyle name="60% - Akzent1 86 2" xfId="14890"/>
    <cellStyle name="60% - Akzent1 87 2" xfId="14891"/>
    <cellStyle name="60% - Akzent1 88 2" xfId="14892"/>
    <cellStyle name="60% - Akzent1 89 2" xfId="14893"/>
    <cellStyle name="60% - Akzent1 9 3" xfId="14894"/>
    <cellStyle name="60% - Akzent1 9 2 2" xfId="14895"/>
    <cellStyle name="60% - Akzent1 90 2" xfId="14896"/>
    <cellStyle name="60% - Akzent1 91 2" xfId="14897"/>
    <cellStyle name="60% - Akzent1 92 2" xfId="14898"/>
    <cellStyle name="60% - Akzent1 93 2" xfId="14899"/>
    <cellStyle name="60% - Akzent1 94 2" xfId="14900"/>
    <cellStyle name="60% - Akzent1 95 2" xfId="14901"/>
    <cellStyle name="60% - Akzent1 96 2" xfId="14902"/>
    <cellStyle name="60% - Akzent1 97 2" xfId="14903"/>
    <cellStyle name="60% - Akzent1 98 2" xfId="14904"/>
    <cellStyle name="60% - Akzent1 99 2" xfId="14905"/>
    <cellStyle name="60% - Akzent2 10 3" xfId="14906"/>
    <cellStyle name="60% - Akzent2 10 2 2" xfId="14907"/>
    <cellStyle name="60% - Akzent2 100 2" xfId="14908"/>
    <cellStyle name="60% - Akzent2 101 2" xfId="14909"/>
    <cellStyle name="60% - Akzent2 102 2" xfId="14910"/>
    <cellStyle name="60% - Akzent2 103 2" xfId="14911"/>
    <cellStyle name="60% - Akzent2 104 2" xfId="14912"/>
    <cellStyle name="60% - Akzent2 105 2" xfId="14913"/>
    <cellStyle name="60% - Akzent2 106 2" xfId="14914"/>
    <cellStyle name="60% - Akzent2 107 2" xfId="14915"/>
    <cellStyle name="60% - Akzent2 108 2" xfId="14916"/>
    <cellStyle name="60% - Akzent2 109 2" xfId="14917"/>
    <cellStyle name="60% - Akzent2 11 3" xfId="14918"/>
    <cellStyle name="60% - Akzent2 11 2 2" xfId="14919"/>
    <cellStyle name="60% - Akzent2 110 2" xfId="14920"/>
    <cellStyle name="60% - Akzent2 111 2" xfId="14921"/>
    <cellStyle name="60% - Akzent2 112 2" xfId="14922"/>
    <cellStyle name="60% - Akzent2 113 2" xfId="14923"/>
    <cellStyle name="60% - Akzent2 114 2" xfId="14924"/>
    <cellStyle name="60% - Akzent2 115 2" xfId="14925"/>
    <cellStyle name="60% - Akzent2 116 2" xfId="14926"/>
    <cellStyle name="60% - Akzent2 117 2" xfId="14927"/>
    <cellStyle name="60% - Akzent2 118 2" xfId="14928"/>
    <cellStyle name="60% - Akzent2 119 2" xfId="14929"/>
    <cellStyle name="60% - Akzent2 12 3" xfId="14930"/>
    <cellStyle name="60% - Akzent2 12 2 2" xfId="14931"/>
    <cellStyle name="60% - Akzent2 120 2" xfId="14932"/>
    <cellStyle name="60% - Akzent2 121 2" xfId="14933"/>
    <cellStyle name="60% - Akzent2 122 2" xfId="14934"/>
    <cellStyle name="60% - Akzent2 123 2" xfId="14935"/>
    <cellStyle name="60% - Akzent2 124 2" xfId="14936"/>
    <cellStyle name="60% - Akzent2 125 2" xfId="14937"/>
    <cellStyle name="60% - Akzent2 126 2" xfId="14938"/>
    <cellStyle name="60% - Akzent2 127 2" xfId="14939"/>
    <cellStyle name="60% - Akzent2 128 2" xfId="14940"/>
    <cellStyle name="60% - Akzent2 129 2" xfId="14941"/>
    <cellStyle name="60% - Akzent2 13 3" xfId="14942"/>
    <cellStyle name="60% - Akzent2 13 2 2" xfId="14943"/>
    <cellStyle name="60% - Akzent2 130 2" xfId="14944"/>
    <cellStyle name="60% - Akzent2 131 2" xfId="14945"/>
    <cellStyle name="60% - Akzent2 132 2" xfId="14946"/>
    <cellStyle name="60% - Akzent2 133 2" xfId="14947"/>
    <cellStyle name="60% - Akzent2 134 2" xfId="14948"/>
    <cellStyle name="60% - Akzent2 135 2" xfId="14949"/>
    <cellStyle name="60% - Akzent2 136 2" xfId="14950"/>
    <cellStyle name="60% - Akzent2 137 2" xfId="14951"/>
    <cellStyle name="60% - Akzent2 138 2" xfId="14952"/>
    <cellStyle name="60% - Akzent2 139 2" xfId="14953"/>
    <cellStyle name="60% - Akzent2 14 3" xfId="14954"/>
    <cellStyle name="60% - Akzent2 14 2 2" xfId="14955"/>
    <cellStyle name="60% - Akzent2 140 2" xfId="14956"/>
    <cellStyle name="60% - Akzent2 141 2" xfId="14957"/>
    <cellStyle name="60% - Akzent2 142 2" xfId="14958"/>
    <cellStyle name="60% - Akzent2 143 2" xfId="14959"/>
    <cellStyle name="60% - Akzent2 144 2" xfId="14960"/>
    <cellStyle name="60% - Akzent2 145 2" xfId="14961"/>
    <cellStyle name="60% - Akzent2 146 2" xfId="14962"/>
    <cellStyle name="60% - Akzent2 147 2" xfId="14963"/>
    <cellStyle name="60% - Akzent2 148 2" xfId="14964"/>
    <cellStyle name="60% - Akzent2 149 2" xfId="14965"/>
    <cellStyle name="60% - Akzent2 15 2" xfId="14966"/>
    <cellStyle name="60% - Akzent2 150 2" xfId="14967"/>
    <cellStyle name="60% - Akzent2 151 2" xfId="14968"/>
    <cellStyle name="60% - Akzent2 16 2" xfId="14969"/>
    <cellStyle name="60% - Akzent2 17 2" xfId="14970"/>
    <cellStyle name="60% - Akzent2 18 2" xfId="14971"/>
    <cellStyle name="60% - Akzent2 19 2" xfId="14972"/>
    <cellStyle name="60% - Akzent2 2 3" xfId="14973"/>
    <cellStyle name="60% - Akzent2 2 2 2" xfId="14974"/>
    <cellStyle name="60% - Akzent2 20 2" xfId="14975"/>
    <cellStyle name="60% - Akzent2 21 2" xfId="14976"/>
    <cellStyle name="60% - Akzent2 22 2" xfId="14977"/>
    <cellStyle name="60% - Akzent2 23 2" xfId="14978"/>
    <cellStyle name="60% - Akzent2 24 2" xfId="14979"/>
    <cellStyle name="60% - Akzent2 25 2" xfId="14980"/>
    <cellStyle name="60% - Akzent2 26 2" xfId="14981"/>
    <cellStyle name="60% - Akzent2 27 2" xfId="14982"/>
    <cellStyle name="60% - Akzent2 28 2" xfId="14983"/>
    <cellStyle name="60% - Akzent2 29 2" xfId="14984"/>
    <cellStyle name="60% - Akzent2 3 3" xfId="14985"/>
    <cellStyle name="60% - Akzent2 3 2 2" xfId="14986"/>
    <cellStyle name="60% - Akzent2 30 2" xfId="14987"/>
    <cellStyle name="60% - Akzent2 31 2" xfId="14988"/>
    <cellStyle name="60% - Akzent2 32 2" xfId="14989"/>
    <cellStyle name="60% - Akzent2 33 2" xfId="14990"/>
    <cellStyle name="60% - Akzent2 34 2" xfId="14991"/>
    <cellStyle name="60% - Akzent2 35 2" xfId="14992"/>
    <cellStyle name="60% - Akzent2 36 2" xfId="14993"/>
    <cellStyle name="60% - Akzent2 37 2" xfId="14994"/>
    <cellStyle name="60% - Akzent2 38 2" xfId="14995"/>
    <cellStyle name="60% - Akzent2 39 2" xfId="14996"/>
    <cellStyle name="60% - Akzent2 4 3" xfId="14997"/>
    <cellStyle name="60% - Akzent2 4 2 2" xfId="14998"/>
    <cellStyle name="60% - Akzent2 40 2" xfId="14999"/>
    <cellStyle name="60% - Akzent2 41 2" xfId="15000"/>
    <cellStyle name="60% - Akzent2 42 2" xfId="15001"/>
    <cellStyle name="60% - Akzent2 43 2" xfId="15002"/>
    <cellStyle name="60% - Akzent2 44 2" xfId="15003"/>
    <cellStyle name="60% - Akzent2 45 2" xfId="15004"/>
    <cellStyle name="60% - Akzent2 46 2" xfId="15005"/>
    <cellStyle name="60% - Akzent2 47 2" xfId="15006"/>
    <cellStyle name="60% - Akzent2 48 2" xfId="15007"/>
    <cellStyle name="60% - Akzent2 49 2" xfId="15008"/>
    <cellStyle name="60% - Akzent2 5 3" xfId="15009"/>
    <cellStyle name="60% - Akzent2 5 2 2" xfId="15010"/>
    <cellStyle name="60% - Akzent2 50 2" xfId="15011"/>
    <cellStyle name="60% - Akzent2 51 2" xfId="15012"/>
    <cellStyle name="60% - Akzent2 52 2" xfId="15013"/>
    <cellStyle name="60% - Akzent2 53 2" xfId="15014"/>
    <cellStyle name="60% - Akzent2 54 2" xfId="15015"/>
    <cellStyle name="60% - Akzent2 55 2" xfId="15016"/>
    <cellStyle name="60% - Akzent2 56 2" xfId="15017"/>
    <cellStyle name="60% - Akzent2 57 2" xfId="15018"/>
    <cellStyle name="60% - Akzent2 58 2" xfId="15019"/>
    <cellStyle name="60% - Akzent2 59 2" xfId="15020"/>
    <cellStyle name="60% - Akzent2 6 3" xfId="15021"/>
    <cellStyle name="60% - Akzent2 6 2 2" xfId="15022"/>
    <cellStyle name="60% - Akzent2 60 2" xfId="15023"/>
    <cellStyle name="60% - Akzent2 61 2" xfId="15024"/>
    <cellStyle name="60% - Akzent2 62 2" xfId="15025"/>
    <cellStyle name="60% - Akzent2 63 2" xfId="15026"/>
    <cellStyle name="60% - Akzent2 64 2" xfId="15027"/>
    <cellStyle name="60% - Akzent2 65 2" xfId="15028"/>
    <cellStyle name="60% - Akzent2 66 2" xfId="15029"/>
    <cellStyle name="60% - Akzent2 67 2" xfId="15030"/>
    <cellStyle name="60% - Akzent2 68 2" xfId="15031"/>
    <cellStyle name="60% - Akzent2 69 2" xfId="15032"/>
    <cellStyle name="60% - Akzent2 7 3" xfId="15033"/>
    <cellStyle name="60% - Akzent2 7 2 2" xfId="15034"/>
    <cellStyle name="60% - Akzent2 70 2" xfId="15035"/>
    <cellStyle name="60% - Akzent2 71 2" xfId="15036"/>
    <cellStyle name="60% - Akzent2 72 2" xfId="15037"/>
    <cellStyle name="60% - Akzent2 73 2" xfId="15038"/>
    <cellStyle name="60% - Akzent2 74 2" xfId="15039"/>
    <cellStyle name="60% - Akzent2 75 2" xfId="15040"/>
    <cellStyle name="60% - Akzent2 76 2" xfId="15041"/>
    <cellStyle name="60% - Akzent2 77 2" xfId="15042"/>
    <cellStyle name="60% - Akzent2 78 2" xfId="15043"/>
    <cellStyle name="60% - Akzent2 79 2" xfId="15044"/>
    <cellStyle name="60% - Akzent2 8 3" xfId="15045"/>
    <cellStyle name="60% - Akzent2 8 2 2" xfId="15046"/>
    <cellStyle name="60% - Akzent2 80 2" xfId="15047"/>
    <cellStyle name="60% - Akzent2 81 2" xfId="15048"/>
    <cellStyle name="60% - Akzent2 82 2" xfId="15049"/>
    <cellStyle name="60% - Akzent2 83 2" xfId="15050"/>
    <cellStyle name="60% - Akzent2 84 2" xfId="15051"/>
    <cellStyle name="60% - Akzent2 85 2" xfId="15052"/>
    <cellStyle name="60% - Akzent2 86 2" xfId="15053"/>
    <cellStyle name="60% - Akzent2 87 2" xfId="15054"/>
    <cellStyle name="60% - Akzent2 88 2" xfId="15055"/>
    <cellStyle name="60% - Akzent2 89 2" xfId="15056"/>
    <cellStyle name="60% - Akzent2 9 3" xfId="15057"/>
    <cellStyle name="60% - Akzent2 9 2 2" xfId="15058"/>
    <cellStyle name="60% - Akzent2 90 2" xfId="15059"/>
    <cellStyle name="60% - Akzent2 91 2" xfId="15060"/>
    <cellStyle name="60% - Akzent2 92 2" xfId="15061"/>
    <cellStyle name="60% - Akzent2 93 2" xfId="15062"/>
    <cellStyle name="60% - Akzent2 94 2" xfId="15063"/>
    <cellStyle name="60% - Akzent2 95 2" xfId="15064"/>
    <cellStyle name="60% - Akzent2 96 2" xfId="15065"/>
    <cellStyle name="60% - Akzent2 97 2" xfId="15066"/>
    <cellStyle name="60% - Akzent2 98 2" xfId="15067"/>
    <cellStyle name="60% - Akzent2 99 2" xfId="15068"/>
    <cellStyle name="60% - Akzent3 10 3" xfId="15069"/>
    <cellStyle name="60% - Akzent3 10 2 2" xfId="15070"/>
    <cellStyle name="60% - Akzent3 100 2" xfId="15071"/>
    <cellStyle name="60% - Akzent3 101 2" xfId="15072"/>
    <cellStyle name="60% - Akzent3 102 2" xfId="15073"/>
    <cellStyle name="60% - Akzent3 103 2" xfId="15074"/>
    <cellStyle name="60% - Akzent3 104 2" xfId="15075"/>
    <cellStyle name="60% - Akzent3 105 2" xfId="15076"/>
    <cellStyle name="60% - Akzent3 106 2" xfId="15077"/>
    <cellStyle name="60% - Akzent3 107 2" xfId="15078"/>
    <cellStyle name="60% - Akzent3 108 2" xfId="15079"/>
    <cellStyle name="60% - Akzent3 109 2" xfId="15080"/>
    <cellStyle name="60% - Akzent3 11 3" xfId="15081"/>
    <cellStyle name="60% - Akzent3 11 2 2" xfId="15082"/>
    <cellStyle name="60% - Akzent3 110 2" xfId="15083"/>
    <cellStyle name="60% - Akzent3 111 2" xfId="15084"/>
    <cellStyle name="60% - Akzent3 112 2" xfId="15085"/>
    <cellStyle name="60% - Akzent3 113 2" xfId="15086"/>
    <cellStyle name="60% - Akzent3 114 2" xfId="15087"/>
    <cellStyle name="60% - Akzent3 115 2" xfId="15088"/>
    <cellStyle name="60% - Akzent3 116 2" xfId="15089"/>
    <cellStyle name="60% - Akzent3 117 2" xfId="15090"/>
    <cellStyle name="60% - Akzent3 118 2" xfId="15091"/>
    <cellStyle name="60% - Akzent3 119 2" xfId="15092"/>
    <cellStyle name="60% - Akzent3 12 3" xfId="15093"/>
    <cellStyle name="60% - Akzent3 12 2 2" xfId="15094"/>
    <cellStyle name="60% - Akzent3 120 2" xfId="15095"/>
    <cellStyle name="60% - Akzent3 121 2" xfId="15096"/>
    <cellStyle name="60% - Akzent3 122 2" xfId="15097"/>
    <cellStyle name="60% - Akzent3 123 2" xfId="15098"/>
    <cellStyle name="60% - Akzent3 124 2" xfId="15099"/>
    <cellStyle name="60% - Akzent3 125 2" xfId="15100"/>
    <cellStyle name="60% - Akzent3 126 2" xfId="15101"/>
    <cellStyle name="60% - Akzent3 127 2" xfId="15102"/>
    <cellStyle name="60% - Akzent3 128 2" xfId="15103"/>
    <cellStyle name="60% - Akzent3 129 2" xfId="15104"/>
    <cellStyle name="60% - Akzent3 13 3" xfId="15105"/>
    <cellStyle name="60% - Akzent3 13 2 2" xfId="15106"/>
    <cellStyle name="60% - Akzent3 130 2" xfId="15107"/>
    <cellStyle name="60% - Akzent3 131 2" xfId="15108"/>
    <cellStyle name="60% - Akzent3 132 2" xfId="15109"/>
    <cellStyle name="60% - Akzent3 133 2" xfId="15110"/>
    <cellStyle name="60% - Akzent3 134 2" xfId="15111"/>
    <cellStyle name="60% - Akzent3 135 2" xfId="15112"/>
    <cellStyle name="60% - Akzent3 136 2" xfId="15113"/>
    <cellStyle name="60% - Akzent3 137 2" xfId="15114"/>
    <cellStyle name="60% - Akzent3 138 2" xfId="15115"/>
    <cellStyle name="60% - Akzent3 139 2" xfId="15116"/>
    <cellStyle name="60% - Akzent3 14 3" xfId="15117"/>
    <cellStyle name="60% - Akzent3 14 2 2" xfId="15118"/>
    <cellStyle name="60% - Akzent3 140 2" xfId="15119"/>
    <cellStyle name="60% - Akzent3 141 2" xfId="15120"/>
    <cellStyle name="60% - Akzent3 142 2" xfId="15121"/>
    <cellStyle name="60% - Akzent3 143 2" xfId="15122"/>
    <cellStyle name="60% - Akzent3 144 2" xfId="15123"/>
    <cellStyle name="60% - Akzent3 145 2" xfId="15124"/>
    <cellStyle name="60% - Akzent3 146 2" xfId="15125"/>
    <cellStyle name="60% - Akzent3 147 2" xfId="15126"/>
    <cellStyle name="60% - Akzent3 148 2" xfId="15127"/>
    <cellStyle name="60% - Akzent3 149 2" xfId="15128"/>
    <cellStyle name="60% - Akzent3 15 2" xfId="15129"/>
    <cellStyle name="60% - Akzent3 150 2" xfId="15130"/>
    <cellStyle name="60% - Akzent3 151 2" xfId="15131"/>
    <cellStyle name="60% - Akzent3 16 2" xfId="15132"/>
    <cellStyle name="60% - Akzent3 17 2" xfId="15133"/>
    <cellStyle name="60% - Akzent3 18 2" xfId="15134"/>
    <cellStyle name="60% - Akzent3 19 2" xfId="15135"/>
    <cellStyle name="60% - Akzent3 2 3" xfId="15136"/>
    <cellStyle name="60% - Akzent3 2 2 2" xfId="15137"/>
    <cellStyle name="60% - Akzent3 20 2" xfId="15138"/>
    <cellStyle name="60% - Akzent3 21 2" xfId="15139"/>
    <cellStyle name="60% - Akzent3 22 2" xfId="15140"/>
    <cellStyle name="60% - Akzent3 23 2" xfId="15141"/>
    <cellStyle name="60% - Akzent3 24 2" xfId="15142"/>
    <cellStyle name="60% - Akzent3 25 2" xfId="15143"/>
    <cellStyle name="60% - Akzent3 26 2" xfId="15144"/>
    <cellStyle name="60% - Akzent3 27 2" xfId="15145"/>
    <cellStyle name="60% - Akzent3 28 2" xfId="15146"/>
    <cellStyle name="60% - Akzent3 29 2" xfId="15147"/>
    <cellStyle name="60% - Akzent3 3 3" xfId="15148"/>
    <cellStyle name="60% - Akzent3 3 2 2" xfId="15149"/>
    <cellStyle name="60% - Akzent3 30 2" xfId="15150"/>
    <cellStyle name="60% - Akzent3 31 2" xfId="15151"/>
    <cellStyle name="60% - Akzent3 32 2" xfId="15152"/>
    <cellStyle name="60% - Akzent3 33 2" xfId="15153"/>
    <cellStyle name="60% - Akzent3 34 2" xfId="15154"/>
    <cellStyle name="60% - Akzent3 35 2" xfId="15155"/>
    <cellStyle name="60% - Akzent3 36 2" xfId="15156"/>
    <cellStyle name="60% - Akzent3 37 2" xfId="15157"/>
    <cellStyle name="60% - Akzent3 38 2" xfId="15158"/>
    <cellStyle name="60% - Akzent3 39 2" xfId="15159"/>
    <cellStyle name="60% - Akzent3 4 3" xfId="15160"/>
    <cellStyle name="60% - Akzent3 4 2 2" xfId="15161"/>
    <cellStyle name="60% - Akzent3 40 2" xfId="15162"/>
    <cellStyle name="60% - Akzent3 41 2" xfId="15163"/>
    <cellStyle name="60% - Akzent3 42 2" xfId="15164"/>
    <cellStyle name="60% - Akzent3 43 2" xfId="15165"/>
    <cellStyle name="60% - Akzent3 44 2" xfId="15166"/>
    <cellStyle name="60% - Akzent3 45 2" xfId="15167"/>
    <cellStyle name="60% - Akzent3 46 2" xfId="15168"/>
    <cellStyle name="60% - Akzent3 47 2" xfId="15169"/>
    <cellStyle name="60% - Akzent3 48 2" xfId="15170"/>
    <cellStyle name="60% - Akzent3 49 2" xfId="15171"/>
    <cellStyle name="60% - Akzent3 5 3" xfId="15172"/>
    <cellStyle name="60% - Akzent3 5 2 2" xfId="15173"/>
    <cellStyle name="60% - Akzent3 50 2" xfId="15174"/>
    <cellStyle name="60% - Akzent3 51 2" xfId="15175"/>
    <cellStyle name="60% - Akzent3 52 2" xfId="15176"/>
    <cellStyle name="60% - Akzent3 53 2" xfId="15177"/>
    <cellStyle name="60% - Akzent3 54 2" xfId="15178"/>
    <cellStyle name="60% - Akzent3 55 2" xfId="15179"/>
    <cellStyle name="60% - Akzent3 56 2" xfId="15180"/>
    <cellStyle name="60% - Akzent3 57 2" xfId="15181"/>
    <cellStyle name="60% - Akzent3 58 2" xfId="15182"/>
    <cellStyle name="60% - Akzent3 59 2" xfId="15183"/>
    <cellStyle name="60% - Akzent3 6 3" xfId="15184"/>
    <cellStyle name="60% - Akzent3 6 2 2" xfId="15185"/>
    <cellStyle name="60% - Akzent3 60 2" xfId="15186"/>
    <cellStyle name="60% - Akzent3 61 2" xfId="15187"/>
    <cellStyle name="60% - Akzent3 62 2" xfId="15188"/>
    <cellStyle name="60% - Akzent3 63 2" xfId="15189"/>
    <cellStyle name="60% - Akzent3 64 2" xfId="15190"/>
    <cellStyle name="60% - Akzent3 65 2" xfId="15191"/>
    <cellStyle name="60% - Akzent3 66 2" xfId="15192"/>
    <cellStyle name="60% - Akzent3 67 2" xfId="15193"/>
    <cellStyle name="60% - Akzent3 68 2" xfId="15194"/>
    <cellStyle name="60% - Akzent3 69 2" xfId="15195"/>
    <cellStyle name="60% - Akzent3 7 3" xfId="15196"/>
    <cellStyle name="60% - Akzent3 7 2 2" xfId="15197"/>
    <cellStyle name="60% - Akzent3 70 2" xfId="15198"/>
    <cellStyle name="60% - Akzent3 71 2" xfId="15199"/>
    <cellStyle name="60% - Akzent3 72 2" xfId="15200"/>
    <cellStyle name="60% - Akzent3 73 2" xfId="15201"/>
    <cellStyle name="60% - Akzent3 74 2" xfId="15202"/>
    <cellStyle name="60% - Akzent3 75 2" xfId="15203"/>
    <cellStyle name="60% - Akzent3 76 2" xfId="15204"/>
    <cellStyle name="60% - Akzent3 77 2" xfId="15205"/>
    <cellStyle name="60% - Akzent3 78 2" xfId="15206"/>
    <cellStyle name="60% - Akzent3 79 2" xfId="15207"/>
    <cellStyle name="60% - Akzent3 8 3" xfId="15208"/>
    <cellStyle name="60% - Akzent3 8 2 2" xfId="15209"/>
    <cellStyle name="60% - Akzent3 80 2" xfId="15210"/>
    <cellStyle name="60% - Akzent3 81 2" xfId="15211"/>
    <cellStyle name="60% - Akzent3 82 2" xfId="15212"/>
    <cellStyle name="60% - Akzent3 83 2" xfId="15213"/>
    <cellStyle name="60% - Akzent3 84 2" xfId="15214"/>
    <cellStyle name="60% - Akzent3 85 2" xfId="15215"/>
    <cellStyle name="60% - Akzent3 86 2" xfId="15216"/>
    <cellStyle name="60% - Akzent3 87 2" xfId="15217"/>
    <cellStyle name="60% - Akzent3 88 2" xfId="15218"/>
    <cellStyle name="60% - Akzent3 89 2" xfId="15219"/>
    <cellStyle name="60% - Akzent3 9 3" xfId="15220"/>
    <cellStyle name="60% - Akzent3 9 2 2" xfId="15221"/>
    <cellStyle name="60% - Akzent3 90 2" xfId="15222"/>
    <cellStyle name="60% - Akzent3 91 2" xfId="15223"/>
    <cellStyle name="60% - Akzent3 92 2" xfId="15224"/>
    <cellStyle name="60% - Akzent3 93 2" xfId="15225"/>
    <cellStyle name="60% - Akzent3 94 2" xfId="15226"/>
    <cellStyle name="60% - Akzent3 95 2" xfId="15227"/>
    <cellStyle name="60% - Akzent3 96 2" xfId="15228"/>
    <cellStyle name="60% - Akzent3 97 2" xfId="15229"/>
    <cellStyle name="60% - Akzent3 98 2" xfId="15230"/>
    <cellStyle name="60% - Akzent3 99 2" xfId="15231"/>
    <cellStyle name="60% - Akzent4 10 3" xfId="15232"/>
    <cellStyle name="60% - Akzent4 10 2 2" xfId="15233"/>
    <cellStyle name="60% - Akzent4 100 2" xfId="15234"/>
    <cellStyle name="60% - Akzent4 101 2" xfId="15235"/>
    <cellStyle name="60% - Akzent4 102 2" xfId="15236"/>
    <cellStyle name="60% - Akzent4 103 2" xfId="15237"/>
    <cellStyle name="60% - Akzent4 104 2" xfId="15238"/>
    <cellStyle name="60% - Akzent4 105 2" xfId="15239"/>
    <cellStyle name="60% - Akzent4 106 2" xfId="15240"/>
    <cellStyle name="60% - Akzent4 107 2" xfId="15241"/>
    <cellStyle name="60% - Akzent4 108 2" xfId="15242"/>
    <cellStyle name="60% - Akzent4 109 2" xfId="15243"/>
    <cellStyle name="60% - Akzent4 11 3" xfId="15244"/>
    <cellStyle name="60% - Akzent4 11 2 2" xfId="15245"/>
    <cellStyle name="60% - Akzent4 110 2" xfId="15246"/>
    <cellStyle name="60% - Akzent4 111 2" xfId="15247"/>
    <cellStyle name="60% - Akzent4 112 2" xfId="15248"/>
    <cellStyle name="60% - Akzent4 113 2" xfId="15249"/>
    <cellStyle name="60% - Akzent4 114 2" xfId="15250"/>
    <cellStyle name="60% - Akzent4 115 2" xfId="15251"/>
    <cellStyle name="60% - Akzent4 116 2" xfId="15252"/>
    <cellStyle name="60% - Akzent4 117 2" xfId="15253"/>
    <cellStyle name="60% - Akzent4 118 2" xfId="15254"/>
    <cellStyle name="60% - Akzent4 119 2" xfId="15255"/>
    <cellStyle name="60% - Akzent4 12 3" xfId="15256"/>
    <cellStyle name="60% - Akzent4 12 2 2" xfId="15257"/>
    <cellStyle name="60% - Akzent4 120 2" xfId="15258"/>
    <cellStyle name="60% - Akzent4 121 2" xfId="15259"/>
    <cellStyle name="60% - Akzent4 122 2" xfId="15260"/>
    <cellStyle name="60% - Akzent4 123 2" xfId="15261"/>
    <cellStyle name="60% - Akzent4 124 2" xfId="15262"/>
    <cellStyle name="60% - Akzent4 125 2" xfId="15263"/>
    <cellStyle name="60% - Akzent4 126 2" xfId="15264"/>
    <cellStyle name="60% - Akzent4 127 2" xfId="15265"/>
    <cellStyle name="60% - Akzent4 128 2" xfId="15266"/>
    <cellStyle name="60% - Akzent4 129 2" xfId="15267"/>
    <cellStyle name="60% - Akzent4 13 3" xfId="15268"/>
    <cellStyle name="60% - Akzent4 13 2 2" xfId="15269"/>
    <cellStyle name="60% - Akzent4 130 2" xfId="15270"/>
    <cellStyle name="60% - Akzent4 131 2" xfId="15271"/>
    <cellStyle name="60% - Akzent4 132 2" xfId="15272"/>
    <cellStyle name="60% - Akzent4 133 2" xfId="15273"/>
    <cellStyle name="60% - Akzent4 134 2" xfId="15274"/>
    <cellStyle name="60% - Akzent4 135 2" xfId="15275"/>
    <cellStyle name="60% - Akzent4 136 2" xfId="15276"/>
    <cellStyle name="60% - Akzent4 137 2" xfId="15277"/>
    <cellStyle name="60% - Akzent4 138 2" xfId="15278"/>
    <cellStyle name="60% - Akzent4 139 2" xfId="15279"/>
    <cellStyle name="60% - Akzent4 14 3" xfId="15280"/>
    <cellStyle name="60% - Akzent4 14 2 2" xfId="15281"/>
    <cellStyle name="60% - Akzent4 140 2" xfId="15282"/>
    <cellStyle name="60% - Akzent4 141 2" xfId="15283"/>
    <cellStyle name="60% - Akzent4 142 2" xfId="15284"/>
    <cellStyle name="60% - Akzent4 143 2" xfId="15285"/>
    <cellStyle name="60% - Akzent4 144 2" xfId="15286"/>
    <cellStyle name="60% - Akzent4 145 2" xfId="15287"/>
    <cellStyle name="60% - Akzent4 146 2" xfId="15288"/>
    <cellStyle name="60% - Akzent4 147 2" xfId="15289"/>
    <cellStyle name="60% - Akzent4 148 2" xfId="15290"/>
    <cellStyle name="60% - Akzent4 149 2" xfId="15291"/>
    <cellStyle name="60% - Akzent4 15 2" xfId="15292"/>
    <cellStyle name="60% - Akzent4 150 2" xfId="15293"/>
    <cellStyle name="60% - Akzent4 151 2" xfId="15294"/>
    <cellStyle name="60% - Akzent4 16 2" xfId="15295"/>
    <cellStyle name="60% - Akzent4 17 2" xfId="15296"/>
    <cellStyle name="60% - Akzent4 18 2" xfId="15297"/>
    <cellStyle name="60% - Akzent4 19 2" xfId="15298"/>
    <cellStyle name="60% - Akzent4 2 3" xfId="15299"/>
    <cellStyle name="60% - Akzent4 2 2 2" xfId="15300"/>
    <cellStyle name="60% - Akzent4 20 2" xfId="15301"/>
    <cellStyle name="60% - Akzent4 21 2" xfId="15302"/>
    <cellStyle name="60% - Akzent4 22 2" xfId="15303"/>
    <cellStyle name="60% - Akzent4 23 2" xfId="15304"/>
    <cellStyle name="60% - Akzent4 24 2" xfId="15305"/>
    <cellStyle name="60% - Akzent4 25 2" xfId="15306"/>
    <cellStyle name="60% - Akzent4 26 2" xfId="15307"/>
    <cellStyle name="60% - Akzent4 27 2" xfId="15308"/>
    <cellStyle name="60% - Akzent4 28 2" xfId="15309"/>
    <cellStyle name="60% - Akzent4 29 2" xfId="15310"/>
    <cellStyle name="60% - Akzent4 3 3" xfId="15311"/>
    <cellStyle name="60% - Akzent4 3 2 2" xfId="15312"/>
    <cellStyle name="60% - Akzent4 30 2" xfId="15313"/>
    <cellStyle name="60% - Akzent4 31 2" xfId="15314"/>
    <cellStyle name="60% - Akzent4 32 2" xfId="15315"/>
    <cellStyle name="60% - Akzent4 33 2" xfId="15316"/>
    <cellStyle name="60% - Akzent4 34 2" xfId="15317"/>
    <cellStyle name="60% - Akzent4 35 2" xfId="15318"/>
    <cellStyle name="60% - Akzent4 36 2" xfId="15319"/>
    <cellStyle name="60% - Akzent4 37 2" xfId="15320"/>
    <cellStyle name="60% - Akzent4 38 2" xfId="15321"/>
    <cellStyle name="60% - Akzent4 39 2" xfId="15322"/>
    <cellStyle name="60% - Akzent4 4 3" xfId="15323"/>
    <cellStyle name="60% - Akzent4 4 2 2" xfId="15324"/>
    <cellStyle name="60% - Akzent4 40 2" xfId="15325"/>
    <cellStyle name="60% - Akzent4 41 2" xfId="15326"/>
    <cellStyle name="60% - Akzent4 42 2" xfId="15327"/>
    <cellStyle name="60% - Akzent4 43 2" xfId="15328"/>
    <cellStyle name="60% - Akzent4 44 2" xfId="15329"/>
    <cellStyle name="60% - Akzent4 45 2" xfId="15330"/>
    <cellStyle name="60% - Akzent4 46 2" xfId="15331"/>
    <cellStyle name="60% - Akzent4 47 2" xfId="15332"/>
    <cellStyle name="60% - Akzent4 48 2" xfId="15333"/>
    <cellStyle name="60% - Akzent4 49 2" xfId="15334"/>
    <cellStyle name="60% - Akzent4 5 3" xfId="15335"/>
    <cellStyle name="60% - Akzent4 5 2 2" xfId="15336"/>
    <cellStyle name="60% - Akzent4 50 2" xfId="15337"/>
    <cellStyle name="60% - Akzent4 51 2" xfId="15338"/>
    <cellStyle name="60% - Akzent4 52 2" xfId="15339"/>
    <cellStyle name="60% - Akzent4 53 2" xfId="15340"/>
    <cellStyle name="60% - Akzent4 54 2" xfId="15341"/>
    <cellStyle name="60% - Akzent4 55 2" xfId="15342"/>
    <cellStyle name="60% - Akzent4 56 2" xfId="15343"/>
    <cellStyle name="60% - Akzent4 57 2" xfId="15344"/>
    <cellStyle name="60% - Akzent4 58 2" xfId="15345"/>
    <cellStyle name="60% - Akzent4 59 2" xfId="15346"/>
    <cellStyle name="60% - Akzent4 6 3" xfId="15347"/>
    <cellStyle name="60% - Akzent4 6 2 2" xfId="15348"/>
    <cellStyle name="60% - Akzent4 60 2" xfId="15349"/>
    <cellStyle name="60% - Akzent4 61 2" xfId="15350"/>
    <cellStyle name="60% - Akzent4 62 2" xfId="15351"/>
    <cellStyle name="60% - Akzent4 63 2" xfId="15352"/>
    <cellStyle name="60% - Akzent4 64 2" xfId="15353"/>
    <cellStyle name="60% - Akzent4 65 2" xfId="15354"/>
    <cellStyle name="60% - Akzent4 66 2" xfId="15355"/>
    <cellStyle name="60% - Akzent4 67 2" xfId="15356"/>
    <cellStyle name="60% - Akzent4 68 2" xfId="15357"/>
    <cellStyle name="60% - Akzent4 69 2" xfId="15358"/>
    <cellStyle name="60% - Akzent4 7 3" xfId="15359"/>
    <cellStyle name="60% - Akzent4 7 2 2" xfId="15360"/>
    <cellStyle name="60% - Akzent4 70 2" xfId="15361"/>
    <cellStyle name="60% - Akzent4 71 2" xfId="15362"/>
    <cellStyle name="60% - Akzent4 72 2" xfId="15363"/>
    <cellStyle name="60% - Akzent4 73 2" xfId="15364"/>
    <cellStyle name="60% - Akzent4 74 2" xfId="15365"/>
    <cellStyle name="60% - Akzent4 75 2" xfId="15366"/>
    <cellStyle name="60% - Akzent4 76 2" xfId="15367"/>
    <cellStyle name="60% - Akzent4 77 2" xfId="15368"/>
    <cellStyle name="60% - Akzent4 78 2" xfId="15369"/>
    <cellStyle name="60% - Akzent4 79 2" xfId="15370"/>
    <cellStyle name="60% - Akzent4 8 3" xfId="15371"/>
    <cellStyle name="60% - Akzent4 8 2 2" xfId="15372"/>
    <cellStyle name="60% - Akzent4 80 2" xfId="15373"/>
    <cellStyle name="60% - Akzent4 81 2" xfId="15374"/>
    <cellStyle name="60% - Akzent4 82 2" xfId="15375"/>
    <cellStyle name="60% - Akzent4 83 2" xfId="15376"/>
    <cellStyle name="60% - Akzent4 84 2" xfId="15377"/>
    <cellStyle name="60% - Akzent4 85 2" xfId="15378"/>
    <cellStyle name="60% - Akzent4 86 2" xfId="15379"/>
    <cellStyle name="60% - Akzent4 87 2" xfId="15380"/>
    <cellStyle name="60% - Akzent4 88 2" xfId="15381"/>
    <cellStyle name="60% - Akzent4 89 2" xfId="15382"/>
    <cellStyle name="60% - Akzent4 9 3" xfId="15383"/>
    <cellStyle name="60% - Akzent4 9 2 2" xfId="15384"/>
    <cellStyle name="60% - Akzent4 90 2" xfId="15385"/>
    <cellStyle name="60% - Akzent4 91 2" xfId="15386"/>
    <cellStyle name="60% - Akzent4 92 2" xfId="15387"/>
    <cellStyle name="60% - Akzent4 93 2" xfId="15388"/>
    <cellStyle name="60% - Akzent4 94 2" xfId="15389"/>
    <cellStyle name="60% - Akzent4 95 2" xfId="15390"/>
    <cellStyle name="60% - Akzent4 96 2" xfId="15391"/>
    <cellStyle name="60% - Akzent4 97 2" xfId="15392"/>
    <cellStyle name="60% - Akzent4 98 2" xfId="15393"/>
    <cellStyle name="60% - Akzent4 99 2" xfId="15394"/>
    <cellStyle name="60% - Akzent5 10 3" xfId="15395"/>
    <cellStyle name="60% - Akzent5 10 2 2" xfId="15396"/>
    <cellStyle name="60% - Akzent5 100 2" xfId="15397"/>
    <cellStyle name="60% - Akzent5 101 2" xfId="15398"/>
    <cellStyle name="60% - Akzent5 102 2" xfId="15399"/>
    <cellStyle name="60% - Akzent5 103 2" xfId="15400"/>
    <cellStyle name="60% - Akzent5 104 2" xfId="15401"/>
    <cellStyle name="60% - Akzent5 105 2" xfId="15402"/>
    <cellStyle name="60% - Akzent5 106 2" xfId="15403"/>
    <cellStyle name="60% - Akzent5 107 2" xfId="15404"/>
    <cellStyle name="60% - Akzent5 108 2" xfId="15405"/>
    <cellStyle name="60% - Akzent5 109 2" xfId="15406"/>
    <cellStyle name="60% - Akzent5 11 3" xfId="15407"/>
    <cellStyle name="60% - Akzent5 11 2 2" xfId="15408"/>
    <cellStyle name="60% - Akzent5 110 2" xfId="15409"/>
    <cellStyle name="60% - Akzent5 111 2" xfId="15410"/>
    <cellStyle name="60% - Akzent5 112 2" xfId="15411"/>
    <cellStyle name="60% - Akzent5 113 2" xfId="15412"/>
    <cellStyle name="60% - Akzent5 114 2" xfId="15413"/>
    <cellStyle name="60% - Akzent5 115 2" xfId="15414"/>
    <cellStyle name="60% - Akzent5 116 2" xfId="15415"/>
    <cellStyle name="60% - Akzent5 117 2" xfId="15416"/>
    <cellStyle name="60% - Akzent5 118 2" xfId="15417"/>
    <cellStyle name="60% - Akzent5 119 2" xfId="15418"/>
    <cellStyle name="60% - Akzent5 12 3" xfId="15419"/>
    <cellStyle name="60% - Akzent5 12 2 2" xfId="15420"/>
    <cellStyle name="60% - Akzent5 120 2" xfId="15421"/>
    <cellStyle name="60% - Akzent5 121 2" xfId="15422"/>
    <cellStyle name="60% - Akzent5 122 2" xfId="15423"/>
    <cellStyle name="60% - Akzent5 123 2" xfId="15424"/>
    <cellStyle name="60% - Akzent5 124 2" xfId="15425"/>
    <cellStyle name="60% - Akzent5 125 2" xfId="15426"/>
    <cellStyle name="60% - Akzent5 126 2" xfId="15427"/>
    <cellStyle name="60% - Akzent5 127 2" xfId="15428"/>
    <cellStyle name="60% - Akzent5 128 2" xfId="15429"/>
    <cellStyle name="60% - Akzent5 129 2" xfId="15430"/>
    <cellStyle name="60% - Akzent5 13 3" xfId="15431"/>
    <cellStyle name="60% - Akzent5 13 2 2" xfId="15432"/>
    <cellStyle name="60% - Akzent5 130 2" xfId="15433"/>
    <cellStyle name="60% - Akzent5 131 2" xfId="15434"/>
    <cellStyle name="60% - Akzent5 132 2" xfId="15435"/>
    <cellStyle name="60% - Akzent5 133 2" xfId="15436"/>
    <cellStyle name="60% - Akzent5 134 2" xfId="15437"/>
    <cellStyle name="60% - Akzent5 135 2" xfId="15438"/>
    <cellStyle name="60% - Akzent5 136 2" xfId="15439"/>
    <cellStyle name="60% - Akzent5 137 2" xfId="15440"/>
    <cellStyle name="60% - Akzent5 138 2" xfId="15441"/>
    <cellStyle name="60% - Akzent5 139 2" xfId="15442"/>
    <cellStyle name="60% - Akzent5 14 3" xfId="15443"/>
    <cellStyle name="60% - Akzent5 14 2 2" xfId="15444"/>
    <cellStyle name="60% - Akzent5 140 2" xfId="15445"/>
    <cellStyle name="60% - Akzent5 141 2" xfId="15446"/>
    <cellStyle name="60% - Akzent5 142 2" xfId="15447"/>
    <cellStyle name="60% - Akzent5 143 2" xfId="15448"/>
    <cellStyle name="60% - Akzent5 144 2" xfId="15449"/>
    <cellStyle name="60% - Akzent5 145 2" xfId="15450"/>
    <cellStyle name="60% - Akzent5 146 2" xfId="15451"/>
    <cellStyle name="60% - Akzent5 147 2" xfId="15452"/>
    <cellStyle name="60% - Akzent5 148 2" xfId="15453"/>
    <cellStyle name="60% - Akzent5 149 2" xfId="15454"/>
    <cellStyle name="60% - Akzent5 15 2" xfId="15455"/>
    <cellStyle name="60% - Akzent5 150 2" xfId="15456"/>
    <cellStyle name="60% - Akzent5 151 2" xfId="15457"/>
    <cellStyle name="60% - Akzent5 16 2" xfId="15458"/>
    <cellStyle name="60% - Akzent5 17 2" xfId="15459"/>
    <cellStyle name="60% - Akzent5 18 2" xfId="15460"/>
    <cellStyle name="60% - Akzent5 19 2" xfId="15461"/>
    <cellStyle name="60% - Akzent5 2 3" xfId="15462"/>
    <cellStyle name="60% - Akzent5 2 2 2" xfId="15463"/>
    <cellStyle name="60% - Akzent5 20 2" xfId="15464"/>
    <cellStyle name="60% - Akzent5 21 2" xfId="15465"/>
    <cellStyle name="60% - Akzent5 22 2" xfId="15466"/>
    <cellStyle name="60% - Akzent5 23 2" xfId="15467"/>
    <cellStyle name="60% - Akzent5 24 2" xfId="15468"/>
    <cellStyle name="60% - Akzent5 25 2" xfId="15469"/>
    <cellStyle name="60% - Akzent5 26 2" xfId="15470"/>
    <cellStyle name="60% - Akzent5 27 2" xfId="15471"/>
    <cellStyle name="60% - Akzent5 28 2" xfId="15472"/>
    <cellStyle name="60% - Akzent5 29 2" xfId="15473"/>
    <cellStyle name="60% - Akzent5 3 3" xfId="15474"/>
    <cellStyle name="60% - Akzent5 3 2 2" xfId="15475"/>
    <cellStyle name="60% - Akzent5 30 2" xfId="15476"/>
    <cellStyle name="60% - Akzent5 31 2" xfId="15477"/>
    <cellStyle name="60% - Akzent5 32 2" xfId="15478"/>
    <cellStyle name="60% - Akzent5 33 2" xfId="15479"/>
    <cellStyle name="60% - Akzent5 34 2" xfId="15480"/>
    <cellStyle name="60% - Akzent5 35 2" xfId="15481"/>
    <cellStyle name="60% - Akzent5 36 2" xfId="15482"/>
    <cellStyle name="60% - Akzent5 37 2" xfId="15483"/>
    <cellStyle name="60% - Akzent5 38 2" xfId="15484"/>
    <cellStyle name="60% - Akzent5 39 2" xfId="15485"/>
    <cellStyle name="60% - Akzent5 4 3" xfId="15486"/>
    <cellStyle name="60% - Akzent5 4 2 2" xfId="15487"/>
    <cellStyle name="60% - Akzent5 40 2" xfId="15488"/>
    <cellStyle name="60% - Akzent5 41 2" xfId="15489"/>
    <cellStyle name="60% - Akzent5 42 2" xfId="15490"/>
    <cellStyle name="60% - Akzent5 43 2" xfId="15491"/>
    <cellStyle name="60% - Akzent5 44 2" xfId="15492"/>
    <cellStyle name="60% - Akzent5 45 2" xfId="15493"/>
    <cellStyle name="60% - Akzent5 46 2" xfId="15494"/>
    <cellStyle name="60% - Akzent5 47 2" xfId="15495"/>
    <cellStyle name="60% - Akzent5 48 2" xfId="15496"/>
    <cellStyle name="60% - Akzent5 49 2" xfId="15497"/>
    <cellStyle name="60% - Akzent5 5 3" xfId="15498"/>
    <cellStyle name="60% - Akzent5 5 2 2" xfId="15499"/>
    <cellStyle name="60% - Akzent5 50 2" xfId="15500"/>
    <cellStyle name="60% - Akzent5 51 2" xfId="15501"/>
    <cellStyle name="60% - Akzent5 52 2" xfId="15502"/>
    <cellStyle name="60% - Akzent5 53 2" xfId="15503"/>
    <cellStyle name="60% - Akzent5 54 2" xfId="15504"/>
    <cellStyle name="60% - Akzent5 55 2" xfId="15505"/>
    <cellStyle name="60% - Akzent5 56 2" xfId="15506"/>
    <cellStyle name="60% - Akzent5 57 2" xfId="15507"/>
    <cellStyle name="60% - Akzent5 58 2" xfId="15508"/>
    <cellStyle name="60% - Akzent5 59 2" xfId="15509"/>
    <cellStyle name="60% - Akzent5 6 3" xfId="15510"/>
    <cellStyle name="60% - Akzent5 6 2 2" xfId="15511"/>
    <cellStyle name="60% - Akzent5 60 2" xfId="15512"/>
    <cellStyle name="60% - Akzent5 61 2" xfId="15513"/>
    <cellStyle name="60% - Akzent5 62 2" xfId="15514"/>
    <cellStyle name="60% - Akzent5 63 2" xfId="15515"/>
    <cellStyle name="60% - Akzent5 64 2" xfId="15516"/>
    <cellStyle name="60% - Akzent5 65 2" xfId="15517"/>
    <cellStyle name="60% - Akzent5 66 2" xfId="15518"/>
    <cellStyle name="60% - Akzent5 67 2" xfId="15519"/>
    <cellStyle name="60% - Akzent5 68 2" xfId="15520"/>
    <cellStyle name="60% - Akzent5 69 2" xfId="15521"/>
    <cellStyle name="60% - Akzent5 7 3" xfId="15522"/>
    <cellStyle name="60% - Akzent5 7 2 2" xfId="15523"/>
    <cellStyle name="60% - Akzent5 70 2" xfId="15524"/>
    <cellStyle name="60% - Akzent5 71 2" xfId="15525"/>
    <cellStyle name="60% - Akzent5 72 2" xfId="15526"/>
    <cellStyle name="60% - Akzent5 73 2" xfId="15527"/>
    <cellStyle name="60% - Akzent5 74 2" xfId="15528"/>
    <cellStyle name="60% - Akzent5 75 2" xfId="15529"/>
    <cellStyle name="60% - Akzent5 76 2" xfId="15530"/>
    <cellStyle name="60% - Akzent5 77 2" xfId="15531"/>
    <cellStyle name="60% - Akzent5 78 2" xfId="15532"/>
    <cellStyle name="60% - Akzent5 79 2" xfId="15533"/>
    <cellStyle name="60% - Akzent5 8 3" xfId="15534"/>
    <cellStyle name="60% - Akzent5 8 2 2" xfId="15535"/>
    <cellStyle name="60% - Akzent5 80 2" xfId="15536"/>
    <cellStyle name="60% - Akzent5 81 2" xfId="15537"/>
    <cellStyle name="60% - Akzent5 82 2" xfId="15538"/>
    <cellStyle name="60% - Akzent5 83 2" xfId="15539"/>
    <cellStyle name="60% - Akzent5 84 2" xfId="15540"/>
    <cellStyle name="60% - Akzent5 85 2" xfId="15541"/>
    <cellStyle name="60% - Akzent5 86 2" xfId="15542"/>
    <cellStyle name="60% - Akzent5 87 2" xfId="15543"/>
    <cellStyle name="60% - Akzent5 88 2" xfId="15544"/>
    <cellStyle name="60% - Akzent5 89 2" xfId="15545"/>
    <cellStyle name="60% - Akzent5 9 3" xfId="15546"/>
    <cellStyle name="60% - Akzent5 9 2 2" xfId="15547"/>
    <cellStyle name="60% - Akzent5 90 2" xfId="15548"/>
    <cellStyle name="60% - Akzent5 91 2" xfId="15549"/>
    <cellStyle name="60% - Akzent5 92 2" xfId="15550"/>
    <cellStyle name="60% - Akzent5 93 2" xfId="15551"/>
    <cellStyle name="60% - Akzent5 94 2" xfId="15552"/>
    <cellStyle name="60% - Akzent5 95 2" xfId="15553"/>
    <cellStyle name="60% - Akzent5 96 2" xfId="15554"/>
    <cellStyle name="60% - Akzent5 97 2" xfId="15555"/>
    <cellStyle name="60% - Akzent5 98 2" xfId="15556"/>
    <cellStyle name="60% - Akzent5 99 2" xfId="15557"/>
    <cellStyle name="60% - Akzent6 10 3" xfId="15558"/>
    <cellStyle name="60% - Akzent6 10 2 2" xfId="15559"/>
    <cellStyle name="60% - Akzent6 100 2" xfId="15560"/>
    <cellStyle name="60% - Akzent6 101 2" xfId="15561"/>
    <cellStyle name="60% - Akzent6 102 2" xfId="15562"/>
    <cellStyle name="60% - Akzent6 103 2" xfId="15563"/>
    <cellStyle name="60% - Akzent6 104 2" xfId="15564"/>
    <cellStyle name="60% - Akzent6 105 2" xfId="15565"/>
    <cellStyle name="60% - Akzent6 106 2" xfId="15566"/>
    <cellStyle name="60% - Akzent6 107 2" xfId="15567"/>
    <cellStyle name="60% - Akzent6 108 2" xfId="15568"/>
    <cellStyle name="60% - Akzent6 109 2" xfId="15569"/>
    <cellStyle name="60% - Akzent6 11 3" xfId="15570"/>
    <cellStyle name="60% - Akzent6 11 2 2" xfId="15571"/>
    <cellStyle name="60% - Akzent6 110 2" xfId="15572"/>
    <cellStyle name="60% - Akzent6 111 2" xfId="15573"/>
    <cellStyle name="60% - Akzent6 112 2" xfId="15574"/>
    <cellStyle name="60% - Akzent6 113 2" xfId="15575"/>
    <cellStyle name="60% - Akzent6 114 2" xfId="15576"/>
    <cellStyle name="60% - Akzent6 115 2" xfId="15577"/>
    <cellStyle name="60% - Akzent6 116 2" xfId="15578"/>
    <cellStyle name="60% - Akzent6 117 2" xfId="15579"/>
    <cellStyle name="60% - Akzent6 118 2" xfId="15580"/>
    <cellStyle name="60% - Akzent6 119 2" xfId="15581"/>
    <cellStyle name="60% - Akzent6 12 3" xfId="15582"/>
    <cellStyle name="60% - Akzent6 12 2 2" xfId="15583"/>
    <cellStyle name="60% - Akzent6 120 2" xfId="15584"/>
    <cellStyle name="60% - Akzent6 121 2" xfId="15585"/>
    <cellStyle name="60% - Akzent6 122 2" xfId="15586"/>
    <cellStyle name="60% - Akzent6 123 2" xfId="15587"/>
    <cellStyle name="60% - Akzent6 124 2" xfId="15588"/>
    <cellStyle name="60% - Akzent6 125 2" xfId="15589"/>
    <cellStyle name="60% - Akzent6 126 2" xfId="15590"/>
    <cellStyle name="60% - Akzent6 127 2" xfId="15591"/>
    <cellStyle name="60% - Akzent6 128 2" xfId="15592"/>
    <cellStyle name="60% - Akzent6 129 2" xfId="15593"/>
    <cellStyle name="60% - Akzent6 13 3" xfId="15594"/>
    <cellStyle name="60% - Akzent6 13 2 2" xfId="15595"/>
    <cellStyle name="60% - Akzent6 130 2" xfId="15596"/>
    <cellStyle name="60% - Akzent6 131 2" xfId="15597"/>
    <cellStyle name="60% - Akzent6 132 2" xfId="15598"/>
    <cellStyle name="60% - Akzent6 133 2" xfId="15599"/>
    <cellStyle name="60% - Akzent6 134 2" xfId="15600"/>
    <cellStyle name="60% - Akzent6 135 2" xfId="15601"/>
    <cellStyle name="60% - Akzent6 136 2" xfId="15602"/>
    <cellStyle name="60% - Akzent6 137 2" xfId="15603"/>
    <cellStyle name="60% - Akzent6 138 2" xfId="15604"/>
    <cellStyle name="60% - Akzent6 139 2" xfId="15605"/>
    <cellStyle name="60% - Akzent6 14 3" xfId="15606"/>
    <cellStyle name="60% - Akzent6 14 2 2" xfId="15607"/>
    <cellStyle name="60% - Akzent6 140 2" xfId="15608"/>
    <cellStyle name="60% - Akzent6 141 2" xfId="15609"/>
    <cellStyle name="60% - Akzent6 142 2" xfId="15610"/>
    <cellStyle name="60% - Akzent6 143 2" xfId="15611"/>
    <cellStyle name="60% - Akzent6 144 2" xfId="15612"/>
    <cellStyle name="60% - Akzent6 145 2" xfId="15613"/>
    <cellStyle name="60% - Akzent6 146 2" xfId="15614"/>
    <cellStyle name="60% - Akzent6 147 2" xfId="15615"/>
    <cellStyle name="60% - Akzent6 148 2" xfId="15616"/>
    <cellStyle name="60% - Akzent6 149 2" xfId="15617"/>
    <cellStyle name="60% - Akzent6 15 2" xfId="15618"/>
    <cellStyle name="60% - Akzent6 150 2" xfId="15619"/>
    <cellStyle name="60% - Akzent6 151 2" xfId="15620"/>
    <cellStyle name="60% - Akzent6 16 2" xfId="15621"/>
    <cellStyle name="60% - Akzent6 17 2" xfId="15622"/>
    <cellStyle name="60% - Akzent6 18 2" xfId="15623"/>
    <cellStyle name="60% - Akzent6 19 2" xfId="15624"/>
    <cellStyle name="60% - Akzent6 2 3" xfId="15625"/>
    <cellStyle name="60% - Akzent6 2 2 2" xfId="15626"/>
    <cellStyle name="60% - Akzent6 20 2" xfId="15627"/>
    <cellStyle name="60% - Akzent6 21 2" xfId="15628"/>
    <cellStyle name="60% - Akzent6 22 2" xfId="15629"/>
    <cellStyle name="60% - Akzent6 23 2" xfId="15630"/>
    <cellStyle name="60% - Akzent6 24 2" xfId="15631"/>
    <cellStyle name="60% - Akzent6 25 2" xfId="15632"/>
    <cellStyle name="60% - Akzent6 26 2" xfId="15633"/>
    <cellStyle name="60% - Akzent6 27 2" xfId="15634"/>
    <cellStyle name="60% - Akzent6 28 2" xfId="15635"/>
    <cellStyle name="60% - Akzent6 29 2" xfId="15636"/>
    <cellStyle name="60% - Akzent6 3 3" xfId="15637"/>
    <cellStyle name="60% - Akzent6 3 2 2" xfId="15638"/>
    <cellStyle name="60% - Akzent6 30 2" xfId="15639"/>
    <cellStyle name="60% - Akzent6 31 2" xfId="15640"/>
    <cellStyle name="60% - Akzent6 32 2" xfId="15641"/>
    <cellStyle name="60% - Akzent6 33 2" xfId="15642"/>
    <cellStyle name="60% - Akzent6 34 2" xfId="15643"/>
    <cellStyle name="60% - Akzent6 35 2" xfId="15644"/>
    <cellStyle name="60% - Akzent6 36 2" xfId="15645"/>
    <cellStyle name="60% - Akzent6 37 2" xfId="15646"/>
    <cellStyle name="60% - Akzent6 38 2" xfId="15647"/>
    <cellStyle name="60% - Akzent6 39 2" xfId="15648"/>
    <cellStyle name="60% - Akzent6 4 3" xfId="15649"/>
    <cellStyle name="60% - Akzent6 4 2 2" xfId="15650"/>
    <cellStyle name="60% - Akzent6 40 2" xfId="15651"/>
    <cellStyle name="60% - Akzent6 41 2" xfId="15652"/>
    <cellStyle name="60% - Akzent6 42 2" xfId="15653"/>
    <cellStyle name="60% - Akzent6 43 2" xfId="15654"/>
    <cellStyle name="60% - Akzent6 44 2" xfId="15655"/>
    <cellStyle name="60% - Akzent6 45 2" xfId="15656"/>
    <cellStyle name="60% - Akzent6 46 2" xfId="15657"/>
    <cellStyle name="60% - Akzent6 47 2" xfId="15658"/>
    <cellStyle name="60% - Akzent6 48 2" xfId="15659"/>
    <cellStyle name="60% - Akzent6 49 2" xfId="15660"/>
    <cellStyle name="60% - Akzent6 5 3" xfId="15661"/>
    <cellStyle name="60% - Akzent6 5 2 2" xfId="15662"/>
    <cellStyle name="60% - Akzent6 50 2" xfId="15663"/>
    <cellStyle name="60% - Akzent6 51 2" xfId="15664"/>
    <cellStyle name="60% - Akzent6 52 2" xfId="15665"/>
    <cellStyle name="60% - Akzent6 53 2" xfId="15666"/>
    <cellStyle name="60% - Akzent6 54 2" xfId="15667"/>
    <cellStyle name="60% - Akzent6 55 2" xfId="15668"/>
    <cellStyle name="60% - Akzent6 56 2" xfId="15669"/>
    <cellStyle name="60% - Akzent6 57 2" xfId="15670"/>
    <cellStyle name="60% - Akzent6 58 2" xfId="15671"/>
    <cellStyle name="60% - Akzent6 59 2" xfId="15672"/>
    <cellStyle name="60% - Akzent6 6 3" xfId="15673"/>
    <cellStyle name="60% - Akzent6 6 2 2" xfId="15674"/>
    <cellStyle name="60% - Akzent6 60 2" xfId="15675"/>
    <cellStyle name="60% - Akzent6 61 2" xfId="15676"/>
    <cellStyle name="60% - Akzent6 62 2" xfId="15677"/>
    <cellStyle name="60% - Akzent6 63 2" xfId="15678"/>
    <cellStyle name="60% - Akzent6 64 2" xfId="15679"/>
    <cellStyle name="60% - Akzent6 65 2" xfId="15680"/>
    <cellStyle name="60% - Akzent6 66 2" xfId="15681"/>
    <cellStyle name="60% - Akzent6 67 2" xfId="15682"/>
    <cellStyle name="60% - Akzent6 68 2" xfId="15683"/>
    <cellStyle name="60% - Akzent6 69 2" xfId="15684"/>
    <cellStyle name="60% - Akzent6 7 3" xfId="15685"/>
    <cellStyle name="60% - Akzent6 7 2 2" xfId="15686"/>
    <cellStyle name="60% - Akzent6 70 2" xfId="15687"/>
    <cellStyle name="60% - Akzent6 71 2" xfId="15688"/>
    <cellStyle name="60% - Akzent6 72 2" xfId="15689"/>
    <cellStyle name="60% - Akzent6 73 2" xfId="15690"/>
    <cellStyle name="60% - Akzent6 74 2" xfId="15691"/>
    <cellStyle name="60% - Akzent6 75 2" xfId="15692"/>
    <cellStyle name="60% - Akzent6 76 2" xfId="15693"/>
    <cellStyle name="60% - Akzent6 77 2" xfId="15694"/>
    <cellStyle name="60% - Akzent6 78 2" xfId="15695"/>
    <cellStyle name="60% - Akzent6 79 2" xfId="15696"/>
    <cellStyle name="60% - Akzent6 8 3" xfId="15697"/>
    <cellStyle name="60% - Akzent6 8 2 2" xfId="15698"/>
    <cellStyle name="60% - Akzent6 80 2" xfId="15699"/>
    <cellStyle name="60% - Akzent6 81 2" xfId="15700"/>
    <cellStyle name="60% - Akzent6 82 2" xfId="15701"/>
    <cellStyle name="60% - Akzent6 83 2" xfId="15702"/>
    <cellStyle name="60% - Akzent6 84 2" xfId="15703"/>
    <cellStyle name="60% - Akzent6 85 2" xfId="15704"/>
    <cellStyle name="60% - Akzent6 86 2" xfId="15705"/>
    <cellStyle name="60% - Akzent6 87 2" xfId="15706"/>
    <cellStyle name="60% - Akzent6 88 2" xfId="15707"/>
    <cellStyle name="60% - Akzent6 89 2" xfId="15708"/>
    <cellStyle name="60% - Akzent6 9 3" xfId="15709"/>
    <cellStyle name="60% - Akzent6 9 2 2" xfId="15710"/>
    <cellStyle name="60% - Akzent6 90 2" xfId="15711"/>
    <cellStyle name="60% - Akzent6 91 2" xfId="15712"/>
    <cellStyle name="60% - Akzent6 92 2" xfId="15713"/>
    <cellStyle name="60% - Akzent6 93 2" xfId="15714"/>
    <cellStyle name="60% - Akzent6 94 2" xfId="15715"/>
    <cellStyle name="60% - Akzent6 95 2" xfId="15716"/>
    <cellStyle name="60% - Akzent6 96 2" xfId="15717"/>
    <cellStyle name="60% - Akzent6 97 2" xfId="15718"/>
    <cellStyle name="60% - Akzent6 98 2" xfId="15719"/>
    <cellStyle name="60% - Akzent6 99 2" xfId="15720"/>
    <cellStyle name="Accent1 2 2" xfId="15721"/>
    <cellStyle name="Accent2 2 2" xfId="15722"/>
    <cellStyle name="Accent3 2 2" xfId="15723"/>
    <cellStyle name="Accent4 2 2" xfId="15724"/>
    <cellStyle name="Accent5 2 2" xfId="15725"/>
    <cellStyle name="Accent6 2 2" xfId="15726"/>
    <cellStyle name="Akzent1 152" xfId="15727"/>
    <cellStyle name="Akzent1 10 3" xfId="15728"/>
    <cellStyle name="Akzent1 10 2 2" xfId="15729"/>
    <cellStyle name="Akzent1 100 2" xfId="15730"/>
    <cellStyle name="Akzent1 101 2" xfId="15731"/>
    <cellStyle name="Akzent1 102 2" xfId="15732"/>
    <cellStyle name="Akzent1 103 2" xfId="15733"/>
    <cellStyle name="Akzent1 104 2" xfId="15734"/>
    <cellStyle name="Akzent1 105 2" xfId="15735"/>
    <cellStyle name="Akzent1 106 2" xfId="15736"/>
    <cellStyle name="Akzent1 107 2" xfId="15737"/>
    <cellStyle name="Akzent1 108 2" xfId="15738"/>
    <cellStyle name="Akzent1 109 2" xfId="15739"/>
    <cellStyle name="Akzent1 11 3" xfId="15740"/>
    <cellStyle name="Akzent1 11 2 2" xfId="15741"/>
    <cellStyle name="Akzent1 110 2" xfId="15742"/>
    <cellStyle name="Akzent1 111 2" xfId="15743"/>
    <cellStyle name="Akzent1 112 2" xfId="15744"/>
    <cellStyle name="Akzent1 113 2" xfId="15745"/>
    <cellStyle name="Akzent1 114 2" xfId="15746"/>
    <cellStyle name="Akzent1 115 2" xfId="15747"/>
    <cellStyle name="Akzent1 116 2" xfId="15748"/>
    <cellStyle name="Akzent1 117 2" xfId="15749"/>
    <cellStyle name="Akzent1 118 2" xfId="15750"/>
    <cellStyle name="Akzent1 119 2" xfId="15751"/>
    <cellStyle name="Akzent1 12 3" xfId="15752"/>
    <cellStyle name="Akzent1 12 2 2" xfId="15753"/>
    <cellStyle name="Akzent1 120 2" xfId="15754"/>
    <cellStyle name="Akzent1 121 2" xfId="15755"/>
    <cellStyle name="Akzent1 122 2" xfId="15756"/>
    <cellStyle name="Akzent1 123 2" xfId="15757"/>
    <cellStyle name="Akzent1 124 2" xfId="15758"/>
    <cellStyle name="Akzent1 125 2" xfId="15759"/>
    <cellStyle name="Akzent1 126 2" xfId="15760"/>
    <cellStyle name="Akzent1 127 2" xfId="15761"/>
    <cellStyle name="Akzent1 128 2" xfId="15762"/>
    <cellStyle name="Akzent1 129 2" xfId="15763"/>
    <cellStyle name="Akzent1 13 3" xfId="15764"/>
    <cellStyle name="Akzent1 13 2 2" xfId="15765"/>
    <cellStyle name="Akzent1 130 2" xfId="15766"/>
    <cellStyle name="Akzent1 131 2" xfId="15767"/>
    <cellStyle name="Akzent1 132 2" xfId="15768"/>
    <cellStyle name="Akzent1 133 2" xfId="15769"/>
    <cellStyle name="Akzent1 134 2" xfId="15770"/>
    <cellStyle name="Akzent1 135 2" xfId="15771"/>
    <cellStyle name="Akzent1 136 2" xfId="15772"/>
    <cellStyle name="Akzent1 137 2" xfId="15773"/>
    <cellStyle name="Akzent1 138 2" xfId="15774"/>
    <cellStyle name="Akzent1 139 2" xfId="15775"/>
    <cellStyle name="Akzent1 14 3" xfId="15776"/>
    <cellStyle name="Akzent1 14 2 2" xfId="15777"/>
    <cellStyle name="Akzent1 140 2" xfId="15778"/>
    <cellStyle name="Akzent1 141 2" xfId="15779"/>
    <cellStyle name="Akzent1 142 2" xfId="15780"/>
    <cellStyle name="Akzent1 143 2" xfId="15781"/>
    <cellStyle name="Akzent1 144 2" xfId="15782"/>
    <cellStyle name="Akzent1 145 2" xfId="15783"/>
    <cellStyle name="Akzent1 146 2" xfId="15784"/>
    <cellStyle name="Akzent1 147 2" xfId="15785"/>
    <cellStyle name="Akzent1 148 2" xfId="15786"/>
    <cellStyle name="Akzent1 149 2" xfId="15787"/>
    <cellStyle name="Akzent1 15 2" xfId="15788"/>
    <cellStyle name="Akzent1 150 2" xfId="15789"/>
    <cellStyle name="Akzent1 151 2" xfId="15790"/>
    <cellStyle name="Akzent1 16 2" xfId="15791"/>
    <cellStyle name="Akzent1 17 2" xfId="15792"/>
    <cellStyle name="Akzent1 18 2" xfId="15793"/>
    <cellStyle name="Akzent1 19 2" xfId="15794"/>
    <cellStyle name="Akzent1 2 3" xfId="15795"/>
    <cellStyle name="Akzent1 2 2 2" xfId="15796"/>
    <cellStyle name="Akzent1 20 2" xfId="15797"/>
    <cellStyle name="Akzent1 21 2" xfId="15798"/>
    <cellStyle name="Akzent1 22 2" xfId="15799"/>
    <cellStyle name="Akzent1 23 2" xfId="15800"/>
    <cellStyle name="Akzent1 24 2" xfId="15801"/>
    <cellStyle name="Akzent1 25 2" xfId="15802"/>
    <cellStyle name="Akzent1 26 2" xfId="15803"/>
    <cellStyle name="Akzent1 27 2" xfId="15804"/>
    <cellStyle name="Akzent1 28 2" xfId="15805"/>
    <cellStyle name="Akzent1 29 2" xfId="15806"/>
    <cellStyle name="Akzent1 3 3" xfId="15807"/>
    <cellStyle name="Akzent1 3 2 2" xfId="15808"/>
    <cellStyle name="Akzent1 30 2" xfId="15809"/>
    <cellStyle name="Akzent1 31 2" xfId="15810"/>
    <cellStyle name="Akzent1 32 2" xfId="15811"/>
    <cellStyle name="Akzent1 33 2" xfId="15812"/>
    <cellStyle name="Akzent1 34 2" xfId="15813"/>
    <cellStyle name="Akzent1 35 2" xfId="15814"/>
    <cellStyle name="Akzent1 36 2" xfId="15815"/>
    <cellStyle name="Akzent1 37 2" xfId="15816"/>
    <cellStyle name="Akzent1 38 2" xfId="15817"/>
    <cellStyle name="Akzent1 39 2" xfId="15818"/>
    <cellStyle name="Akzent1 4 3" xfId="15819"/>
    <cellStyle name="Akzent1 4 2 2" xfId="15820"/>
    <cellStyle name="Akzent1 40 2" xfId="15821"/>
    <cellStyle name="Akzent1 41 2" xfId="15822"/>
    <cellStyle name="Akzent1 42 2" xfId="15823"/>
    <cellStyle name="Akzent1 43 2" xfId="15824"/>
    <cellStyle name="Akzent1 44 2" xfId="15825"/>
    <cellStyle name="Akzent1 45 2" xfId="15826"/>
    <cellStyle name="Akzent1 46 2" xfId="15827"/>
    <cellStyle name="Akzent1 47 2" xfId="15828"/>
    <cellStyle name="Akzent1 48 2" xfId="15829"/>
    <cellStyle name="Akzent1 49 2" xfId="15830"/>
    <cellStyle name="Akzent1 5 3" xfId="15831"/>
    <cellStyle name="Akzent1 5 2 2" xfId="15832"/>
    <cellStyle name="Akzent1 50 2" xfId="15833"/>
    <cellStyle name="Akzent1 51 2" xfId="15834"/>
    <cellStyle name="Akzent1 52 2" xfId="15835"/>
    <cellStyle name="Akzent1 53 2" xfId="15836"/>
    <cellStyle name="Akzent1 54 2" xfId="15837"/>
    <cellStyle name="Akzent1 55 2" xfId="15838"/>
    <cellStyle name="Akzent1 56 2" xfId="15839"/>
    <cellStyle name="Akzent1 57 2" xfId="15840"/>
    <cellStyle name="Akzent1 58 2" xfId="15841"/>
    <cellStyle name="Akzent1 59 2" xfId="15842"/>
    <cellStyle name="Akzent1 6 3" xfId="15843"/>
    <cellStyle name="Akzent1 6 2 2" xfId="15844"/>
    <cellStyle name="Akzent1 60 2" xfId="15845"/>
    <cellStyle name="Akzent1 61 2" xfId="15846"/>
    <cellStyle name="Akzent1 62 2" xfId="15847"/>
    <cellStyle name="Akzent1 63 2" xfId="15848"/>
    <cellStyle name="Akzent1 64 2" xfId="15849"/>
    <cellStyle name="Akzent1 65 2" xfId="15850"/>
    <cellStyle name="Akzent1 66 2" xfId="15851"/>
    <cellStyle name="Akzent1 67 2" xfId="15852"/>
    <cellStyle name="Akzent1 68 2" xfId="15853"/>
    <cellStyle name="Akzent1 69 2" xfId="15854"/>
    <cellStyle name="Akzent1 7 3" xfId="15855"/>
    <cellStyle name="Akzent1 7 2 2" xfId="15856"/>
    <cellStyle name="Akzent1 70 2" xfId="15857"/>
    <cellStyle name="Akzent1 71 2" xfId="15858"/>
    <cellStyle name="Akzent1 72 2" xfId="15859"/>
    <cellStyle name="Akzent1 73 2" xfId="15860"/>
    <cellStyle name="Akzent1 74 2" xfId="15861"/>
    <cellStyle name="Akzent1 75 2" xfId="15862"/>
    <cellStyle name="Akzent1 76 2" xfId="15863"/>
    <cellStyle name="Akzent1 77 2" xfId="15864"/>
    <cellStyle name="Akzent1 78 2" xfId="15865"/>
    <cellStyle name="Akzent1 79 2" xfId="15866"/>
    <cellStyle name="Akzent1 8 3" xfId="15867"/>
    <cellStyle name="Akzent1 8 2 2" xfId="15868"/>
    <cellStyle name="Akzent1 80 2" xfId="15869"/>
    <cellStyle name="Akzent1 81 2" xfId="15870"/>
    <cellStyle name="Akzent1 82 2" xfId="15871"/>
    <cellStyle name="Akzent1 83 2" xfId="15872"/>
    <cellStyle name="Akzent1 84 2" xfId="15873"/>
    <cellStyle name="Akzent1 85 2" xfId="15874"/>
    <cellStyle name="Akzent1 86 2" xfId="15875"/>
    <cellStyle name="Akzent1 87 2" xfId="15876"/>
    <cellStyle name="Akzent1 88 2" xfId="15877"/>
    <cellStyle name="Akzent1 89 2" xfId="15878"/>
    <cellStyle name="Akzent1 9 3" xfId="15879"/>
    <cellStyle name="Akzent1 9 2 2" xfId="15880"/>
    <cellStyle name="Akzent1 90 2" xfId="15881"/>
    <cellStyle name="Akzent1 91 2" xfId="15882"/>
    <cellStyle name="Akzent1 92 2" xfId="15883"/>
    <cellStyle name="Akzent1 93 2" xfId="15884"/>
    <cellStyle name="Akzent1 94 2" xfId="15885"/>
    <cellStyle name="Akzent1 95 2" xfId="15886"/>
    <cellStyle name="Akzent1 96 2" xfId="15887"/>
    <cellStyle name="Akzent1 97 2" xfId="15888"/>
    <cellStyle name="Akzent1 98 2" xfId="15889"/>
    <cellStyle name="Akzent1 99 2" xfId="15890"/>
    <cellStyle name="Akzent2 152" xfId="15891"/>
    <cellStyle name="Akzent2 10 3" xfId="15892"/>
    <cellStyle name="Akzent2 10 2 2" xfId="15893"/>
    <cellStyle name="Akzent2 100 2" xfId="15894"/>
    <cellStyle name="Akzent2 101 2" xfId="15895"/>
    <cellStyle name="Akzent2 102 2" xfId="15896"/>
    <cellStyle name="Akzent2 103 2" xfId="15897"/>
    <cellStyle name="Akzent2 104 2" xfId="15898"/>
    <cellStyle name="Akzent2 105 2" xfId="15899"/>
    <cellStyle name="Akzent2 106 2" xfId="15900"/>
    <cellStyle name="Akzent2 107 2" xfId="15901"/>
    <cellStyle name="Akzent2 108 2" xfId="15902"/>
    <cellStyle name="Akzent2 109 2" xfId="15903"/>
    <cellStyle name="Akzent2 11 3" xfId="15904"/>
    <cellStyle name="Akzent2 11 2 2" xfId="15905"/>
    <cellStyle name="Akzent2 110 2" xfId="15906"/>
    <cellStyle name="Akzent2 111 2" xfId="15907"/>
    <cellStyle name="Akzent2 112 2" xfId="15908"/>
    <cellStyle name="Akzent2 113 2" xfId="15909"/>
    <cellStyle name="Akzent2 114 2" xfId="15910"/>
    <cellStyle name="Akzent2 115 2" xfId="15911"/>
    <cellStyle name="Akzent2 116 2" xfId="15912"/>
    <cellStyle name="Akzent2 117 2" xfId="15913"/>
    <cellStyle name="Akzent2 118 2" xfId="15914"/>
    <cellStyle name="Akzent2 119 2" xfId="15915"/>
    <cellStyle name="Akzent2 12 3" xfId="15916"/>
    <cellStyle name="Akzent2 12 2 2" xfId="15917"/>
    <cellStyle name="Akzent2 120 2" xfId="15918"/>
    <cellStyle name="Akzent2 121 2" xfId="15919"/>
    <cellStyle name="Akzent2 122 2" xfId="15920"/>
    <cellStyle name="Akzent2 123 2" xfId="15921"/>
    <cellStyle name="Akzent2 124 2" xfId="15922"/>
    <cellStyle name="Akzent2 125 2" xfId="15923"/>
    <cellStyle name="Akzent2 126 2" xfId="15924"/>
    <cellStyle name="Akzent2 127 2" xfId="15925"/>
    <cellStyle name="Akzent2 128 2" xfId="15926"/>
    <cellStyle name="Akzent2 129 2" xfId="15927"/>
    <cellStyle name="Akzent2 13 3" xfId="15928"/>
    <cellStyle name="Akzent2 13 2 2" xfId="15929"/>
    <cellStyle name="Akzent2 130 2" xfId="15930"/>
    <cellStyle name="Akzent2 131 2" xfId="15931"/>
    <cellStyle name="Akzent2 132 2" xfId="15932"/>
    <cellStyle name="Akzent2 133 2" xfId="15933"/>
    <cellStyle name="Akzent2 134 2" xfId="15934"/>
    <cellStyle name="Akzent2 135 2" xfId="15935"/>
    <cellStyle name="Akzent2 136 2" xfId="15936"/>
    <cellStyle name="Akzent2 137 2" xfId="15937"/>
    <cellStyle name="Akzent2 138 2" xfId="15938"/>
    <cellStyle name="Akzent2 139 2" xfId="15939"/>
    <cellStyle name="Akzent2 14 3" xfId="15940"/>
    <cellStyle name="Akzent2 14 2 2" xfId="15941"/>
    <cellStyle name="Akzent2 140 2" xfId="15942"/>
    <cellStyle name="Akzent2 141 2" xfId="15943"/>
    <cellStyle name="Akzent2 142 2" xfId="15944"/>
    <cellStyle name="Akzent2 143 2" xfId="15945"/>
    <cellStyle name="Akzent2 144 2" xfId="15946"/>
    <cellStyle name="Akzent2 145 2" xfId="15947"/>
    <cellStyle name="Akzent2 146 2" xfId="15948"/>
    <cellStyle name="Akzent2 147 2" xfId="15949"/>
    <cellStyle name="Akzent2 148 2" xfId="15950"/>
    <cellStyle name="Akzent2 149 2" xfId="15951"/>
    <cellStyle name="Akzent2 15 2" xfId="15952"/>
    <cellStyle name="Akzent2 150 2" xfId="15953"/>
    <cellStyle name="Akzent2 151 2" xfId="15954"/>
    <cellStyle name="Akzent2 16 2" xfId="15955"/>
    <cellStyle name="Akzent2 17 2" xfId="15956"/>
    <cellStyle name="Akzent2 18 2" xfId="15957"/>
    <cellStyle name="Akzent2 19 2" xfId="15958"/>
    <cellStyle name="Akzent2 2 3" xfId="15959"/>
    <cellStyle name="Akzent2 2 2 2" xfId="15960"/>
    <cellStyle name="Akzent2 20 2" xfId="15961"/>
    <cellStyle name="Akzent2 21 2" xfId="15962"/>
    <cellStyle name="Akzent2 22 2" xfId="15963"/>
    <cellStyle name="Akzent2 23 2" xfId="15964"/>
    <cellStyle name="Akzent2 24 2" xfId="15965"/>
    <cellStyle name="Akzent2 25 2" xfId="15966"/>
    <cellStyle name="Akzent2 26 2" xfId="15967"/>
    <cellStyle name="Akzent2 27 2" xfId="15968"/>
    <cellStyle name="Akzent2 28 2" xfId="15969"/>
    <cellStyle name="Akzent2 29 2" xfId="15970"/>
    <cellStyle name="Akzent2 3 3" xfId="15971"/>
    <cellStyle name="Akzent2 3 2 2" xfId="15972"/>
    <cellStyle name="Akzent2 30 2" xfId="15973"/>
    <cellStyle name="Akzent2 31 2" xfId="15974"/>
    <cellStyle name="Akzent2 32 2" xfId="15975"/>
    <cellStyle name="Akzent2 33 2" xfId="15976"/>
    <cellStyle name="Akzent2 34 2" xfId="15977"/>
    <cellStyle name="Akzent2 35 2" xfId="15978"/>
    <cellStyle name="Akzent2 36 2" xfId="15979"/>
    <cellStyle name="Akzent2 37 2" xfId="15980"/>
    <cellStyle name="Akzent2 38 2" xfId="15981"/>
    <cellStyle name="Akzent2 39 2" xfId="15982"/>
    <cellStyle name="Akzent2 4 3" xfId="15983"/>
    <cellStyle name="Akzent2 4 2 2" xfId="15984"/>
    <cellStyle name="Akzent2 40 2" xfId="15985"/>
    <cellStyle name="Akzent2 41 2" xfId="15986"/>
    <cellStyle name="Akzent2 42 2" xfId="15987"/>
    <cellStyle name="Akzent2 43 2" xfId="15988"/>
    <cellStyle name="Akzent2 44 2" xfId="15989"/>
    <cellStyle name="Akzent2 45 2" xfId="15990"/>
    <cellStyle name="Akzent2 46 2" xfId="15991"/>
    <cellStyle name="Akzent2 47 2" xfId="15992"/>
    <cellStyle name="Akzent2 48 2" xfId="15993"/>
    <cellStyle name="Akzent2 49 2" xfId="15994"/>
    <cellStyle name="Akzent2 5 3" xfId="15995"/>
    <cellStyle name="Akzent2 5 2 2" xfId="15996"/>
    <cellStyle name="Akzent2 50 2" xfId="15997"/>
    <cellStyle name="Akzent2 51 2" xfId="15998"/>
    <cellStyle name="Akzent2 52 2" xfId="15999"/>
    <cellStyle name="Akzent2 53 2" xfId="16000"/>
    <cellStyle name="Akzent2 54 2" xfId="16001"/>
    <cellStyle name="Akzent2 55 2" xfId="16002"/>
    <cellStyle name="Akzent2 56 2" xfId="16003"/>
    <cellStyle name="Akzent2 57 2" xfId="16004"/>
    <cellStyle name="Akzent2 58 2" xfId="16005"/>
    <cellStyle name="Akzent2 59 2" xfId="16006"/>
    <cellStyle name="Akzent2 6 3" xfId="16007"/>
    <cellStyle name="Akzent2 6 2 2" xfId="16008"/>
    <cellStyle name="Akzent2 60 2" xfId="16009"/>
    <cellStyle name="Akzent2 61 2" xfId="16010"/>
    <cellStyle name="Akzent2 62 2" xfId="16011"/>
    <cellStyle name="Akzent2 63 2" xfId="16012"/>
    <cellStyle name="Akzent2 64 2" xfId="16013"/>
    <cellStyle name="Akzent2 65 2" xfId="16014"/>
    <cellStyle name="Akzent2 66 2" xfId="16015"/>
    <cellStyle name="Akzent2 67 2" xfId="16016"/>
    <cellStyle name="Akzent2 68 2" xfId="16017"/>
    <cellStyle name="Akzent2 69 2" xfId="16018"/>
    <cellStyle name="Akzent2 7 3" xfId="16019"/>
    <cellStyle name="Akzent2 7 2 2" xfId="16020"/>
    <cellStyle name="Akzent2 70 2" xfId="16021"/>
    <cellStyle name="Akzent2 71 2" xfId="16022"/>
    <cellStyle name="Akzent2 72 2" xfId="16023"/>
    <cellStyle name="Akzent2 73 2" xfId="16024"/>
    <cellStyle name="Akzent2 74 2" xfId="16025"/>
    <cellStyle name="Akzent2 75 2" xfId="16026"/>
    <cellStyle name="Akzent2 76 2" xfId="16027"/>
    <cellStyle name="Akzent2 77 2" xfId="16028"/>
    <cellStyle name="Akzent2 78 2" xfId="16029"/>
    <cellStyle name="Akzent2 79 2" xfId="16030"/>
    <cellStyle name="Akzent2 8 3" xfId="16031"/>
    <cellStyle name="Akzent2 8 2 2" xfId="16032"/>
    <cellStyle name="Akzent2 80 2" xfId="16033"/>
    <cellStyle name="Akzent2 81 2" xfId="16034"/>
    <cellStyle name="Akzent2 82 2" xfId="16035"/>
    <cellStyle name="Akzent2 83 2" xfId="16036"/>
    <cellStyle name="Akzent2 84 2" xfId="16037"/>
    <cellStyle name="Akzent2 85 2" xfId="16038"/>
    <cellStyle name="Akzent2 86 2" xfId="16039"/>
    <cellStyle name="Akzent2 87 2" xfId="16040"/>
    <cellStyle name="Akzent2 88 2" xfId="16041"/>
    <cellStyle name="Akzent2 89 2" xfId="16042"/>
    <cellStyle name="Akzent2 9 3" xfId="16043"/>
    <cellStyle name="Akzent2 9 2 2" xfId="16044"/>
    <cellStyle name="Akzent2 90 2" xfId="16045"/>
    <cellStyle name="Akzent2 91 2" xfId="16046"/>
    <cellStyle name="Akzent2 92 2" xfId="16047"/>
    <cellStyle name="Akzent2 93 2" xfId="16048"/>
    <cellStyle name="Akzent2 94 2" xfId="16049"/>
    <cellStyle name="Akzent2 95 2" xfId="16050"/>
    <cellStyle name="Akzent2 96 2" xfId="16051"/>
    <cellStyle name="Akzent2 97 2" xfId="16052"/>
    <cellStyle name="Akzent2 98 2" xfId="16053"/>
    <cellStyle name="Akzent2 99 2" xfId="16054"/>
    <cellStyle name="Akzent3 152" xfId="16055"/>
    <cellStyle name="Akzent3 10 3" xfId="16056"/>
    <cellStyle name="Akzent3 10 2 2" xfId="16057"/>
    <cellStyle name="Akzent3 100 2" xfId="16058"/>
    <cellStyle name="Akzent3 101 2" xfId="16059"/>
    <cellStyle name="Akzent3 102 2" xfId="16060"/>
    <cellStyle name="Akzent3 103 2" xfId="16061"/>
    <cellStyle name="Akzent3 104 2" xfId="16062"/>
    <cellStyle name="Akzent3 105 2" xfId="16063"/>
    <cellStyle name="Akzent3 106 2" xfId="16064"/>
    <cellStyle name="Akzent3 107 2" xfId="16065"/>
    <cellStyle name="Akzent3 108 2" xfId="16066"/>
    <cellStyle name="Akzent3 109 2" xfId="16067"/>
    <cellStyle name="Akzent3 11 3" xfId="16068"/>
    <cellStyle name="Akzent3 11 2 2" xfId="16069"/>
    <cellStyle name="Akzent3 110 2" xfId="16070"/>
    <cellStyle name="Akzent3 111 2" xfId="16071"/>
    <cellStyle name="Akzent3 112 2" xfId="16072"/>
    <cellStyle name="Akzent3 113 2" xfId="16073"/>
    <cellStyle name="Akzent3 114 2" xfId="16074"/>
    <cellStyle name="Akzent3 115 2" xfId="16075"/>
    <cellStyle name="Akzent3 116 2" xfId="16076"/>
    <cellStyle name="Akzent3 117 2" xfId="16077"/>
    <cellStyle name="Akzent3 118 2" xfId="16078"/>
    <cellStyle name="Akzent3 119 2" xfId="16079"/>
    <cellStyle name="Akzent3 12 3" xfId="16080"/>
    <cellStyle name="Akzent3 12 2 2" xfId="16081"/>
    <cellStyle name="Akzent3 120 2" xfId="16082"/>
    <cellStyle name="Akzent3 121 2" xfId="16083"/>
    <cellStyle name="Akzent3 122 2" xfId="16084"/>
    <cellStyle name="Akzent3 123 2" xfId="16085"/>
    <cellStyle name="Akzent3 124 2" xfId="16086"/>
    <cellStyle name="Akzent3 125 2" xfId="16087"/>
    <cellStyle name="Akzent3 126 2" xfId="16088"/>
    <cellStyle name="Akzent3 127 2" xfId="16089"/>
    <cellStyle name="Akzent3 128 2" xfId="16090"/>
    <cellStyle name="Akzent3 129 2" xfId="16091"/>
    <cellStyle name="Akzent3 13 3" xfId="16092"/>
    <cellStyle name="Akzent3 13 2 2" xfId="16093"/>
    <cellStyle name="Akzent3 130 2" xfId="16094"/>
    <cellStyle name="Akzent3 131 2" xfId="16095"/>
    <cellStyle name="Akzent3 132 2" xfId="16096"/>
    <cellStyle name="Akzent3 133 2" xfId="16097"/>
    <cellStyle name="Akzent3 134 2" xfId="16098"/>
    <cellStyle name="Akzent3 135 2" xfId="16099"/>
    <cellStyle name="Akzent3 136 2" xfId="16100"/>
    <cellStyle name="Akzent3 137 2" xfId="16101"/>
    <cellStyle name="Akzent3 138 2" xfId="16102"/>
    <cellStyle name="Akzent3 139 2" xfId="16103"/>
    <cellStyle name="Akzent3 14 3" xfId="16104"/>
    <cellStyle name="Akzent3 14 2 2" xfId="16105"/>
    <cellStyle name="Akzent3 140 2" xfId="16106"/>
    <cellStyle name="Akzent3 141 2" xfId="16107"/>
    <cellStyle name="Akzent3 142 2" xfId="16108"/>
    <cellStyle name="Akzent3 143 2" xfId="16109"/>
    <cellStyle name="Akzent3 144 2" xfId="16110"/>
    <cellStyle name="Akzent3 145 2" xfId="16111"/>
    <cellStyle name="Akzent3 146 2" xfId="16112"/>
    <cellStyle name="Akzent3 147 2" xfId="16113"/>
    <cellStyle name="Akzent3 148 2" xfId="16114"/>
    <cellStyle name="Akzent3 149 2" xfId="16115"/>
    <cellStyle name="Akzent3 15 2" xfId="16116"/>
    <cellStyle name="Akzent3 150 2" xfId="16117"/>
    <cellStyle name="Akzent3 151 2" xfId="16118"/>
    <cellStyle name="Akzent3 16 2" xfId="16119"/>
    <cellStyle name="Akzent3 17 2" xfId="16120"/>
    <cellStyle name="Akzent3 18 2" xfId="16121"/>
    <cellStyle name="Akzent3 19 2" xfId="16122"/>
    <cellStyle name="Akzent3 2 3" xfId="16123"/>
    <cellStyle name="Akzent3 2 2 2" xfId="16124"/>
    <cellStyle name="Akzent3 20 2" xfId="16125"/>
    <cellStyle name="Akzent3 21 2" xfId="16126"/>
    <cellStyle name="Akzent3 22 2" xfId="16127"/>
    <cellStyle name="Akzent3 23 2" xfId="16128"/>
    <cellStyle name="Akzent3 24 2" xfId="16129"/>
    <cellStyle name="Akzent3 25 2" xfId="16130"/>
    <cellStyle name="Akzent3 26 2" xfId="16131"/>
    <cellStyle name="Akzent3 27 2" xfId="16132"/>
    <cellStyle name="Akzent3 28 2" xfId="16133"/>
    <cellStyle name="Akzent3 29 2" xfId="16134"/>
    <cellStyle name="Akzent3 3 3" xfId="16135"/>
    <cellStyle name="Akzent3 3 2 2" xfId="16136"/>
    <cellStyle name="Akzent3 30 2" xfId="16137"/>
    <cellStyle name="Akzent3 31 2" xfId="16138"/>
    <cellStyle name="Akzent3 32 2" xfId="16139"/>
    <cellStyle name="Akzent3 33 2" xfId="16140"/>
    <cellStyle name="Akzent3 34 2" xfId="16141"/>
    <cellStyle name="Akzent3 35 2" xfId="16142"/>
    <cellStyle name="Akzent3 36 2" xfId="16143"/>
    <cellStyle name="Akzent3 37 2" xfId="16144"/>
    <cellStyle name="Akzent3 38 2" xfId="16145"/>
    <cellStyle name="Akzent3 39 2" xfId="16146"/>
    <cellStyle name="Akzent3 4 3" xfId="16147"/>
    <cellStyle name="Akzent3 4 2 2" xfId="16148"/>
    <cellStyle name="Akzent3 40 2" xfId="16149"/>
    <cellStyle name="Akzent3 41 2" xfId="16150"/>
    <cellStyle name="Akzent3 42 2" xfId="16151"/>
    <cellStyle name="Akzent3 43 2" xfId="16152"/>
    <cellStyle name="Akzent3 44 2" xfId="16153"/>
    <cellStyle name="Akzent3 45 2" xfId="16154"/>
    <cellStyle name="Akzent3 46 2" xfId="16155"/>
    <cellStyle name="Akzent3 47 2" xfId="16156"/>
    <cellStyle name="Akzent3 48 2" xfId="16157"/>
    <cellStyle name="Akzent3 49 2" xfId="16158"/>
    <cellStyle name="Akzent3 5 3" xfId="16159"/>
    <cellStyle name="Akzent3 5 2 2" xfId="16160"/>
    <cellStyle name="Akzent3 50 2" xfId="16161"/>
    <cellStyle name="Akzent3 51 2" xfId="16162"/>
    <cellStyle name="Akzent3 52 2" xfId="16163"/>
    <cellStyle name="Akzent3 53 2" xfId="16164"/>
    <cellStyle name="Akzent3 54 2" xfId="16165"/>
    <cellStyle name="Akzent3 55 2" xfId="16166"/>
    <cellStyle name="Akzent3 56 2" xfId="16167"/>
    <cellStyle name="Akzent3 57 2" xfId="16168"/>
    <cellStyle name="Akzent3 58 2" xfId="16169"/>
    <cellStyle name="Akzent3 59 2" xfId="16170"/>
    <cellStyle name="Akzent3 6 3" xfId="16171"/>
    <cellStyle name="Akzent3 6 2 2" xfId="16172"/>
    <cellStyle name="Akzent3 60 2" xfId="16173"/>
    <cellStyle name="Akzent3 61 2" xfId="16174"/>
    <cellStyle name="Akzent3 62 2" xfId="16175"/>
    <cellStyle name="Akzent3 63 2" xfId="16176"/>
    <cellStyle name="Akzent3 64 2" xfId="16177"/>
    <cellStyle name="Akzent3 65 2" xfId="16178"/>
    <cellStyle name="Akzent3 66 2" xfId="16179"/>
    <cellStyle name="Akzent3 67 2" xfId="16180"/>
    <cellStyle name="Akzent3 68 2" xfId="16181"/>
    <cellStyle name="Akzent3 69 2" xfId="16182"/>
    <cellStyle name="Akzent3 7 3" xfId="16183"/>
    <cellStyle name="Akzent3 7 2 2" xfId="16184"/>
    <cellStyle name="Akzent3 70 2" xfId="16185"/>
    <cellStyle name="Akzent3 71 2" xfId="16186"/>
    <cellStyle name="Akzent3 72 2" xfId="16187"/>
    <cellStyle name="Akzent3 73 2" xfId="16188"/>
    <cellStyle name="Akzent3 74 2" xfId="16189"/>
    <cellStyle name="Akzent3 75 2" xfId="16190"/>
    <cellStyle name="Akzent3 76 2" xfId="16191"/>
    <cellStyle name="Akzent3 77 2" xfId="16192"/>
    <cellStyle name="Akzent3 78 2" xfId="16193"/>
    <cellStyle name="Akzent3 79 2" xfId="16194"/>
    <cellStyle name="Akzent3 8 3" xfId="16195"/>
    <cellStyle name="Akzent3 8 2 2" xfId="16196"/>
    <cellStyle name="Akzent3 80 2" xfId="16197"/>
    <cellStyle name="Akzent3 81 2" xfId="16198"/>
    <cellStyle name="Akzent3 82 2" xfId="16199"/>
    <cellStyle name="Akzent3 83 2" xfId="16200"/>
    <cellStyle name="Akzent3 84 2" xfId="16201"/>
    <cellStyle name="Akzent3 85 2" xfId="16202"/>
    <cellStyle name="Akzent3 86 2" xfId="16203"/>
    <cellStyle name="Akzent3 87 2" xfId="16204"/>
    <cellStyle name="Akzent3 88 2" xfId="16205"/>
    <cellStyle name="Akzent3 89 2" xfId="16206"/>
    <cellStyle name="Akzent3 9 3" xfId="16207"/>
    <cellStyle name="Akzent3 9 2 2" xfId="16208"/>
    <cellStyle name="Akzent3 90 2" xfId="16209"/>
    <cellStyle name="Akzent3 91 2" xfId="16210"/>
    <cellStyle name="Akzent3 92 2" xfId="16211"/>
    <cellStyle name="Akzent3 93 2" xfId="16212"/>
    <cellStyle name="Akzent3 94 2" xfId="16213"/>
    <cellStyle name="Akzent3 95 2" xfId="16214"/>
    <cellStyle name="Akzent3 96 2" xfId="16215"/>
    <cellStyle name="Akzent3 97 2" xfId="16216"/>
    <cellStyle name="Akzent3 98 2" xfId="16217"/>
    <cellStyle name="Akzent3 99 2" xfId="16218"/>
    <cellStyle name="Akzent4 152" xfId="16219"/>
    <cellStyle name="Akzent4 10 3" xfId="16220"/>
    <cellStyle name="Akzent4 10 2 2" xfId="16221"/>
    <cellStyle name="Akzent4 100 2" xfId="16222"/>
    <cellStyle name="Akzent4 101 2" xfId="16223"/>
    <cellStyle name="Akzent4 102 2" xfId="16224"/>
    <cellStyle name="Akzent4 103 2" xfId="16225"/>
    <cellStyle name="Akzent4 104 2" xfId="16226"/>
    <cellStyle name="Akzent4 105 2" xfId="16227"/>
    <cellStyle name="Akzent4 106 2" xfId="16228"/>
    <cellStyle name="Akzent4 107 2" xfId="16229"/>
    <cellStyle name="Akzent4 108 2" xfId="16230"/>
    <cellStyle name="Akzent4 109 2" xfId="16231"/>
    <cellStyle name="Akzent4 11 3" xfId="16232"/>
    <cellStyle name="Akzent4 11 2 2" xfId="16233"/>
    <cellStyle name="Akzent4 110 2" xfId="16234"/>
    <cellStyle name="Akzent4 111 2" xfId="16235"/>
    <cellStyle name="Akzent4 112 2" xfId="16236"/>
    <cellStyle name="Akzent4 113 2" xfId="16237"/>
    <cellStyle name="Akzent4 114 2" xfId="16238"/>
    <cellStyle name="Akzent4 115 2" xfId="16239"/>
    <cellStyle name="Akzent4 116 2" xfId="16240"/>
    <cellStyle name="Akzent4 117 2" xfId="16241"/>
    <cellStyle name="Akzent4 118 2" xfId="16242"/>
    <cellStyle name="Akzent4 119 2" xfId="16243"/>
    <cellStyle name="Akzent4 12 3" xfId="16244"/>
    <cellStyle name="Akzent4 12 2 2" xfId="16245"/>
    <cellStyle name="Akzent4 120 2" xfId="16246"/>
    <cellStyle name="Akzent4 121 2" xfId="16247"/>
    <cellStyle name="Akzent4 122 2" xfId="16248"/>
    <cellStyle name="Akzent4 123 2" xfId="16249"/>
    <cellStyle name="Akzent4 124 2" xfId="16250"/>
    <cellStyle name="Akzent4 125 2" xfId="16251"/>
    <cellStyle name="Akzent4 126 2" xfId="16252"/>
    <cellStyle name="Akzent4 127 2" xfId="16253"/>
    <cellStyle name="Akzent4 128 2" xfId="16254"/>
    <cellStyle name="Akzent4 129 2" xfId="16255"/>
    <cellStyle name="Akzent4 13 3" xfId="16256"/>
    <cellStyle name="Akzent4 13 2 2" xfId="16257"/>
    <cellStyle name="Akzent4 130 2" xfId="16258"/>
    <cellStyle name="Akzent4 131 2" xfId="16259"/>
    <cellStyle name="Akzent4 132 2" xfId="16260"/>
    <cellStyle name="Akzent4 133 2" xfId="16261"/>
    <cellStyle name="Akzent4 134 2" xfId="16262"/>
    <cellStyle name="Akzent4 135 2" xfId="16263"/>
    <cellStyle name="Akzent4 136 2" xfId="16264"/>
    <cellStyle name="Akzent4 137 2" xfId="16265"/>
    <cellStyle name="Akzent4 138 2" xfId="16266"/>
    <cellStyle name="Akzent4 139 2" xfId="16267"/>
    <cellStyle name="Akzent4 14 3" xfId="16268"/>
    <cellStyle name="Akzent4 14 2 2" xfId="16269"/>
    <cellStyle name="Akzent4 140 2" xfId="16270"/>
    <cellStyle name="Akzent4 141 2" xfId="16271"/>
    <cellStyle name="Akzent4 142 2" xfId="16272"/>
    <cellStyle name="Akzent4 143 2" xfId="16273"/>
    <cellStyle name="Akzent4 144 2" xfId="16274"/>
    <cellStyle name="Akzent4 145 2" xfId="16275"/>
    <cellStyle name="Akzent4 146 2" xfId="16276"/>
    <cellStyle name="Akzent4 147 2" xfId="16277"/>
    <cellStyle name="Akzent4 148 2" xfId="16278"/>
    <cellStyle name="Akzent4 149 2" xfId="16279"/>
    <cellStyle name="Akzent4 15 2" xfId="16280"/>
    <cellStyle name="Akzent4 150 2" xfId="16281"/>
    <cellStyle name="Akzent4 151 2" xfId="16282"/>
    <cellStyle name="Akzent4 16 2" xfId="16283"/>
    <cellStyle name="Akzent4 17 2" xfId="16284"/>
    <cellStyle name="Akzent4 18 2" xfId="16285"/>
    <cellStyle name="Akzent4 19 2" xfId="16286"/>
    <cellStyle name="Akzent4 2 3" xfId="16287"/>
    <cellStyle name="Akzent4 2 2 2" xfId="16288"/>
    <cellStyle name="Akzent4 20 2" xfId="16289"/>
    <cellStyle name="Akzent4 21 2" xfId="16290"/>
    <cellStyle name="Akzent4 22 2" xfId="16291"/>
    <cellStyle name="Akzent4 23 2" xfId="16292"/>
    <cellStyle name="Akzent4 24 2" xfId="16293"/>
    <cellStyle name="Akzent4 25 2" xfId="16294"/>
    <cellStyle name="Akzent4 26 2" xfId="16295"/>
    <cellStyle name="Akzent4 27 2" xfId="16296"/>
    <cellStyle name="Akzent4 28 2" xfId="16297"/>
    <cellStyle name="Akzent4 29 2" xfId="16298"/>
    <cellStyle name="Akzent4 3 3" xfId="16299"/>
    <cellStyle name="Akzent4 3 2 2" xfId="16300"/>
    <cellStyle name="Akzent4 30 2" xfId="16301"/>
    <cellStyle name="Akzent4 31 2" xfId="16302"/>
    <cellStyle name="Akzent4 32 2" xfId="16303"/>
    <cellStyle name="Akzent4 33 2" xfId="16304"/>
    <cellStyle name="Akzent4 34 2" xfId="16305"/>
    <cellStyle name="Akzent4 35 2" xfId="16306"/>
    <cellStyle name="Akzent4 36 2" xfId="16307"/>
    <cellStyle name="Akzent4 37 2" xfId="16308"/>
    <cellStyle name="Akzent4 38 2" xfId="16309"/>
    <cellStyle name="Akzent4 39 2" xfId="16310"/>
    <cellStyle name="Akzent4 4 3" xfId="16311"/>
    <cellStyle name="Akzent4 4 2 2" xfId="16312"/>
    <cellStyle name="Akzent4 40 2" xfId="16313"/>
    <cellStyle name="Akzent4 41 2" xfId="16314"/>
    <cellStyle name="Akzent4 42 2" xfId="16315"/>
    <cellStyle name="Akzent4 43 2" xfId="16316"/>
    <cellStyle name="Akzent4 44 2" xfId="16317"/>
    <cellStyle name="Akzent4 45 2" xfId="16318"/>
    <cellStyle name="Akzent4 46 2" xfId="16319"/>
    <cellStyle name="Akzent4 47 2" xfId="16320"/>
    <cellStyle name="Akzent4 48 2" xfId="16321"/>
    <cellStyle name="Akzent4 49 2" xfId="16322"/>
    <cellStyle name="Akzent4 5 3" xfId="16323"/>
    <cellStyle name="Akzent4 5 2 2" xfId="16324"/>
    <cellStyle name="Akzent4 50 2" xfId="16325"/>
    <cellStyle name="Akzent4 51 2" xfId="16326"/>
    <cellStyle name="Akzent4 52 2" xfId="16327"/>
    <cellStyle name="Akzent4 53 2" xfId="16328"/>
    <cellStyle name="Akzent4 54 2" xfId="16329"/>
    <cellStyle name="Akzent4 55 2" xfId="16330"/>
    <cellStyle name="Akzent4 56 2" xfId="16331"/>
    <cellStyle name="Akzent4 57 2" xfId="16332"/>
    <cellStyle name="Akzent4 58 2" xfId="16333"/>
    <cellStyle name="Akzent4 59 2" xfId="16334"/>
    <cellStyle name="Akzent4 6 3" xfId="16335"/>
    <cellStyle name="Akzent4 6 2 2" xfId="16336"/>
    <cellStyle name="Akzent4 60 2" xfId="16337"/>
    <cellStyle name="Akzent4 61 2" xfId="16338"/>
    <cellStyle name="Akzent4 62 2" xfId="16339"/>
    <cellStyle name="Akzent4 63 2" xfId="16340"/>
    <cellStyle name="Akzent4 64 2" xfId="16341"/>
    <cellStyle name="Akzent4 65 2" xfId="16342"/>
    <cellStyle name="Akzent4 66 2" xfId="16343"/>
    <cellStyle name="Akzent4 67 2" xfId="16344"/>
    <cellStyle name="Akzent4 68 2" xfId="16345"/>
    <cellStyle name="Akzent4 69 2" xfId="16346"/>
    <cellStyle name="Akzent4 7 3" xfId="16347"/>
    <cellStyle name="Akzent4 7 2 2" xfId="16348"/>
    <cellStyle name="Akzent4 70 2" xfId="16349"/>
    <cellStyle name="Akzent4 71 2" xfId="16350"/>
    <cellStyle name="Akzent4 72 2" xfId="16351"/>
    <cellStyle name="Akzent4 73 2" xfId="16352"/>
    <cellStyle name="Akzent4 74 2" xfId="16353"/>
    <cellStyle name="Akzent4 75 2" xfId="16354"/>
    <cellStyle name="Akzent4 76 2" xfId="16355"/>
    <cellStyle name="Akzent4 77 2" xfId="16356"/>
    <cellStyle name="Akzent4 78 2" xfId="16357"/>
    <cellStyle name="Akzent4 79 2" xfId="16358"/>
    <cellStyle name="Akzent4 8 3" xfId="16359"/>
    <cellStyle name="Akzent4 8 2 2" xfId="16360"/>
    <cellStyle name="Akzent4 80 2" xfId="16361"/>
    <cellStyle name="Akzent4 81 2" xfId="16362"/>
    <cellStyle name="Akzent4 82 2" xfId="16363"/>
    <cellStyle name="Akzent4 83 2" xfId="16364"/>
    <cellStyle name="Akzent4 84 2" xfId="16365"/>
    <cellStyle name="Akzent4 85 2" xfId="16366"/>
    <cellStyle name="Akzent4 86 2" xfId="16367"/>
    <cellStyle name="Akzent4 87 2" xfId="16368"/>
    <cellStyle name="Akzent4 88 2" xfId="16369"/>
    <cellStyle name="Akzent4 89 2" xfId="16370"/>
    <cellStyle name="Akzent4 9 3" xfId="16371"/>
    <cellStyle name="Akzent4 9 2 2" xfId="16372"/>
    <cellStyle name="Akzent4 90 2" xfId="16373"/>
    <cellStyle name="Akzent4 91 2" xfId="16374"/>
    <cellStyle name="Akzent4 92 2" xfId="16375"/>
    <cellStyle name="Akzent4 93 2" xfId="16376"/>
    <cellStyle name="Akzent4 94 2" xfId="16377"/>
    <cellStyle name="Akzent4 95 2" xfId="16378"/>
    <cellStyle name="Akzent4 96 2" xfId="16379"/>
    <cellStyle name="Akzent4 97 2" xfId="16380"/>
    <cellStyle name="Akzent4 98 2" xfId="16381"/>
    <cellStyle name="Akzent4 99 2" xfId="16382"/>
    <cellStyle name="Akzent5 108" xfId="16383"/>
    <cellStyle name="Akzent5 10 2" xfId="16384"/>
    <cellStyle name="Akzent5 100 2" xfId="16385"/>
    <cellStyle name="Akzent5 101 2" xfId="16386"/>
    <cellStyle name="Akzent5 102 2" xfId="16387"/>
    <cellStyle name="Akzent5 103 2" xfId="16388"/>
    <cellStyle name="Akzent5 104 2" xfId="16389"/>
    <cellStyle name="Akzent5 105 2" xfId="16390"/>
    <cellStyle name="Akzent5 106 2" xfId="16391"/>
    <cellStyle name="Akzent5 107 2" xfId="16392"/>
    <cellStyle name="Akzent5 11 2" xfId="16393"/>
    <cellStyle name="Akzent5 12 2" xfId="16394"/>
    <cellStyle name="Akzent5 13 2" xfId="16395"/>
    <cellStyle name="Akzent5 14 2" xfId="16396"/>
    <cellStyle name="Akzent5 15 2" xfId="16397"/>
    <cellStyle name="Akzent5 16 2" xfId="16398"/>
    <cellStyle name="Akzent5 17 2" xfId="16399"/>
    <cellStyle name="Akzent5 18 2" xfId="16400"/>
    <cellStyle name="Akzent5 19 2" xfId="16401"/>
    <cellStyle name="Akzent5 2 2" xfId="16402"/>
    <cellStyle name="Akzent5 20 2" xfId="16403"/>
    <cellStyle name="Akzent5 21 2" xfId="16404"/>
    <cellStyle name="Akzent5 22 2" xfId="16405"/>
    <cellStyle name="Akzent5 23 2" xfId="16406"/>
    <cellStyle name="Akzent5 24 2" xfId="16407"/>
    <cellStyle name="Akzent5 25 2" xfId="16408"/>
    <cellStyle name="Akzent5 26 2" xfId="16409"/>
    <cellStyle name="Akzent5 27 2" xfId="16410"/>
    <cellStyle name="Akzent5 28 2" xfId="16411"/>
    <cellStyle name="Akzent5 29 2" xfId="16412"/>
    <cellStyle name="Akzent5 3 2" xfId="16413"/>
    <cellStyle name="Akzent5 30 2" xfId="16414"/>
    <cellStyle name="Akzent5 31 2" xfId="16415"/>
    <cellStyle name="Akzent5 32 2" xfId="16416"/>
    <cellStyle name="Akzent5 33 2" xfId="16417"/>
    <cellStyle name="Akzent5 34 2" xfId="16418"/>
    <cellStyle name="Akzent5 35 2" xfId="16419"/>
    <cellStyle name="Akzent5 36 2" xfId="16420"/>
    <cellStyle name="Akzent5 37 2" xfId="16421"/>
    <cellStyle name="Akzent5 38 2" xfId="16422"/>
    <cellStyle name="Akzent5 39 2" xfId="16423"/>
    <cellStyle name="Akzent5 4 2" xfId="16424"/>
    <cellStyle name="Akzent5 40 2" xfId="16425"/>
    <cellStyle name="Akzent5 41 2" xfId="16426"/>
    <cellStyle name="Akzent5 42 2" xfId="16427"/>
    <cellStyle name="Akzent5 43 2" xfId="16428"/>
    <cellStyle name="Akzent5 44 2" xfId="16429"/>
    <cellStyle name="Akzent5 45 2" xfId="16430"/>
    <cellStyle name="Akzent5 46 2" xfId="16431"/>
    <cellStyle name="Akzent5 47 2" xfId="16432"/>
    <cellStyle name="Akzent5 48 2" xfId="16433"/>
    <cellStyle name="Akzent5 49 2" xfId="16434"/>
    <cellStyle name="Akzent5 5 2" xfId="16435"/>
    <cellStyle name="Akzent5 50 2" xfId="16436"/>
    <cellStyle name="Akzent5 51 2" xfId="16437"/>
    <cellStyle name="Akzent5 52 2" xfId="16438"/>
    <cellStyle name="Akzent5 53 2" xfId="16439"/>
    <cellStyle name="Akzent5 54 2" xfId="16440"/>
    <cellStyle name="Akzent5 55 2" xfId="16441"/>
    <cellStyle name="Akzent5 56 2" xfId="16442"/>
    <cellStyle name="Akzent5 57 2" xfId="16443"/>
    <cellStyle name="Akzent5 58 2" xfId="16444"/>
    <cellStyle name="Akzent5 59 2" xfId="16445"/>
    <cellStyle name="Akzent5 6 2" xfId="16446"/>
    <cellStyle name="Akzent5 60 2" xfId="16447"/>
    <cellStyle name="Akzent5 61 2" xfId="16448"/>
    <cellStyle name="Akzent5 62 2" xfId="16449"/>
    <cellStyle name="Akzent5 63 2" xfId="16450"/>
    <cellStyle name="Akzent5 64 2" xfId="16451"/>
    <cellStyle name="Akzent5 65 2" xfId="16452"/>
    <cellStyle name="Akzent5 66 2" xfId="16453"/>
    <cellStyle name="Akzent5 67 2" xfId="16454"/>
    <cellStyle name="Akzent5 68 2" xfId="16455"/>
    <cellStyle name="Akzent5 69 2" xfId="16456"/>
    <cellStyle name="Akzent5 7 2" xfId="16457"/>
    <cellStyle name="Akzent5 70 2" xfId="16458"/>
    <cellStyle name="Akzent5 71 2" xfId="16459"/>
    <cellStyle name="Akzent5 72 2" xfId="16460"/>
    <cellStyle name="Akzent5 73 2" xfId="16461"/>
    <cellStyle name="Akzent5 74 2" xfId="16462"/>
    <cellStyle name="Akzent5 75 2" xfId="16463"/>
    <cellStyle name="Akzent5 76 2" xfId="16464"/>
    <cellStyle name="Akzent5 77 2" xfId="16465"/>
    <cellStyle name="Akzent5 78 2" xfId="16466"/>
    <cellStyle name="Akzent5 79 2" xfId="16467"/>
    <cellStyle name="Akzent5 8 2" xfId="16468"/>
    <cellStyle name="Akzent5 80 2" xfId="16469"/>
    <cellStyle name="Akzent5 81 2" xfId="16470"/>
    <cellStyle name="Akzent5 82 2" xfId="16471"/>
    <cellStyle name="Akzent5 83 2" xfId="16472"/>
    <cellStyle name="Akzent5 84 2" xfId="16473"/>
    <cellStyle name="Akzent5 85 2" xfId="16474"/>
    <cellStyle name="Akzent5 86 2" xfId="16475"/>
    <cellStyle name="Akzent5 87 2" xfId="16476"/>
    <cellStyle name="Akzent5 88 2" xfId="16477"/>
    <cellStyle name="Akzent5 89 2" xfId="16478"/>
    <cellStyle name="Akzent5 9 2" xfId="16479"/>
    <cellStyle name="Akzent5 90 2" xfId="16480"/>
    <cellStyle name="Akzent5 91 2" xfId="16481"/>
    <cellStyle name="Akzent5 92 2" xfId="16482"/>
    <cellStyle name="Akzent5 93 2" xfId="16483"/>
    <cellStyle name="Akzent5 94 2" xfId="16484"/>
    <cellStyle name="Akzent5 95 2" xfId="16485"/>
    <cellStyle name="Akzent5 96 2" xfId="16486"/>
    <cellStyle name="Akzent5 97 2" xfId="16487"/>
    <cellStyle name="Akzent5 98 2" xfId="16488"/>
    <cellStyle name="Akzent5 99 2" xfId="16489"/>
    <cellStyle name="Akzent6 152" xfId="16490"/>
    <cellStyle name="Akzent6 10 3" xfId="16491"/>
    <cellStyle name="Akzent6 10 2 2" xfId="16492"/>
    <cellStyle name="Akzent6 100 2" xfId="16493"/>
    <cellStyle name="Akzent6 101 2" xfId="16494"/>
    <cellStyle name="Akzent6 102 2" xfId="16495"/>
    <cellStyle name="Akzent6 103 2" xfId="16496"/>
    <cellStyle name="Akzent6 104 2" xfId="16497"/>
    <cellStyle name="Akzent6 105 2" xfId="16498"/>
    <cellStyle name="Akzent6 106 2" xfId="16499"/>
    <cellStyle name="Akzent6 107 2" xfId="16500"/>
    <cellStyle name="Akzent6 108 2" xfId="16501"/>
    <cellStyle name="Akzent6 109 2" xfId="16502"/>
    <cellStyle name="Akzent6 11 3" xfId="16503"/>
    <cellStyle name="Akzent6 11 2 2" xfId="16504"/>
    <cellStyle name="Akzent6 110 2" xfId="16505"/>
    <cellStyle name="Akzent6 111 2" xfId="16506"/>
    <cellStyle name="Akzent6 112 2" xfId="16507"/>
    <cellStyle name="Akzent6 113 2" xfId="16508"/>
    <cellStyle name="Akzent6 114 2" xfId="16509"/>
    <cellStyle name="Akzent6 115 2" xfId="16510"/>
    <cellStyle name="Akzent6 116 2" xfId="16511"/>
    <cellStyle name="Akzent6 117 2" xfId="16512"/>
    <cellStyle name="Akzent6 118 2" xfId="16513"/>
    <cellStyle name="Akzent6 119 2" xfId="16514"/>
    <cellStyle name="Akzent6 12 3" xfId="16515"/>
    <cellStyle name="Akzent6 12 2 2" xfId="16516"/>
    <cellStyle name="Akzent6 120 2" xfId="16517"/>
    <cellStyle name="Akzent6 121 2" xfId="16518"/>
    <cellStyle name="Akzent6 122 2" xfId="16519"/>
    <cellStyle name="Akzent6 123 2" xfId="16520"/>
    <cellStyle name="Akzent6 124 2" xfId="16521"/>
    <cellStyle name="Akzent6 125 2" xfId="16522"/>
    <cellStyle name="Akzent6 126 2" xfId="16523"/>
    <cellStyle name="Akzent6 127 2" xfId="16524"/>
    <cellStyle name="Akzent6 128 2" xfId="16525"/>
    <cellStyle name="Akzent6 129 2" xfId="16526"/>
    <cellStyle name="Akzent6 13 3" xfId="16527"/>
    <cellStyle name="Akzent6 13 2 2" xfId="16528"/>
    <cellStyle name="Akzent6 130 2" xfId="16529"/>
    <cellStyle name="Akzent6 131 2" xfId="16530"/>
    <cellStyle name="Akzent6 132 2" xfId="16531"/>
    <cellStyle name="Akzent6 133 2" xfId="16532"/>
    <cellStyle name="Akzent6 134 2" xfId="16533"/>
    <cellStyle name="Akzent6 135 2" xfId="16534"/>
    <cellStyle name="Akzent6 136 2" xfId="16535"/>
    <cellStyle name="Akzent6 137 2" xfId="16536"/>
    <cellStyle name="Akzent6 138 2" xfId="16537"/>
    <cellStyle name="Akzent6 139 2" xfId="16538"/>
    <cellStyle name="Akzent6 14 3" xfId="16539"/>
    <cellStyle name="Akzent6 14 2 2" xfId="16540"/>
    <cellStyle name="Akzent6 140 2" xfId="16541"/>
    <cellStyle name="Akzent6 141 2" xfId="16542"/>
    <cellStyle name="Akzent6 142 2" xfId="16543"/>
    <cellStyle name="Akzent6 143 2" xfId="16544"/>
    <cellStyle name="Akzent6 144 2" xfId="16545"/>
    <cellStyle name="Akzent6 145 2" xfId="16546"/>
    <cellStyle name="Akzent6 146 2" xfId="16547"/>
    <cellStyle name="Akzent6 147 2" xfId="16548"/>
    <cellStyle name="Akzent6 148 2" xfId="16549"/>
    <cellStyle name="Akzent6 149 2" xfId="16550"/>
    <cellStyle name="Akzent6 15 2" xfId="16551"/>
    <cellStyle name="Akzent6 150 2" xfId="16552"/>
    <cellStyle name="Akzent6 151 2" xfId="16553"/>
    <cellStyle name="Akzent6 16 2" xfId="16554"/>
    <cellStyle name="Akzent6 17 2" xfId="16555"/>
    <cellStyle name="Akzent6 18 2" xfId="16556"/>
    <cellStyle name="Akzent6 19 2" xfId="16557"/>
    <cellStyle name="Akzent6 2 3" xfId="16558"/>
    <cellStyle name="Akzent6 2 2 2" xfId="16559"/>
    <cellStyle name="Akzent6 20 2" xfId="16560"/>
    <cellStyle name="Akzent6 21 2" xfId="16561"/>
    <cellStyle name="Akzent6 22 2" xfId="16562"/>
    <cellStyle name="Akzent6 23 2" xfId="16563"/>
    <cellStyle name="Akzent6 24 2" xfId="16564"/>
    <cellStyle name="Akzent6 25 2" xfId="16565"/>
    <cellStyle name="Akzent6 26 2" xfId="16566"/>
    <cellStyle name="Akzent6 27 2" xfId="16567"/>
    <cellStyle name="Akzent6 28 2" xfId="16568"/>
    <cellStyle name="Akzent6 29 2" xfId="16569"/>
    <cellStyle name="Akzent6 3 3" xfId="16570"/>
    <cellStyle name="Akzent6 3 2 2" xfId="16571"/>
    <cellStyle name="Akzent6 30 2" xfId="16572"/>
    <cellStyle name="Akzent6 31 2" xfId="16573"/>
    <cellStyle name="Akzent6 32 2" xfId="16574"/>
    <cellStyle name="Akzent6 33 2" xfId="16575"/>
    <cellStyle name="Akzent6 34 2" xfId="16576"/>
    <cellStyle name="Akzent6 35 2" xfId="16577"/>
    <cellStyle name="Akzent6 36 2" xfId="16578"/>
    <cellStyle name="Akzent6 37 2" xfId="16579"/>
    <cellStyle name="Akzent6 38 2" xfId="16580"/>
    <cellStyle name="Akzent6 39 2" xfId="16581"/>
    <cellStyle name="Akzent6 4 3" xfId="16582"/>
    <cellStyle name="Akzent6 4 2 2" xfId="16583"/>
    <cellStyle name="Akzent6 40 2" xfId="16584"/>
    <cellStyle name="Akzent6 41 2" xfId="16585"/>
    <cellStyle name="Akzent6 42 2" xfId="16586"/>
    <cellStyle name="Akzent6 43 2" xfId="16587"/>
    <cellStyle name="Akzent6 44 2" xfId="16588"/>
    <cellStyle name="Akzent6 45 2" xfId="16589"/>
    <cellStyle name="Akzent6 46 2" xfId="16590"/>
    <cellStyle name="Akzent6 47 2" xfId="16591"/>
    <cellStyle name="Akzent6 48 2" xfId="16592"/>
    <cellStyle name="Akzent6 49 2" xfId="16593"/>
    <cellStyle name="Akzent6 5 3" xfId="16594"/>
    <cellStyle name="Akzent6 5 2 2" xfId="16595"/>
    <cellStyle name="Akzent6 50 2" xfId="16596"/>
    <cellStyle name="Akzent6 51 2" xfId="16597"/>
    <cellStyle name="Akzent6 52 2" xfId="16598"/>
    <cellStyle name="Akzent6 53 2" xfId="16599"/>
    <cellStyle name="Akzent6 54 2" xfId="16600"/>
    <cellStyle name="Akzent6 55 2" xfId="16601"/>
    <cellStyle name="Akzent6 56 2" xfId="16602"/>
    <cellStyle name="Akzent6 57 2" xfId="16603"/>
    <cellStyle name="Akzent6 58 2" xfId="16604"/>
    <cellStyle name="Akzent6 59 2" xfId="16605"/>
    <cellStyle name="Akzent6 6 3" xfId="16606"/>
    <cellStyle name="Akzent6 6 2 2" xfId="16607"/>
    <cellStyle name="Akzent6 60 2" xfId="16608"/>
    <cellStyle name="Akzent6 61 2" xfId="16609"/>
    <cellStyle name="Akzent6 62 2" xfId="16610"/>
    <cellStyle name="Akzent6 63 2" xfId="16611"/>
    <cellStyle name="Akzent6 64 2" xfId="16612"/>
    <cellStyle name="Akzent6 65 2" xfId="16613"/>
    <cellStyle name="Akzent6 66 2" xfId="16614"/>
    <cellStyle name="Akzent6 67 2" xfId="16615"/>
    <cellStyle name="Akzent6 68 2" xfId="16616"/>
    <cellStyle name="Akzent6 69 2" xfId="16617"/>
    <cellStyle name="Akzent6 7 3" xfId="16618"/>
    <cellStyle name="Akzent6 7 2 2" xfId="16619"/>
    <cellStyle name="Akzent6 70 2" xfId="16620"/>
    <cellStyle name="Akzent6 71 2" xfId="16621"/>
    <cellStyle name="Akzent6 72 2" xfId="16622"/>
    <cellStyle name="Akzent6 73 2" xfId="16623"/>
    <cellStyle name="Akzent6 74 2" xfId="16624"/>
    <cellStyle name="Akzent6 75 2" xfId="16625"/>
    <cellStyle name="Akzent6 76 2" xfId="16626"/>
    <cellStyle name="Akzent6 77 2" xfId="16627"/>
    <cellStyle name="Akzent6 78 2" xfId="16628"/>
    <cellStyle name="Akzent6 79 2" xfId="16629"/>
    <cellStyle name="Akzent6 8 3" xfId="16630"/>
    <cellStyle name="Akzent6 8 2 2" xfId="16631"/>
    <cellStyle name="Akzent6 80 2" xfId="16632"/>
    <cellStyle name="Akzent6 81 2" xfId="16633"/>
    <cellStyle name="Akzent6 82 2" xfId="16634"/>
    <cellStyle name="Akzent6 83 2" xfId="16635"/>
    <cellStyle name="Akzent6 84 2" xfId="16636"/>
    <cellStyle name="Akzent6 85 2" xfId="16637"/>
    <cellStyle name="Akzent6 86 2" xfId="16638"/>
    <cellStyle name="Akzent6 87 2" xfId="16639"/>
    <cellStyle name="Akzent6 88 2" xfId="16640"/>
    <cellStyle name="Akzent6 89 2" xfId="16641"/>
    <cellStyle name="Akzent6 9 3" xfId="16642"/>
    <cellStyle name="Akzent6 9 2 2" xfId="16643"/>
    <cellStyle name="Akzent6 90 2" xfId="16644"/>
    <cellStyle name="Akzent6 91 2" xfId="16645"/>
    <cellStyle name="Akzent6 92 2" xfId="16646"/>
    <cellStyle name="Akzent6 93 2" xfId="16647"/>
    <cellStyle name="Akzent6 94 2" xfId="16648"/>
    <cellStyle name="Akzent6 95 2" xfId="16649"/>
    <cellStyle name="Akzent6 96 2" xfId="16650"/>
    <cellStyle name="Akzent6 97 2" xfId="16651"/>
    <cellStyle name="Akzent6 98 2" xfId="16652"/>
    <cellStyle name="Akzent6 99 2" xfId="16653"/>
    <cellStyle name="Ausgabe 152" xfId="16654"/>
    <cellStyle name="Ausgabe 10 3" xfId="16655"/>
    <cellStyle name="Ausgabe 10 2 2" xfId="16656"/>
    <cellStyle name="Ausgabe 100 2" xfId="16657"/>
    <cellStyle name="Ausgabe 101 2" xfId="16658"/>
    <cellStyle name="Ausgabe 102 2" xfId="16659"/>
    <cellStyle name="Ausgabe 103 2" xfId="16660"/>
    <cellStyle name="Ausgabe 104 2" xfId="16661"/>
    <cellStyle name="Ausgabe 105 2" xfId="16662"/>
    <cellStyle name="Ausgabe 106 2" xfId="16663"/>
    <cellStyle name="Ausgabe 107 2" xfId="16664"/>
    <cellStyle name="Ausgabe 108 2" xfId="16665"/>
    <cellStyle name="Ausgabe 109 2" xfId="16666"/>
    <cellStyle name="Ausgabe 11 3" xfId="16667"/>
    <cellStyle name="Ausgabe 11 2 2" xfId="16668"/>
    <cellStyle name="Ausgabe 110 2" xfId="16669"/>
    <cellStyle name="Ausgabe 111 2" xfId="16670"/>
    <cellStyle name="Ausgabe 112 2" xfId="16671"/>
    <cellStyle name="Ausgabe 113 2" xfId="16672"/>
    <cellStyle name="Ausgabe 114 2" xfId="16673"/>
    <cellStyle name="Ausgabe 115 2" xfId="16674"/>
    <cellStyle name="Ausgabe 116 2" xfId="16675"/>
    <cellStyle name="Ausgabe 117 2" xfId="16676"/>
    <cellStyle name="Ausgabe 118 2" xfId="16677"/>
    <cellStyle name="Ausgabe 119 2" xfId="16678"/>
    <cellStyle name="Ausgabe 12 3" xfId="16679"/>
    <cellStyle name="Ausgabe 12 2 2" xfId="16680"/>
    <cellStyle name="Ausgabe 120 2" xfId="16681"/>
    <cellStyle name="Ausgabe 121 2" xfId="16682"/>
    <cellStyle name="Ausgabe 122 2" xfId="16683"/>
    <cellStyle name="Ausgabe 123 2" xfId="16684"/>
    <cellStyle name="Ausgabe 124 2" xfId="16685"/>
    <cellStyle name="Ausgabe 125 2" xfId="16686"/>
    <cellStyle name="Ausgabe 126 2" xfId="16687"/>
    <cellStyle name="Ausgabe 127 2" xfId="16688"/>
    <cellStyle name="Ausgabe 128 2" xfId="16689"/>
    <cellStyle name="Ausgabe 129 2" xfId="16690"/>
    <cellStyle name="Ausgabe 13 3" xfId="16691"/>
    <cellStyle name="Ausgabe 13 2 2" xfId="16692"/>
    <cellStyle name="Ausgabe 130 2" xfId="16693"/>
    <cellStyle name="Ausgabe 131 2" xfId="16694"/>
    <cellStyle name="Ausgabe 132 2" xfId="16695"/>
    <cellStyle name="Ausgabe 133 2" xfId="16696"/>
    <cellStyle name="Ausgabe 134 2" xfId="16697"/>
    <cellStyle name="Ausgabe 135 2" xfId="16698"/>
    <cellStyle name="Ausgabe 136 2" xfId="16699"/>
    <cellStyle name="Ausgabe 137 2" xfId="16700"/>
    <cellStyle name="Ausgabe 138 2" xfId="16701"/>
    <cellStyle name="Ausgabe 139 2" xfId="16702"/>
    <cellStyle name="Ausgabe 14 3" xfId="16703"/>
    <cellStyle name="Ausgabe 14 2 2" xfId="16704"/>
    <cellStyle name="Ausgabe 140 2" xfId="16705"/>
    <cellStyle name="Ausgabe 141 2" xfId="16706"/>
    <cellStyle name="Ausgabe 142 2" xfId="16707"/>
    <cellStyle name="Ausgabe 143 2" xfId="16708"/>
    <cellStyle name="Ausgabe 144 2" xfId="16709"/>
    <cellStyle name="Ausgabe 145 2" xfId="16710"/>
    <cellStyle name="Ausgabe 146 2" xfId="16711"/>
    <cellStyle name="Ausgabe 147 2" xfId="16712"/>
    <cellStyle name="Ausgabe 148 2" xfId="16713"/>
    <cellStyle name="Ausgabe 149 2" xfId="16714"/>
    <cellStyle name="Ausgabe 15 2" xfId="16715"/>
    <cellStyle name="Ausgabe 150 2" xfId="16716"/>
    <cellStyle name="Ausgabe 151 2" xfId="16717"/>
    <cellStyle name="Ausgabe 16 2" xfId="16718"/>
    <cellStyle name="Ausgabe 17 2" xfId="16719"/>
    <cellStyle name="Ausgabe 18 2" xfId="16720"/>
    <cellStyle name="Ausgabe 19 2" xfId="16721"/>
    <cellStyle name="Ausgabe 2 3" xfId="16722"/>
    <cellStyle name="Ausgabe 2 2 2" xfId="16723"/>
    <cellStyle name="Ausgabe 20 2" xfId="16724"/>
    <cellStyle name="Ausgabe 21 2" xfId="16725"/>
    <cellStyle name="Ausgabe 22 2" xfId="16726"/>
    <cellStyle name="Ausgabe 23 2" xfId="16727"/>
    <cellStyle name="Ausgabe 24 2" xfId="16728"/>
    <cellStyle name="Ausgabe 25 2" xfId="16729"/>
    <cellStyle name="Ausgabe 26 2" xfId="16730"/>
    <cellStyle name="Ausgabe 27 2" xfId="16731"/>
    <cellStyle name="Ausgabe 28 2" xfId="16732"/>
    <cellStyle name="Ausgabe 29 2" xfId="16733"/>
    <cellStyle name="Ausgabe 3 3" xfId="16734"/>
    <cellStyle name="Ausgabe 3 2 2" xfId="16735"/>
    <cellStyle name="Ausgabe 30 2" xfId="16736"/>
    <cellStyle name="Ausgabe 31 2" xfId="16737"/>
    <cellStyle name="Ausgabe 32 2" xfId="16738"/>
    <cellStyle name="Ausgabe 33 2" xfId="16739"/>
    <cellStyle name="Ausgabe 34 2" xfId="16740"/>
    <cellStyle name="Ausgabe 35 2" xfId="16741"/>
    <cellStyle name="Ausgabe 36 2" xfId="16742"/>
    <cellStyle name="Ausgabe 37 2" xfId="16743"/>
    <cellStyle name="Ausgabe 38 2" xfId="16744"/>
    <cellStyle name="Ausgabe 39 2" xfId="16745"/>
    <cellStyle name="Ausgabe 4 3" xfId="16746"/>
    <cellStyle name="Ausgabe 4 2 2" xfId="16747"/>
    <cellStyle name="Ausgabe 40 2" xfId="16748"/>
    <cellStyle name="Ausgabe 41 2" xfId="16749"/>
    <cellStyle name="Ausgabe 42 2" xfId="16750"/>
    <cellStyle name="Ausgabe 43 2" xfId="16751"/>
    <cellStyle name="Ausgabe 44 2" xfId="16752"/>
    <cellStyle name="Ausgabe 45 2" xfId="16753"/>
    <cellStyle name="Ausgabe 46 2" xfId="16754"/>
    <cellStyle name="Ausgabe 47 2" xfId="16755"/>
    <cellStyle name="Ausgabe 48 2" xfId="16756"/>
    <cellStyle name="Ausgabe 49 2" xfId="16757"/>
    <cellStyle name="Ausgabe 5 3" xfId="16758"/>
    <cellStyle name="Ausgabe 5 2 2" xfId="16759"/>
    <cellStyle name="Ausgabe 50 2" xfId="16760"/>
    <cellStyle name="Ausgabe 51 2" xfId="16761"/>
    <cellStyle name="Ausgabe 52 2" xfId="16762"/>
    <cellStyle name="Ausgabe 53 2" xfId="16763"/>
    <cellStyle name="Ausgabe 54 2" xfId="16764"/>
    <cellStyle name="Ausgabe 55 2" xfId="16765"/>
    <cellStyle name="Ausgabe 56 2" xfId="16766"/>
    <cellStyle name="Ausgabe 57 2" xfId="16767"/>
    <cellStyle name="Ausgabe 58 2" xfId="16768"/>
    <cellStyle name="Ausgabe 59 2" xfId="16769"/>
    <cellStyle name="Ausgabe 6 3" xfId="16770"/>
    <cellStyle name="Ausgabe 6 2 2" xfId="16771"/>
    <cellStyle name="Ausgabe 60 2" xfId="16772"/>
    <cellStyle name="Ausgabe 61 2" xfId="16773"/>
    <cellStyle name="Ausgabe 62 2" xfId="16774"/>
    <cellStyle name="Ausgabe 63 2" xfId="16775"/>
    <cellStyle name="Ausgabe 64 2" xfId="16776"/>
    <cellStyle name="Ausgabe 65 2" xfId="16777"/>
    <cellStyle name="Ausgabe 66 2" xfId="16778"/>
    <cellStyle name="Ausgabe 67 2" xfId="16779"/>
    <cellStyle name="Ausgabe 68 2" xfId="16780"/>
    <cellStyle name="Ausgabe 69 2" xfId="16781"/>
    <cellStyle name="Ausgabe 7 3" xfId="16782"/>
    <cellStyle name="Ausgabe 7 2 2" xfId="16783"/>
    <cellStyle name="Ausgabe 70 2" xfId="16784"/>
    <cellStyle name="Ausgabe 71 2" xfId="16785"/>
    <cellStyle name="Ausgabe 72 2" xfId="16786"/>
    <cellStyle name="Ausgabe 73 2" xfId="16787"/>
    <cellStyle name="Ausgabe 74 2" xfId="16788"/>
    <cellStyle name="Ausgabe 75 2" xfId="16789"/>
    <cellStyle name="Ausgabe 76 2" xfId="16790"/>
    <cellStyle name="Ausgabe 77 2" xfId="16791"/>
    <cellStyle name="Ausgabe 78 2" xfId="16792"/>
    <cellStyle name="Ausgabe 79 2" xfId="16793"/>
    <cellStyle name="Ausgabe 8 3" xfId="16794"/>
    <cellStyle name="Ausgabe 8 2 2" xfId="16795"/>
    <cellStyle name="Ausgabe 80 2" xfId="16796"/>
    <cellStyle name="Ausgabe 81 2" xfId="16797"/>
    <cellStyle name="Ausgabe 82 2" xfId="16798"/>
    <cellStyle name="Ausgabe 83 2" xfId="16799"/>
    <cellStyle name="Ausgabe 84 2" xfId="16800"/>
    <cellStyle name="Ausgabe 85 2" xfId="16801"/>
    <cellStyle name="Ausgabe 86 2" xfId="16802"/>
    <cellStyle name="Ausgabe 87 2" xfId="16803"/>
    <cellStyle name="Ausgabe 88 2" xfId="16804"/>
    <cellStyle name="Ausgabe 89 2" xfId="16805"/>
    <cellStyle name="Ausgabe 9 3" xfId="16806"/>
    <cellStyle name="Ausgabe 9 2 2" xfId="16807"/>
    <cellStyle name="Ausgabe 90 2" xfId="16808"/>
    <cellStyle name="Ausgabe 91 2" xfId="16809"/>
    <cellStyle name="Ausgabe 92 2" xfId="16810"/>
    <cellStyle name="Ausgabe 93 2" xfId="16811"/>
    <cellStyle name="Ausgabe 94 2" xfId="16812"/>
    <cellStyle name="Ausgabe 95 2" xfId="16813"/>
    <cellStyle name="Ausgabe 96 2" xfId="16814"/>
    <cellStyle name="Ausgabe 97 2" xfId="16815"/>
    <cellStyle name="Ausgabe 98 2" xfId="16816"/>
    <cellStyle name="Ausgabe 99 2" xfId="16817"/>
    <cellStyle name="Bad 2 2" xfId="16818"/>
    <cellStyle name="Berechnung 152" xfId="16819"/>
    <cellStyle name="Berechnung 10 3" xfId="16820"/>
    <cellStyle name="Berechnung 10 2 2" xfId="16821"/>
    <cellStyle name="Berechnung 100 2" xfId="16822"/>
    <cellStyle name="Berechnung 101 2" xfId="16823"/>
    <cellStyle name="Berechnung 102 2" xfId="16824"/>
    <cellStyle name="Berechnung 103 2" xfId="16825"/>
    <cellStyle name="Berechnung 104 2" xfId="16826"/>
    <cellStyle name="Berechnung 105 2" xfId="16827"/>
    <cellStyle name="Berechnung 106 2" xfId="16828"/>
    <cellStyle name="Berechnung 107 2" xfId="16829"/>
    <cellStyle name="Berechnung 108 2" xfId="16830"/>
    <cellStyle name="Berechnung 109 2" xfId="16831"/>
    <cellStyle name="Berechnung 11 3" xfId="16832"/>
    <cellStyle name="Berechnung 11 2 2" xfId="16833"/>
    <cellStyle name="Berechnung 110 2" xfId="16834"/>
    <cellStyle name="Berechnung 111 2" xfId="16835"/>
    <cellStyle name="Berechnung 112 2" xfId="16836"/>
    <cellStyle name="Berechnung 113 2" xfId="16837"/>
    <cellStyle name="Berechnung 114 2" xfId="16838"/>
    <cellStyle name="Berechnung 115 2" xfId="16839"/>
    <cellStyle name="Berechnung 116 2" xfId="16840"/>
    <cellStyle name="Berechnung 117 2" xfId="16841"/>
    <cellStyle name="Berechnung 118 2" xfId="16842"/>
    <cellStyle name="Berechnung 119 2" xfId="16843"/>
    <cellStyle name="Berechnung 12 3" xfId="16844"/>
    <cellStyle name="Berechnung 12 2 2" xfId="16845"/>
    <cellStyle name="Berechnung 120 2" xfId="16846"/>
    <cellStyle name="Berechnung 121 2" xfId="16847"/>
    <cellStyle name="Berechnung 122 2" xfId="16848"/>
    <cellStyle name="Berechnung 123 2" xfId="16849"/>
    <cellStyle name="Berechnung 124 2" xfId="16850"/>
    <cellStyle name="Berechnung 125 2" xfId="16851"/>
    <cellStyle name="Berechnung 126 2" xfId="16852"/>
    <cellStyle name="Berechnung 127 2" xfId="16853"/>
    <cellStyle name="Berechnung 128 2" xfId="16854"/>
    <cellStyle name="Berechnung 129 2" xfId="16855"/>
    <cellStyle name="Berechnung 13 3" xfId="16856"/>
    <cellStyle name="Berechnung 13 2 2" xfId="16857"/>
    <cellStyle name="Berechnung 130 2" xfId="16858"/>
    <cellStyle name="Berechnung 131 2" xfId="16859"/>
    <cellStyle name="Berechnung 132 2" xfId="16860"/>
    <cellStyle name="Berechnung 133 2" xfId="16861"/>
    <cellStyle name="Berechnung 134 2" xfId="16862"/>
    <cellStyle name="Berechnung 135 2" xfId="16863"/>
    <cellStyle name="Berechnung 136 2" xfId="16864"/>
    <cellStyle name="Berechnung 137 2" xfId="16865"/>
    <cellStyle name="Berechnung 138 2" xfId="16866"/>
    <cellStyle name="Berechnung 139 2" xfId="16867"/>
    <cellStyle name="Berechnung 14 3" xfId="16868"/>
    <cellStyle name="Berechnung 14 2 2" xfId="16869"/>
    <cellStyle name="Berechnung 140 2" xfId="16870"/>
    <cellStyle name="Berechnung 141 2" xfId="16871"/>
    <cellStyle name="Berechnung 142 2" xfId="16872"/>
    <cellStyle name="Berechnung 143 2" xfId="16873"/>
    <cellStyle name="Berechnung 144 2" xfId="16874"/>
    <cellStyle name="Berechnung 145 2" xfId="16875"/>
    <cellStyle name="Berechnung 146 2" xfId="16876"/>
    <cellStyle name="Berechnung 147 2" xfId="16877"/>
    <cellStyle name="Berechnung 148 2" xfId="16878"/>
    <cellStyle name="Berechnung 149 2" xfId="16879"/>
    <cellStyle name="Berechnung 15 2" xfId="16880"/>
    <cellStyle name="Berechnung 150 2" xfId="16881"/>
    <cellStyle name="Berechnung 151 2" xfId="16882"/>
    <cellStyle name="Berechnung 16 2" xfId="16883"/>
    <cellStyle name="Berechnung 17 2" xfId="16884"/>
    <cellStyle name="Berechnung 18 2" xfId="16885"/>
    <cellStyle name="Berechnung 19 2" xfId="16886"/>
    <cellStyle name="Berechnung 2 3" xfId="16887"/>
    <cellStyle name="Berechnung 2 2 2" xfId="16888"/>
    <cellStyle name="Berechnung 20 2" xfId="16889"/>
    <cellStyle name="Berechnung 21 2" xfId="16890"/>
    <cellStyle name="Berechnung 22 2" xfId="16891"/>
    <cellStyle name="Berechnung 23 2" xfId="16892"/>
    <cellStyle name="Berechnung 24 2" xfId="16893"/>
    <cellStyle name="Berechnung 25 2" xfId="16894"/>
    <cellStyle name="Berechnung 26 2" xfId="16895"/>
    <cellStyle name="Berechnung 27 2" xfId="16896"/>
    <cellStyle name="Berechnung 28 2" xfId="16897"/>
    <cellStyle name="Berechnung 29 2" xfId="16898"/>
    <cellStyle name="Berechnung 3 3" xfId="16899"/>
    <cellStyle name="Berechnung 3 2 2" xfId="16900"/>
    <cellStyle name="Berechnung 30 2" xfId="16901"/>
    <cellStyle name="Berechnung 31 2" xfId="16902"/>
    <cellStyle name="Berechnung 32 2" xfId="16903"/>
    <cellStyle name="Berechnung 33 2" xfId="16904"/>
    <cellStyle name="Berechnung 34 2" xfId="16905"/>
    <cellStyle name="Berechnung 35 2" xfId="16906"/>
    <cellStyle name="Berechnung 36 2" xfId="16907"/>
    <cellStyle name="Berechnung 37 2" xfId="16908"/>
    <cellStyle name="Berechnung 38 2" xfId="16909"/>
    <cellStyle name="Berechnung 39 2" xfId="16910"/>
    <cellStyle name="Berechnung 4 3" xfId="16911"/>
    <cellStyle name="Berechnung 4 2 2" xfId="16912"/>
    <cellStyle name="Berechnung 40 2" xfId="16913"/>
    <cellStyle name="Berechnung 41 2" xfId="16914"/>
    <cellStyle name="Berechnung 42 2" xfId="16915"/>
    <cellStyle name="Berechnung 43 2" xfId="16916"/>
    <cellStyle name="Berechnung 44 2" xfId="16917"/>
    <cellStyle name="Berechnung 45 2" xfId="16918"/>
    <cellStyle name="Berechnung 46 2" xfId="16919"/>
    <cellStyle name="Berechnung 47 2" xfId="16920"/>
    <cellStyle name="Berechnung 48 2" xfId="16921"/>
    <cellStyle name="Berechnung 49 2" xfId="16922"/>
    <cellStyle name="Berechnung 5 3" xfId="16923"/>
    <cellStyle name="Berechnung 5 2 2" xfId="16924"/>
    <cellStyle name="Berechnung 50 2" xfId="16925"/>
    <cellStyle name="Berechnung 51 2" xfId="16926"/>
    <cellStyle name="Berechnung 52 2" xfId="16927"/>
    <cellStyle name="Berechnung 53 2" xfId="16928"/>
    <cellStyle name="Berechnung 54 2" xfId="16929"/>
    <cellStyle name="Berechnung 55 2" xfId="16930"/>
    <cellStyle name="Berechnung 56 2" xfId="16931"/>
    <cellStyle name="Berechnung 57 2" xfId="16932"/>
    <cellStyle name="Berechnung 58 2" xfId="16933"/>
    <cellStyle name="Berechnung 59 2" xfId="16934"/>
    <cellStyle name="Berechnung 6 3" xfId="16935"/>
    <cellStyle name="Berechnung 6 2 2" xfId="16936"/>
    <cellStyle name="Berechnung 60 2" xfId="16937"/>
    <cellStyle name="Berechnung 61 2" xfId="16938"/>
    <cellStyle name="Berechnung 62 2" xfId="16939"/>
    <cellStyle name="Berechnung 63 2" xfId="16940"/>
    <cellStyle name="Berechnung 64 2" xfId="16941"/>
    <cellStyle name="Berechnung 65 2" xfId="16942"/>
    <cellStyle name="Berechnung 66 2" xfId="16943"/>
    <cellStyle name="Berechnung 67 2" xfId="16944"/>
    <cellStyle name="Berechnung 68 2" xfId="16945"/>
    <cellStyle name="Berechnung 69 2" xfId="16946"/>
    <cellStyle name="Berechnung 7 3" xfId="16947"/>
    <cellStyle name="Berechnung 7 2 2" xfId="16948"/>
    <cellStyle name="Berechnung 70 2" xfId="16949"/>
    <cellStyle name="Berechnung 71 2" xfId="16950"/>
    <cellStyle name="Berechnung 72 2" xfId="16951"/>
    <cellStyle name="Berechnung 73 2" xfId="16952"/>
    <cellStyle name="Berechnung 74 2" xfId="16953"/>
    <cellStyle name="Berechnung 75 2" xfId="16954"/>
    <cellStyle name="Berechnung 76 2" xfId="16955"/>
    <cellStyle name="Berechnung 77 2" xfId="16956"/>
    <cellStyle name="Berechnung 78 2" xfId="16957"/>
    <cellStyle name="Berechnung 79 2" xfId="16958"/>
    <cellStyle name="Berechnung 8 3" xfId="16959"/>
    <cellStyle name="Berechnung 8 2 2" xfId="16960"/>
    <cellStyle name="Berechnung 80 2" xfId="16961"/>
    <cellStyle name="Berechnung 81 2" xfId="16962"/>
    <cellStyle name="Berechnung 82 2" xfId="16963"/>
    <cellStyle name="Berechnung 83 2" xfId="16964"/>
    <cellStyle name="Berechnung 84 2" xfId="16965"/>
    <cellStyle name="Berechnung 85 2" xfId="16966"/>
    <cellStyle name="Berechnung 86 2" xfId="16967"/>
    <cellStyle name="Berechnung 87 2" xfId="16968"/>
    <cellStyle name="Berechnung 88 2" xfId="16969"/>
    <cellStyle name="Berechnung 89 2" xfId="16970"/>
    <cellStyle name="Berechnung 9 3" xfId="16971"/>
    <cellStyle name="Berechnung 9 2 2" xfId="16972"/>
    <cellStyle name="Berechnung 90 2" xfId="16973"/>
    <cellStyle name="Berechnung 91 2" xfId="16974"/>
    <cellStyle name="Berechnung 92 2" xfId="16975"/>
    <cellStyle name="Berechnung 93 2" xfId="16976"/>
    <cellStyle name="Berechnung 94 2" xfId="16977"/>
    <cellStyle name="Berechnung 95 2" xfId="16978"/>
    <cellStyle name="Berechnung 96 2" xfId="16979"/>
    <cellStyle name="Berechnung 97 2" xfId="16980"/>
    <cellStyle name="Berechnung 98 2" xfId="16981"/>
    <cellStyle name="Berechnung 99 2" xfId="16982"/>
    <cellStyle name="Calculation 2 2" xfId="16983"/>
    <cellStyle name="Check Cell 2 2" xfId="16984"/>
    <cellStyle name="Comma 10 3" xfId="16985"/>
    <cellStyle name="Comma 10 2 2" xfId="16986"/>
    <cellStyle name="Comma 2 5" xfId="16987"/>
    <cellStyle name="Comma 2 2 4" xfId="16988"/>
    <cellStyle name="Comma 2 2 2 3" xfId="16989"/>
    <cellStyle name="Comma 2 2 2 2 2" xfId="16990"/>
    <cellStyle name="Comma 2 2 3 2" xfId="16991"/>
    <cellStyle name="Comma 2 3 3" xfId="16992"/>
    <cellStyle name="Comma 2 3 2 2" xfId="16993"/>
    <cellStyle name="Comma 2 4 2" xfId="16994"/>
    <cellStyle name="Comma 3 4" xfId="16995"/>
    <cellStyle name="Comma 3 2 3" xfId="16996"/>
    <cellStyle name="Comma 3 2 2 2" xfId="16997"/>
    <cellStyle name="Comma 3 3 2" xfId="16998"/>
    <cellStyle name="Comma 4 2" xfId="16999"/>
    <cellStyle name="Comma 5 3" xfId="17000"/>
    <cellStyle name="Comma 5 2 2" xfId="17001"/>
    <cellStyle name="Comma 53 4" xfId="17002"/>
    <cellStyle name="Comma 53 2 3" xfId="17003"/>
    <cellStyle name="Comma 53 2 2 2" xfId="17004"/>
    <cellStyle name="Comma 53 3 2" xfId="17005"/>
    <cellStyle name="Comma 59 4" xfId="17006"/>
    <cellStyle name="Comma 59 2 3" xfId="17007"/>
    <cellStyle name="Comma 59 2 2 2" xfId="17008"/>
    <cellStyle name="Comma 59 3 2" xfId="17009"/>
    <cellStyle name="Comma 8 3" xfId="17010"/>
    <cellStyle name="Comma 8 2 2" xfId="17011"/>
    <cellStyle name="Comma 9 3" xfId="17012"/>
    <cellStyle name="Comma 9 2 2" xfId="17013"/>
    <cellStyle name="Datum 2" xfId="17014"/>
    <cellStyle name="Datum 10 2" xfId="17015"/>
    <cellStyle name="Datum 11 2" xfId="17016"/>
    <cellStyle name="Datum 12 2" xfId="17017"/>
    <cellStyle name="Datum 8 2" xfId="17018"/>
    <cellStyle name="Datum 9 2" xfId="17019"/>
    <cellStyle name="Dezimal (0) 2" xfId="17020"/>
    <cellStyle name="Dezimal (0,00) 2" xfId="17021"/>
    <cellStyle name="Dezimal 2 4" xfId="17022"/>
    <cellStyle name="Dezimal 2 2 3" xfId="17023"/>
    <cellStyle name="Dezimal 2 2 2 2" xfId="17024"/>
    <cellStyle name="Dezimal 2 3 2" xfId="17025"/>
    <cellStyle name="Dezimal 3 4" xfId="17026"/>
    <cellStyle name="Dezimal 3 2 2" xfId="17027"/>
    <cellStyle name="Dezimal 3 3 2" xfId="17028"/>
    <cellStyle name="Dezimal 4 4" xfId="17029"/>
    <cellStyle name="Dezimal 4 2 2" xfId="17030"/>
    <cellStyle name="Dezimal 4 3 2" xfId="17031"/>
    <cellStyle name="Dezimal 5 2" xfId="17032"/>
    <cellStyle name="Dezimal 6 2" xfId="17033"/>
    <cellStyle name="Dollar (0) 2" xfId="17034"/>
    <cellStyle name="Dollar (0,00) 2" xfId="17035"/>
    <cellStyle name="Eingabe 152" xfId="17036"/>
    <cellStyle name="Eingabe 10 3" xfId="17037"/>
    <cellStyle name="Eingabe 10 2 2" xfId="17038"/>
    <cellStyle name="Eingabe 100 2" xfId="17039"/>
    <cellStyle name="Eingabe 101 2" xfId="17040"/>
    <cellStyle name="Eingabe 102 2" xfId="17041"/>
    <cellStyle name="Eingabe 103 2" xfId="17042"/>
    <cellStyle name="Eingabe 104 2" xfId="17043"/>
    <cellStyle name="Eingabe 105 2" xfId="17044"/>
    <cellStyle name="Eingabe 106 2" xfId="17045"/>
    <cellStyle name="Eingabe 107 2" xfId="17046"/>
    <cellStyle name="Eingabe 108 2" xfId="17047"/>
    <cellStyle name="Eingabe 109 2" xfId="17048"/>
    <cellStyle name="Eingabe 11 3" xfId="17049"/>
    <cellStyle name="Eingabe 11 2 2" xfId="17050"/>
    <cellStyle name="Eingabe 110 2" xfId="17051"/>
    <cellStyle name="Eingabe 111 2" xfId="17052"/>
    <cellStyle name="Eingabe 112 2" xfId="17053"/>
    <cellStyle name="Eingabe 113 2" xfId="17054"/>
    <cellStyle name="Eingabe 114 2" xfId="17055"/>
    <cellStyle name="Eingabe 115 2" xfId="17056"/>
    <cellStyle name="Eingabe 116 2" xfId="17057"/>
    <cellStyle name="Eingabe 117 2" xfId="17058"/>
    <cellStyle name="Eingabe 118 2" xfId="17059"/>
    <cellStyle name="Eingabe 119 2" xfId="17060"/>
    <cellStyle name="Eingabe 12 3" xfId="17061"/>
    <cellStyle name="Eingabe 12 2 2" xfId="17062"/>
    <cellStyle name="Eingabe 120 2" xfId="17063"/>
    <cellStyle name="Eingabe 121 2" xfId="17064"/>
    <cellStyle name="Eingabe 122 2" xfId="17065"/>
    <cellStyle name="Eingabe 123 2" xfId="17066"/>
    <cellStyle name="Eingabe 124 2" xfId="17067"/>
    <cellStyle name="Eingabe 125 2" xfId="17068"/>
    <cellStyle name="Eingabe 126 2" xfId="17069"/>
    <cellStyle name="Eingabe 127 2" xfId="17070"/>
    <cellStyle name="Eingabe 128 2" xfId="17071"/>
    <cellStyle name="Eingabe 129 2" xfId="17072"/>
    <cellStyle name="Eingabe 13 3" xfId="17073"/>
    <cellStyle name="Eingabe 13 2 2" xfId="17074"/>
    <cellStyle name="Eingabe 130 2" xfId="17075"/>
    <cellStyle name="Eingabe 131 2" xfId="17076"/>
    <cellStyle name="Eingabe 132 2" xfId="17077"/>
    <cellStyle name="Eingabe 133 2" xfId="17078"/>
    <cellStyle name="Eingabe 134 2" xfId="17079"/>
    <cellStyle name="Eingabe 135 2" xfId="17080"/>
    <cellStyle name="Eingabe 136 2" xfId="17081"/>
    <cellStyle name="Eingabe 137 2" xfId="17082"/>
    <cellStyle name="Eingabe 138 2" xfId="17083"/>
    <cellStyle name="Eingabe 139 2" xfId="17084"/>
    <cellStyle name="Eingabe 14 3" xfId="17085"/>
    <cellStyle name="Eingabe 14 2 2" xfId="17086"/>
    <cellStyle name="Eingabe 140 2" xfId="17087"/>
    <cellStyle name="Eingabe 141 2" xfId="17088"/>
    <cellStyle name="Eingabe 142 2" xfId="17089"/>
    <cellStyle name="Eingabe 143 2" xfId="17090"/>
    <cellStyle name="Eingabe 144 2" xfId="17091"/>
    <cellStyle name="Eingabe 145 2" xfId="17092"/>
    <cellStyle name="Eingabe 146 2" xfId="17093"/>
    <cellStyle name="Eingabe 147 2" xfId="17094"/>
    <cellStyle name="Eingabe 148 2" xfId="17095"/>
    <cellStyle name="Eingabe 149 2" xfId="17096"/>
    <cellStyle name="Eingabe 15 2" xfId="17097"/>
    <cellStyle name="Eingabe 150 2" xfId="17098"/>
    <cellStyle name="Eingabe 151 2" xfId="17099"/>
    <cellStyle name="Eingabe 16 2" xfId="17100"/>
    <cellStyle name="Eingabe 17 2" xfId="17101"/>
    <cellStyle name="Eingabe 18 2" xfId="17102"/>
    <cellStyle name="Eingabe 19 2" xfId="17103"/>
    <cellStyle name="Eingabe 2 3" xfId="17104"/>
    <cellStyle name="Eingabe 2 2 2" xfId="17105"/>
    <cellStyle name="Eingabe 20 2" xfId="17106"/>
    <cellStyle name="Eingabe 21 2" xfId="17107"/>
    <cellStyle name="Eingabe 22 2" xfId="17108"/>
    <cellStyle name="Eingabe 23 2" xfId="17109"/>
    <cellStyle name="Eingabe 24 2" xfId="17110"/>
    <cellStyle name="Eingabe 25 2" xfId="17111"/>
    <cellStyle name="Eingabe 26 2" xfId="17112"/>
    <cellStyle name="Eingabe 27 2" xfId="17113"/>
    <cellStyle name="Eingabe 28 2" xfId="17114"/>
    <cellStyle name="Eingabe 29 2" xfId="17115"/>
    <cellStyle name="Eingabe 3 3" xfId="17116"/>
    <cellStyle name="Eingabe 3 2 2" xfId="17117"/>
    <cellStyle name="Eingabe 30 2" xfId="17118"/>
    <cellStyle name="Eingabe 31 2" xfId="17119"/>
    <cellStyle name="Eingabe 32 2" xfId="17120"/>
    <cellStyle name="Eingabe 33 2" xfId="17121"/>
    <cellStyle name="Eingabe 34 2" xfId="17122"/>
    <cellStyle name="Eingabe 35 2" xfId="17123"/>
    <cellStyle name="Eingabe 36 2" xfId="17124"/>
    <cellStyle name="Eingabe 37 2" xfId="17125"/>
    <cellStyle name="Eingabe 38 2" xfId="17126"/>
    <cellStyle name="Eingabe 39 2" xfId="17127"/>
    <cellStyle name="Eingabe 4 3" xfId="17128"/>
    <cellStyle name="Eingabe 4 2 2" xfId="17129"/>
    <cellStyle name="Eingabe 40 2" xfId="17130"/>
    <cellStyle name="Eingabe 41 2" xfId="17131"/>
    <cellStyle name="Eingabe 42 2" xfId="17132"/>
    <cellStyle name="Eingabe 43 2" xfId="17133"/>
    <cellStyle name="Eingabe 44 2" xfId="17134"/>
    <cellStyle name="Eingabe 45 2" xfId="17135"/>
    <cellStyle name="Eingabe 46 2" xfId="17136"/>
    <cellStyle name="Eingabe 47 2" xfId="17137"/>
    <cellStyle name="Eingabe 48 2" xfId="17138"/>
    <cellStyle name="Eingabe 49 2" xfId="17139"/>
    <cellStyle name="Eingabe 5 3" xfId="17140"/>
    <cellStyle name="Eingabe 5 2 2" xfId="17141"/>
    <cellStyle name="Eingabe 50 2" xfId="17142"/>
    <cellStyle name="Eingabe 51 2" xfId="17143"/>
    <cellStyle name="Eingabe 52 2" xfId="17144"/>
    <cellStyle name="Eingabe 53 2" xfId="17145"/>
    <cellStyle name="Eingabe 54 2" xfId="17146"/>
    <cellStyle name="Eingabe 55 2" xfId="17147"/>
    <cellStyle name="Eingabe 56 2" xfId="17148"/>
    <cellStyle name="Eingabe 57 2" xfId="17149"/>
    <cellStyle name="Eingabe 58 2" xfId="17150"/>
    <cellStyle name="Eingabe 59 2" xfId="17151"/>
    <cellStyle name="Eingabe 6 3" xfId="17152"/>
    <cellStyle name="Eingabe 6 2 2" xfId="17153"/>
    <cellStyle name="Eingabe 60 2" xfId="17154"/>
    <cellStyle name="Eingabe 61 2" xfId="17155"/>
    <cellStyle name="Eingabe 62 2" xfId="17156"/>
    <cellStyle name="Eingabe 63 2" xfId="17157"/>
    <cellStyle name="Eingabe 64 2" xfId="17158"/>
    <cellStyle name="Eingabe 65 2" xfId="17159"/>
    <cellStyle name="Eingabe 66 2" xfId="17160"/>
    <cellStyle name="Eingabe 67 2" xfId="17161"/>
    <cellStyle name="Eingabe 68 2" xfId="17162"/>
    <cellStyle name="Eingabe 69 2" xfId="17163"/>
    <cellStyle name="Eingabe 7 3" xfId="17164"/>
    <cellStyle name="Eingabe 7 2 2" xfId="17165"/>
    <cellStyle name="Eingabe 70 2" xfId="17166"/>
    <cellStyle name="Eingabe 71 2" xfId="17167"/>
    <cellStyle name="Eingabe 72 2" xfId="17168"/>
    <cellStyle name="Eingabe 73 2" xfId="17169"/>
    <cellStyle name="Eingabe 74 2" xfId="17170"/>
    <cellStyle name="Eingabe 75 2" xfId="17171"/>
    <cellStyle name="Eingabe 76 2" xfId="17172"/>
    <cellStyle name="Eingabe 77 2" xfId="17173"/>
    <cellStyle name="Eingabe 78 2" xfId="17174"/>
    <cellStyle name="Eingabe 79 2" xfId="17175"/>
    <cellStyle name="Eingabe 8 3" xfId="17176"/>
    <cellStyle name="Eingabe 8 2 2" xfId="17177"/>
    <cellStyle name="Eingabe 80 2" xfId="17178"/>
    <cellStyle name="Eingabe 81 2" xfId="17179"/>
    <cellStyle name="Eingabe 82 2" xfId="17180"/>
    <cellStyle name="Eingabe 83 2" xfId="17181"/>
    <cellStyle name="Eingabe 84 2" xfId="17182"/>
    <cellStyle name="Eingabe 85 2" xfId="17183"/>
    <cellStyle name="Eingabe 86 2" xfId="17184"/>
    <cellStyle name="Eingabe 87 2" xfId="17185"/>
    <cellStyle name="Eingabe 88 2" xfId="17186"/>
    <cellStyle name="Eingabe 89 2" xfId="17187"/>
    <cellStyle name="Eingabe 9 3" xfId="17188"/>
    <cellStyle name="Eingabe 9 2 2" xfId="17189"/>
    <cellStyle name="Eingabe 90 2" xfId="17190"/>
    <cellStyle name="Eingabe 91 2" xfId="17191"/>
    <cellStyle name="Eingabe 92 2" xfId="17192"/>
    <cellStyle name="Eingabe 93 2" xfId="17193"/>
    <cellStyle name="Eingabe 94 2" xfId="17194"/>
    <cellStyle name="Eingabe 95 2" xfId="17195"/>
    <cellStyle name="Eingabe 96 2" xfId="17196"/>
    <cellStyle name="Eingabe 97 2" xfId="17197"/>
    <cellStyle name="Eingabe 98 2" xfId="17198"/>
    <cellStyle name="Eingabe 99 2" xfId="17199"/>
    <cellStyle name="Ergebnis 152" xfId="17200"/>
    <cellStyle name="Ergebnis 10 3" xfId="17201"/>
    <cellStyle name="Ergebnis 10 2 2" xfId="17202"/>
    <cellStyle name="Ergebnis 100 2" xfId="17203"/>
    <cellStyle name="Ergebnis 101 2" xfId="17204"/>
    <cellStyle name="Ergebnis 102 2" xfId="17205"/>
    <cellStyle name="Ergebnis 103 2" xfId="17206"/>
    <cellStyle name="Ergebnis 104 2" xfId="17207"/>
    <cellStyle name="Ergebnis 105 2" xfId="17208"/>
    <cellStyle name="Ergebnis 106 2" xfId="17209"/>
    <cellStyle name="Ergebnis 107 2" xfId="17210"/>
    <cellStyle name="Ergebnis 108 2" xfId="17211"/>
    <cellStyle name="Ergebnis 109 2" xfId="17212"/>
    <cellStyle name="Ergebnis 11 3" xfId="17213"/>
    <cellStyle name="Ergebnis 11 2 2" xfId="17214"/>
    <cellStyle name="Ergebnis 110 2" xfId="17215"/>
    <cellStyle name="Ergebnis 111 2" xfId="17216"/>
    <cellStyle name="Ergebnis 112 2" xfId="17217"/>
    <cellStyle name="Ergebnis 113 2" xfId="17218"/>
    <cellStyle name="Ergebnis 114 2" xfId="17219"/>
    <cellStyle name="Ergebnis 115 2" xfId="17220"/>
    <cellStyle name="Ergebnis 116 2" xfId="17221"/>
    <cellStyle name="Ergebnis 117 2" xfId="17222"/>
    <cellStyle name="Ergebnis 118 2" xfId="17223"/>
    <cellStyle name="Ergebnis 119 2" xfId="17224"/>
    <cellStyle name="Ergebnis 12 3" xfId="17225"/>
    <cellStyle name="Ergebnis 12 2 2" xfId="17226"/>
    <cellStyle name="Ergebnis 120 2" xfId="17227"/>
    <cellStyle name="Ergebnis 121 2" xfId="17228"/>
    <cellStyle name="Ergebnis 122 2" xfId="17229"/>
    <cellStyle name="Ergebnis 123 2" xfId="17230"/>
    <cellStyle name="Ergebnis 124 2" xfId="17231"/>
    <cellStyle name="Ergebnis 125 2" xfId="17232"/>
    <cellStyle name="Ergebnis 126 2" xfId="17233"/>
    <cellStyle name="Ergebnis 127 2" xfId="17234"/>
    <cellStyle name="Ergebnis 128 2" xfId="17235"/>
    <cellStyle name="Ergebnis 129 2" xfId="17236"/>
    <cellStyle name="Ergebnis 13 3" xfId="17237"/>
    <cellStyle name="Ergebnis 13 2 2" xfId="17238"/>
    <cellStyle name="Ergebnis 130 2" xfId="17239"/>
    <cellStyle name="Ergebnis 131 2" xfId="17240"/>
    <cellStyle name="Ergebnis 132 2" xfId="17241"/>
    <cellStyle name="Ergebnis 133 2" xfId="17242"/>
    <cellStyle name="Ergebnis 134 2" xfId="17243"/>
    <cellStyle name="Ergebnis 135 2" xfId="17244"/>
    <cellStyle name="Ergebnis 136 2" xfId="17245"/>
    <cellStyle name="Ergebnis 137 2" xfId="17246"/>
    <cellStyle name="Ergebnis 138 2" xfId="17247"/>
    <cellStyle name="Ergebnis 139 2" xfId="17248"/>
    <cellStyle name="Ergebnis 14 3" xfId="17249"/>
    <cellStyle name="Ergebnis 14 2 2" xfId="17250"/>
    <cellStyle name="Ergebnis 140 2" xfId="17251"/>
    <cellStyle name="Ergebnis 141 2" xfId="17252"/>
    <cellStyle name="Ergebnis 142 2" xfId="17253"/>
    <cellStyle name="Ergebnis 143 2" xfId="17254"/>
    <cellStyle name="Ergebnis 144 2" xfId="17255"/>
    <cellStyle name="Ergebnis 145 2" xfId="17256"/>
    <cellStyle name="Ergebnis 146 2" xfId="17257"/>
    <cellStyle name="Ergebnis 147 2" xfId="17258"/>
    <cellStyle name="Ergebnis 148 2" xfId="17259"/>
    <cellStyle name="Ergebnis 149 2" xfId="17260"/>
    <cellStyle name="Ergebnis 15 2" xfId="17261"/>
    <cellStyle name="Ergebnis 150 2" xfId="17262"/>
    <cellStyle name="Ergebnis 151 2" xfId="17263"/>
    <cellStyle name="Ergebnis 16 2" xfId="17264"/>
    <cellStyle name="Ergebnis 17 2" xfId="17265"/>
    <cellStyle name="Ergebnis 18 2" xfId="17266"/>
    <cellStyle name="Ergebnis 19 2" xfId="17267"/>
    <cellStyle name="Ergebnis 2 3" xfId="17268"/>
    <cellStyle name="Ergebnis 2 2 2" xfId="17269"/>
    <cellStyle name="Ergebnis 20 2" xfId="17270"/>
    <cellStyle name="Ergebnis 21 2" xfId="17271"/>
    <cellStyle name="Ergebnis 22 2" xfId="17272"/>
    <cellStyle name="Ergebnis 23 2" xfId="17273"/>
    <cellStyle name="Ergebnis 24 2" xfId="17274"/>
    <cellStyle name="Ergebnis 25 2" xfId="17275"/>
    <cellStyle name="Ergebnis 26 2" xfId="17276"/>
    <cellStyle name="Ergebnis 27 2" xfId="17277"/>
    <cellStyle name="Ergebnis 28 2" xfId="17278"/>
    <cellStyle name="Ergebnis 29 2" xfId="17279"/>
    <cellStyle name="Ergebnis 3 3" xfId="17280"/>
    <cellStyle name="Ergebnis 3 2 2" xfId="17281"/>
    <cellStyle name="Ergebnis 30 2" xfId="17282"/>
    <cellStyle name="Ergebnis 31 2" xfId="17283"/>
    <cellStyle name="Ergebnis 32 2" xfId="17284"/>
    <cellStyle name="Ergebnis 33 2" xfId="17285"/>
    <cellStyle name="Ergebnis 34 2" xfId="17286"/>
    <cellStyle name="Ergebnis 35 2" xfId="17287"/>
    <cellStyle name="Ergebnis 36 2" xfId="17288"/>
    <cellStyle name="Ergebnis 37 2" xfId="17289"/>
    <cellStyle name="Ergebnis 38 2" xfId="17290"/>
    <cellStyle name="Ergebnis 39 2" xfId="17291"/>
    <cellStyle name="Ergebnis 4 3" xfId="17292"/>
    <cellStyle name="Ergebnis 4 2 2" xfId="17293"/>
    <cellStyle name="Ergebnis 40 2" xfId="17294"/>
    <cellStyle name="Ergebnis 41 2" xfId="17295"/>
    <cellStyle name="Ergebnis 42 2" xfId="17296"/>
    <cellStyle name="Ergebnis 43 2" xfId="17297"/>
    <cellStyle name="Ergebnis 44 2" xfId="17298"/>
    <cellStyle name="Ergebnis 45 2" xfId="17299"/>
    <cellStyle name="Ergebnis 46 2" xfId="17300"/>
    <cellStyle name="Ergebnis 47 2" xfId="17301"/>
    <cellStyle name="Ergebnis 48 2" xfId="17302"/>
    <cellStyle name="Ergebnis 49 2" xfId="17303"/>
    <cellStyle name="Ergebnis 5 3" xfId="17304"/>
    <cellStyle name="Ergebnis 5 2 2" xfId="17305"/>
    <cellStyle name="Ergebnis 50 2" xfId="17306"/>
    <cellStyle name="Ergebnis 51 2" xfId="17307"/>
    <cellStyle name="Ergebnis 52 2" xfId="17308"/>
    <cellStyle name="Ergebnis 53 2" xfId="17309"/>
    <cellStyle name="Ergebnis 54 2" xfId="17310"/>
    <cellStyle name="Ergebnis 55 2" xfId="17311"/>
    <cellStyle name="Ergebnis 56 2" xfId="17312"/>
    <cellStyle name="Ergebnis 57 2" xfId="17313"/>
    <cellStyle name="Ergebnis 58 2" xfId="17314"/>
    <cellStyle name="Ergebnis 59 2" xfId="17315"/>
    <cellStyle name="Ergebnis 6 3" xfId="17316"/>
    <cellStyle name="Ergebnis 6 2 2" xfId="17317"/>
    <cellStyle name="Ergebnis 60 2" xfId="17318"/>
    <cellStyle name="Ergebnis 61 2" xfId="17319"/>
    <cellStyle name="Ergebnis 62 2" xfId="17320"/>
    <cellStyle name="Ergebnis 63 2" xfId="17321"/>
    <cellStyle name="Ergebnis 64 2" xfId="17322"/>
    <cellStyle name="Ergebnis 65 2" xfId="17323"/>
    <cellStyle name="Ergebnis 66 2" xfId="17324"/>
    <cellStyle name="Ergebnis 67 2" xfId="17325"/>
    <cellStyle name="Ergebnis 68 2" xfId="17326"/>
    <cellStyle name="Ergebnis 69 2" xfId="17327"/>
    <cellStyle name="Ergebnis 7 3" xfId="17328"/>
    <cellStyle name="Ergebnis 7 2 2" xfId="17329"/>
    <cellStyle name="Ergebnis 70 2" xfId="17330"/>
    <cellStyle name="Ergebnis 71 2" xfId="17331"/>
    <cellStyle name="Ergebnis 72 2" xfId="17332"/>
    <cellStyle name="Ergebnis 73 2" xfId="17333"/>
    <cellStyle name="Ergebnis 74 2" xfId="17334"/>
    <cellStyle name="Ergebnis 75 2" xfId="17335"/>
    <cellStyle name="Ergebnis 76 2" xfId="17336"/>
    <cellStyle name="Ergebnis 77 2" xfId="17337"/>
    <cellStyle name="Ergebnis 78 2" xfId="17338"/>
    <cellStyle name="Ergebnis 79 2" xfId="17339"/>
    <cellStyle name="Ergebnis 8 3" xfId="17340"/>
    <cellStyle name="Ergebnis 8 2 2" xfId="17341"/>
    <cellStyle name="Ergebnis 80 2" xfId="17342"/>
    <cellStyle name="Ergebnis 81 2" xfId="17343"/>
    <cellStyle name="Ergebnis 82 2" xfId="17344"/>
    <cellStyle name="Ergebnis 83 2" xfId="17345"/>
    <cellStyle name="Ergebnis 84 2" xfId="17346"/>
    <cellStyle name="Ergebnis 85 2" xfId="17347"/>
    <cellStyle name="Ergebnis 86 2" xfId="17348"/>
    <cellStyle name="Ergebnis 87 2" xfId="17349"/>
    <cellStyle name="Ergebnis 88 2" xfId="17350"/>
    <cellStyle name="Ergebnis 89 2" xfId="17351"/>
    <cellStyle name="Ergebnis 9 3" xfId="17352"/>
    <cellStyle name="Ergebnis 9 2 2" xfId="17353"/>
    <cellStyle name="Ergebnis 90 2" xfId="17354"/>
    <cellStyle name="Ergebnis 91 2" xfId="17355"/>
    <cellStyle name="Ergebnis 92 2" xfId="17356"/>
    <cellStyle name="Ergebnis 93 2" xfId="17357"/>
    <cellStyle name="Ergebnis 94 2" xfId="17358"/>
    <cellStyle name="Ergebnis 95 2" xfId="17359"/>
    <cellStyle name="Ergebnis 96 2" xfId="17360"/>
    <cellStyle name="Ergebnis 97 2" xfId="17361"/>
    <cellStyle name="Ergebnis 98 2" xfId="17362"/>
    <cellStyle name="Ergebnis 99 2" xfId="17363"/>
    <cellStyle name="Erklärender Text 108" xfId="17364"/>
    <cellStyle name="Erklärender Text 10 2" xfId="17365"/>
    <cellStyle name="Erklärender Text 100 2" xfId="17366"/>
    <cellStyle name="Erklärender Text 101 2" xfId="17367"/>
    <cellStyle name="Erklärender Text 102 2" xfId="17368"/>
    <cellStyle name="Erklärender Text 103 2" xfId="17369"/>
    <cellStyle name="Erklärender Text 104 2" xfId="17370"/>
    <cellStyle name="Erklärender Text 105 2" xfId="17371"/>
    <cellStyle name="Erklärender Text 106 2" xfId="17372"/>
    <cellStyle name="Erklärender Text 107 2" xfId="17373"/>
    <cellStyle name="Erklärender Text 11 2" xfId="17374"/>
    <cellStyle name="Erklärender Text 12 2" xfId="17375"/>
    <cellStyle name="Erklärender Text 13 2" xfId="17376"/>
    <cellStyle name="Erklärender Text 14 2" xfId="17377"/>
    <cellStyle name="Erklärender Text 15 2" xfId="17378"/>
    <cellStyle name="Erklärender Text 16 2" xfId="17379"/>
    <cellStyle name="Erklärender Text 17 2" xfId="17380"/>
    <cellStyle name="Erklärender Text 18 2" xfId="17381"/>
    <cellStyle name="Erklärender Text 19 2" xfId="17382"/>
    <cellStyle name="Erklärender Text 2 2" xfId="17383"/>
    <cellStyle name="Erklärender Text 20 2" xfId="17384"/>
    <cellStyle name="Erklärender Text 21 2" xfId="17385"/>
    <cellStyle name="Erklärender Text 22 2" xfId="17386"/>
    <cellStyle name="Erklärender Text 23 2" xfId="17387"/>
    <cellStyle name="Erklärender Text 24 2" xfId="17388"/>
    <cellStyle name="Erklärender Text 25 2" xfId="17389"/>
    <cellStyle name="Erklärender Text 26 2" xfId="17390"/>
    <cellStyle name="Erklärender Text 27 2" xfId="17391"/>
    <cellStyle name="Erklärender Text 28 2" xfId="17392"/>
    <cellStyle name="Erklärender Text 29 2" xfId="17393"/>
    <cellStyle name="Erklärender Text 3 2" xfId="17394"/>
    <cellStyle name="Erklärender Text 30 2" xfId="17395"/>
    <cellStyle name="Erklärender Text 31 2" xfId="17396"/>
    <cellStyle name="Erklärender Text 32 2" xfId="17397"/>
    <cellStyle name="Erklärender Text 33 2" xfId="17398"/>
    <cellStyle name="Erklärender Text 34 2" xfId="17399"/>
    <cellStyle name="Erklärender Text 35 2" xfId="17400"/>
    <cellStyle name="Erklärender Text 36 2" xfId="17401"/>
    <cellStyle name="Erklärender Text 37 2" xfId="17402"/>
    <cellStyle name="Erklärender Text 38 2" xfId="17403"/>
    <cellStyle name="Erklärender Text 39 2" xfId="17404"/>
    <cellStyle name="Erklärender Text 4 2" xfId="17405"/>
    <cellStyle name="Erklärender Text 40 2" xfId="17406"/>
    <cellStyle name="Erklärender Text 41 2" xfId="17407"/>
    <cellStyle name="Erklärender Text 42 2" xfId="17408"/>
    <cellStyle name="Erklärender Text 43 2" xfId="17409"/>
    <cellStyle name="Erklärender Text 44 2" xfId="17410"/>
    <cellStyle name="Erklärender Text 45 2" xfId="17411"/>
    <cellStyle name="Erklärender Text 46 2" xfId="17412"/>
    <cellStyle name="Erklärender Text 47 2" xfId="17413"/>
    <cellStyle name="Erklärender Text 48 2" xfId="17414"/>
    <cellStyle name="Erklärender Text 49 2" xfId="17415"/>
    <cellStyle name="Erklärender Text 5 2" xfId="17416"/>
    <cellStyle name="Erklärender Text 50 2" xfId="17417"/>
    <cellStyle name="Erklärender Text 51 2" xfId="17418"/>
    <cellStyle name="Erklärender Text 52 2" xfId="17419"/>
    <cellStyle name="Erklärender Text 53 2" xfId="17420"/>
    <cellStyle name="Erklärender Text 54 2" xfId="17421"/>
    <cellStyle name="Erklärender Text 55 2" xfId="17422"/>
    <cellStyle name="Erklärender Text 56 2" xfId="17423"/>
    <cellStyle name="Erklärender Text 57 2" xfId="17424"/>
    <cellStyle name="Erklärender Text 58 2" xfId="17425"/>
    <cellStyle name="Erklärender Text 59 2" xfId="17426"/>
    <cellStyle name="Erklärender Text 6 2" xfId="17427"/>
    <cellStyle name="Erklärender Text 60 2" xfId="17428"/>
    <cellStyle name="Erklärender Text 61 2" xfId="17429"/>
    <cellStyle name="Erklärender Text 62 2" xfId="17430"/>
    <cellStyle name="Erklärender Text 63 2" xfId="17431"/>
    <cellStyle name="Erklärender Text 64 2" xfId="17432"/>
    <cellStyle name="Erklärender Text 65 2" xfId="17433"/>
    <cellStyle name="Erklärender Text 66 2" xfId="17434"/>
    <cellStyle name="Erklärender Text 67 2" xfId="17435"/>
    <cellStyle name="Erklärender Text 68 2" xfId="17436"/>
    <cellStyle name="Erklärender Text 69 2" xfId="17437"/>
    <cellStyle name="Erklärender Text 7 2" xfId="17438"/>
    <cellStyle name="Erklärender Text 70 2" xfId="17439"/>
    <cellStyle name="Erklärender Text 71 2" xfId="17440"/>
    <cellStyle name="Erklärender Text 72 2" xfId="17441"/>
    <cellStyle name="Erklärender Text 73 2" xfId="17442"/>
    <cellStyle name="Erklärender Text 74 2" xfId="17443"/>
    <cellStyle name="Erklärender Text 75 2" xfId="17444"/>
    <cellStyle name="Erklärender Text 76 2" xfId="17445"/>
    <cellStyle name="Erklärender Text 77 2" xfId="17446"/>
    <cellStyle name="Erklärender Text 78 2" xfId="17447"/>
    <cellStyle name="Erklärender Text 79 2" xfId="17448"/>
    <cellStyle name="Erklärender Text 8 2" xfId="17449"/>
    <cellStyle name="Erklärender Text 80 2" xfId="17450"/>
    <cellStyle name="Erklärender Text 81 2" xfId="17451"/>
    <cellStyle name="Erklärender Text 82 2" xfId="17452"/>
    <cellStyle name="Erklärender Text 83 2" xfId="17453"/>
    <cellStyle name="Erklärender Text 84 2" xfId="17454"/>
    <cellStyle name="Erklärender Text 85 2" xfId="17455"/>
    <cellStyle name="Erklärender Text 86 2" xfId="17456"/>
    <cellStyle name="Erklärender Text 87 2" xfId="17457"/>
    <cellStyle name="Erklärender Text 88 2" xfId="17458"/>
    <cellStyle name="Erklärender Text 89 2" xfId="17459"/>
    <cellStyle name="Erklärender Text 9 2" xfId="17460"/>
    <cellStyle name="Erklärender Text 90 2" xfId="17461"/>
    <cellStyle name="Erklärender Text 91 2" xfId="17462"/>
    <cellStyle name="Erklärender Text 92 2" xfId="17463"/>
    <cellStyle name="Erklärender Text 93 2" xfId="17464"/>
    <cellStyle name="Erklärender Text 94 2" xfId="17465"/>
    <cellStyle name="Erklärender Text 95 2" xfId="17466"/>
    <cellStyle name="Erklärender Text 96 2" xfId="17467"/>
    <cellStyle name="Erklärender Text 97 2" xfId="17468"/>
    <cellStyle name="Erklärender Text 98 2" xfId="17469"/>
    <cellStyle name="Erklärender Text 99 2" xfId="17470"/>
    <cellStyle name="Euro 3" xfId="17471"/>
    <cellStyle name="EURO (0) 2" xfId="17472"/>
    <cellStyle name="EURO (0,00) 2" xfId="17473"/>
    <cellStyle name="Euro 2 2" xfId="17474"/>
    <cellStyle name="Explanatory Text 2 2" xfId="17475"/>
    <cellStyle name="führ. Null (2) 2" xfId="17476"/>
    <cellStyle name="führ. Null (3) 2" xfId="17477"/>
    <cellStyle name="führ. Null (4) 2" xfId="17478"/>
    <cellStyle name="Funk 2" xfId="17479"/>
    <cellStyle name="Good 2 2" xfId="17480"/>
    <cellStyle name="Gut 152" xfId="17481"/>
    <cellStyle name="Gut 10 3" xfId="17482"/>
    <cellStyle name="Gut 10 2 2" xfId="17483"/>
    <cellStyle name="Gut 100 2" xfId="17484"/>
    <cellStyle name="Gut 101 2" xfId="17485"/>
    <cellStyle name="Gut 102 2" xfId="17486"/>
    <cellStyle name="Gut 103 2" xfId="17487"/>
    <cellStyle name="Gut 104 2" xfId="17488"/>
    <cellStyle name="Gut 105 2" xfId="17489"/>
    <cellStyle name="Gut 106 2" xfId="17490"/>
    <cellStyle name="Gut 107 2" xfId="17491"/>
    <cellStyle name="Gut 108 2" xfId="17492"/>
    <cellStyle name="Gut 109 2" xfId="17493"/>
    <cellStyle name="Gut 11 3" xfId="17494"/>
    <cellStyle name="Gut 11 2 2" xfId="17495"/>
    <cellStyle name="Gut 110 2" xfId="17496"/>
    <cellStyle name="Gut 111 2" xfId="17497"/>
    <cellStyle name="Gut 112 2" xfId="17498"/>
    <cellStyle name="Gut 113 2" xfId="17499"/>
    <cellStyle name="Gut 114 2" xfId="17500"/>
    <cellStyle name="Gut 115 2" xfId="17501"/>
    <cellStyle name="Gut 116 2" xfId="17502"/>
    <cellStyle name="Gut 117 2" xfId="17503"/>
    <cellStyle name="Gut 118 2" xfId="17504"/>
    <cellStyle name="Gut 119 2" xfId="17505"/>
    <cellStyle name="Gut 12 3" xfId="17506"/>
    <cellStyle name="Gut 12 2 2" xfId="17507"/>
    <cellStyle name="Gut 120 2" xfId="17508"/>
    <cellStyle name="Gut 121 2" xfId="17509"/>
    <cellStyle name="Gut 122 2" xfId="17510"/>
    <cellStyle name="Gut 123 2" xfId="17511"/>
    <cellStyle name="Gut 124 2" xfId="17512"/>
    <cellStyle name="Gut 125 2" xfId="17513"/>
    <cellStyle name="Gut 126 2" xfId="17514"/>
    <cellStyle name="Gut 127 2" xfId="17515"/>
    <cellStyle name="Gut 128 2" xfId="17516"/>
    <cellStyle name="Gut 129 2" xfId="17517"/>
    <cellStyle name="Gut 13 3" xfId="17518"/>
    <cellStyle name="Gut 13 2 2" xfId="17519"/>
    <cellStyle name="Gut 130 2" xfId="17520"/>
    <cellStyle name="Gut 131 2" xfId="17521"/>
    <cellStyle name="Gut 132 2" xfId="17522"/>
    <cellStyle name="Gut 133 2" xfId="17523"/>
    <cellStyle name="Gut 134 2" xfId="17524"/>
    <cellStyle name="Gut 135 2" xfId="17525"/>
    <cellStyle name="Gut 136 2" xfId="17526"/>
    <cellStyle name="Gut 137 2" xfId="17527"/>
    <cellStyle name="Gut 138 2" xfId="17528"/>
    <cellStyle name="Gut 139 2" xfId="17529"/>
    <cellStyle name="Gut 14 3" xfId="17530"/>
    <cellStyle name="Gut 14 2 2" xfId="17531"/>
    <cellStyle name="Gut 140 2" xfId="17532"/>
    <cellStyle name="Gut 141 2" xfId="17533"/>
    <cellStyle name="Gut 142 2" xfId="17534"/>
    <cellStyle name="Gut 143 2" xfId="17535"/>
    <cellStyle name="Gut 144 2" xfId="17536"/>
    <cellStyle name="Gut 145 2" xfId="17537"/>
    <cellStyle name="Gut 146 2" xfId="17538"/>
    <cellStyle name="Gut 147 2" xfId="17539"/>
    <cellStyle name="Gut 148 2" xfId="17540"/>
    <cellStyle name="Gut 149 2" xfId="17541"/>
    <cellStyle name="Gut 15 2" xfId="17542"/>
    <cellStyle name="Gut 150 2" xfId="17543"/>
    <cellStyle name="Gut 151 2" xfId="17544"/>
    <cellStyle name="Gut 16 2" xfId="17545"/>
    <cellStyle name="Gut 17 2" xfId="17546"/>
    <cellStyle name="Gut 18 2" xfId="17547"/>
    <cellStyle name="Gut 19 2" xfId="17548"/>
    <cellStyle name="Gut 2 3" xfId="17549"/>
    <cellStyle name="Gut 2 2 2" xfId="17550"/>
    <cellStyle name="Gut 20 2" xfId="17551"/>
    <cellStyle name="Gut 21 2" xfId="17552"/>
    <cellStyle name="Gut 22 2" xfId="17553"/>
    <cellStyle name="Gut 23 2" xfId="17554"/>
    <cellStyle name="Gut 24 2" xfId="17555"/>
    <cellStyle name="Gut 25 2" xfId="17556"/>
    <cellStyle name="Gut 26 2" xfId="17557"/>
    <cellStyle name="Gut 27 2" xfId="17558"/>
    <cellStyle name="Gut 28 2" xfId="17559"/>
    <cellStyle name="Gut 29 2" xfId="17560"/>
    <cellStyle name="Gut 3 3" xfId="17561"/>
    <cellStyle name="Gut 3 2 2" xfId="17562"/>
    <cellStyle name="Gut 30 2" xfId="17563"/>
    <cellStyle name="Gut 31 2" xfId="17564"/>
    <cellStyle name="Gut 32 2" xfId="17565"/>
    <cellStyle name="Gut 33 2" xfId="17566"/>
    <cellStyle name="Gut 34 2" xfId="17567"/>
    <cellStyle name="Gut 35 2" xfId="17568"/>
    <cellStyle name="Gut 36 2" xfId="17569"/>
    <cellStyle name="Gut 37 2" xfId="17570"/>
    <cellStyle name="Gut 38 2" xfId="17571"/>
    <cellStyle name="Gut 39 2" xfId="17572"/>
    <cellStyle name="Gut 4 3" xfId="17573"/>
    <cellStyle name="Gut 4 2 2" xfId="17574"/>
    <cellStyle name="Gut 40 2" xfId="17575"/>
    <cellStyle name="Gut 41 2" xfId="17576"/>
    <cellStyle name="Gut 42 2" xfId="17577"/>
    <cellStyle name="Gut 43 2" xfId="17578"/>
    <cellStyle name="Gut 44 2" xfId="17579"/>
    <cellStyle name="Gut 45 2" xfId="17580"/>
    <cellStyle name="Gut 46 2" xfId="17581"/>
    <cellStyle name="Gut 47 2" xfId="17582"/>
    <cellStyle name="Gut 48 2" xfId="17583"/>
    <cellStyle name="Gut 49 2" xfId="17584"/>
    <cellStyle name="Gut 5 3" xfId="17585"/>
    <cellStyle name="Gut 5 2 2" xfId="17586"/>
    <cellStyle name="Gut 50 2" xfId="17587"/>
    <cellStyle name="Gut 51 2" xfId="17588"/>
    <cellStyle name="Gut 52 2" xfId="17589"/>
    <cellStyle name="Gut 53 2" xfId="17590"/>
    <cellStyle name="Gut 54 2" xfId="17591"/>
    <cellStyle name="Gut 55 2" xfId="17592"/>
    <cellStyle name="Gut 56 2" xfId="17593"/>
    <cellStyle name="Gut 57 2" xfId="17594"/>
    <cellStyle name="Gut 58 2" xfId="17595"/>
    <cellStyle name="Gut 59 2" xfId="17596"/>
    <cellStyle name="Gut 6 3" xfId="17597"/>
    <cellStyle name="Gut 6 2 2" xfId="17598"/>
    <cellStyle name="Gut 60 2" xfId="17599"/>
    <cellStyle name="Gut 61 2" xfId="17600"/>
    <cellStyle name="Gut 62 2" xfId="17601"/>
    <cellStyle name="Gut 63 2" xfId="17602"/>
    <cellStyle name="Gut 64 2" xfId="17603"/>
    <cellStyle name="Gut 65 2" xfId="17604"/>
    <cellStyle name="Gut 66 2" xfId="17605"/>
    <cellStyle name="Gut 67 2" xfId="17606"/>
    <cellStyle name="Gut 68 2" xfId="17607"/>
    <cellStyle name="Gut 69 2" xfId="17608"/>
    <cellStyle name="Gut 7 3" xfId="17609"/>
    <cellStyle name="Gut 7 2 2" xfId="17610"/>
    <cellStyle name="Gut 70 2" xfId="17611"/>
    <cellStyle name="Gut 71 2" xfId="17612"/>
    <cellStyle name="Gut 72 2" xfId="17613"/>
    <cellStyle name="Gut 73 2" xfId="17614"/>
    <cellStyle name="Gut 74 2" xfId="17615"/>
    <cellStyle name="Gut 75 2" xfId="17616"/>
    <cellStyle name="Gut 76 2" xfId="17617"/>
    <cellStyle name="Gut 77 2" xfId="17618"/>
    <cellStyle name="Gut 78 2" xfId="17619"/>
    <cellStyle name="Gut 79 2" xfId="17620"/>
    <cellStyle name="Gut 8 3" xfId="17621"/>
    <cellStyle name="Gut 8 2 2" xfId="17622"/>
    <cellStyle name="Gut 80 2" xfId="17623"/>
    <cellStyle name="Gut 81 2" xfId="17624"/>
    <cellStyle name="Gut 82 2" xfId="17625"/>
    <cellStyle name="Gut 83 2" xfId="17626"/>
    <cellStyle name="Gut 84 2" xfId="17627"/>
    <cellStyle name="Gut 85 2" xfId="17628"/>
    <cellStyle name="Gut 86 2" xfId="17629"/>
    <cellStyle name="Gut 87 2" xfId="17630"/>
    <cellStyle name="Gut 88 2" xfId="17631"/>
    <cellStyle name="Gut 89 2" xfId="17632"/>
    <cellStyle name="Gut 9 3" xfId="17633"/>
    <cellStyle name="Gut 9 2 2" xfId="17634"/>
    <cellStyle name="Gut 90 2" xfId="17635"/>
    <cellStyle name="Gut 91 2" xfId="17636"/>
    <cellStyle name="Gut 92 2" xfId="17637"/>
    <cellStyle name="Gut 93 2" xfId="17638"/>
    <cellStyle name="Gut 94 2" xfId="17639"/>
    <cellStyle name="Gut 95 2" xfId="17640"/>
    <cellStyle name="Gut 96 2" xfId="17641"/>
    <cellStyle name="Gut 97 2" xfId="17642"/>
    <cellStyle name="Gut 98 2" xfId="17643"/>
    <cellStyle name="Gut 99 2" xfId="17644"/>
    <cellStyle name="Heading 1 2 2" xfId="17645"/>
    <cellStyle name="Heading 2 2 2" xfId="17646"/>
    <cellStyle name="Heading 3 2 2" xfId="17647"/>
    <cellStyle name="Heading 4 2 2" xfId="17648"/>
    <cellStyle name="hellgrau 2" xfId="17649"/>
    <cellStyle name="Input 2 2" xfId="17650"/>
    <cellStyle name="Komma 2 2" xfId="17651"/>
    <cellStyle name="Komma 3 2" xfId="17652"/>
    <cellStyle name="kW (0) 2" xfId="17653"/>
    <cellStyle name="kW (0,00) 2" xfId="17654"/>
    <cellStyle name="Linked Cell 2 2" xfId="17655"/>
    <cellStyle name="Neutral 10 3" xfId="17656"/>
    <cellStyle name="Neutral 10 2 2" xfId="17657"/>
    <cellStyle name="Neutral 100 2" xfId="17658"/>
    <cellStyle name="Neutral 101 2" xfId="17659"/>
    <cellStyle name="Neutral 102 2" xfId="17660"/>
    <cellStyle name="Neutral 103 2" xfId="17661"/>
    <cellStyle name="Neutral 104 2" xfId="17662"/>
    <cellStyle name="Neutral 105 2" xfId="17663"/>
    <cellStyle name="Neutral 106 2" xfId="17664"/>
    <cellStyle name="Neutral 107 2" xfId="17665"/>
    <cellStyle name="Neutral 108 2" xfId="17666"/>
    <cellStyle name="Neutral 109 2" xfId="17667"/>
    <cellStyle name="Neutral 11 3" xfId="17668"/>
    <cellStyle name="Neutral 11 2 2" xfId="17669"/>
    <cellStyle name="Neutral 110 2" xfId="17670"/>
    <cellStyle name="Neutral 111 2" xfId="17671"/>
    <cellStyle name="Neutral 112 2" xfId="17672"/>
    <cellStyle name="Neutral 113 2" xfId="17673"/>
    <cellStyle name="Neutral 114 2" xfId="17674"/>
    <cellStyle name="Neutral 115 2" xfId="17675"/>
    <cellStyle name="Neutral 116 2" xfId="17676"/>
    <cellStyle name="Neutral 117 2" xfId="17677"/>
    <cellStyle name="Neutral 118 2" xfId="17678"/>
    <cellStyle name="Neutral 119 2" xfId="17679"/>
    <cellStyle name="Neutral 12 3" xfId="17680"/>
    <cellStyle name="Neutral 12 2 2" xfId="17681"/>
    <cellStyle name="Neutral 120 2" xfId="17682"/>
    <cellStyle name="Neutral 121 2" xfId="17683"/>
    <cellStyle name="Neutral 122 2" xfId="17684"/>
    <cellStyle name="Neutral 123 2" xfId="17685"/>
    <cellStyle name="Neutral 124 2" xfId="17686"/>
    <cellStyle name="Neutral 125 2" xfId="17687"/>
    <cellStyle name="Neutral 126 2" xfId="17688"/>
    <cellStyle name="Neutral 127 2" xfId="17689"/>
    <cellStyle name="Neutral 128 2" xfId="17690"/>
    <cellStyle name="Neutral 129 2" xfId="17691"/>
    <cellStyle name="Neutral 13 3" xfId="17692"/>
    <cellStyle name="Neutral 13 2 2" xfId="17693"/>
    <cellStyle name="Neutral 130 2" xfId="17694"/>
    <cellStyle name="Neutral 131 2" xfId="17695"/>
    <cellStyle name="Neutral 132 2" xfId="17696"/>
    <cellStyle name="Neutral 133 2" xfId="17697"/>
    <cellStyle name="Neutral 134 2" xfId="17698"/>
    <cellStyle name="Neutral 135 2" xfId="17699"/>
    <cellStyle name="Neutral 136 2" xfId="17700"/>
    <cellStyle name="Neutral 137 2" xfId="17701"/>
    <cellStyle name="Neutral 138 2" xfId="17702"/>
    <cellStyle name="Neutral 139 2" xfId="17703"/>
    <cellStyle name="Neutral 14 3" xfId="17704"/>
    <cellStyle name="Neutral 14 2 2" xfId="17705"/>
    <cellStyle name="Neutral 140 2" xfId="17706"/>
    <cellStyle name="Neutral 141 2" xfId="17707"/>
    <cellStyle name="Neutral 142 2" xfId="17708"/>
    <cellStyle name="Neutral 143 2" xfId="17709"/>
    <cellStyle name="Neutral 144 2" xfId="17710"/>
    <cellStyle name="Neutral 145 2" xfId="17711"/>
    <cellStyle name="Neutral 146 2" xfId="17712"/>
    <cellStyle name="Neutral 147 2" xfId="17713"/>
    <cellStyle name="Neutral 148 2" xfId="17714"/>
    <cellStyle name="Neutral 149 2" xfId="17715"/>
    <cellStyle name="Neutral 15 2" xfId="17716"/>
    <cellStyle name="Neutral 150 2" xfId="17717"/>
    <cellStyle name="Neutral 151 2" xfId="17718"/>
    <cellStyle name="Neutral 16 2" xfId="17719"/>
    <cellStyle name="Neutral 17 2" xfId="17720"/>
    <cellStyle name="Neutral 18 2" xfId="17721"/>
    <cellStyle name="Neutral 19 2" xfId="17722"/>
    <cellStyle name="Neutral 2 3" xfId="17723"/>
    <cellStyle name="Neutral 2 2 2" xfId="17724"/>
    <cellStyle name="Neutral 20 2" xfId="17725"/>
    <cellStyle name="Neutral 21 2" xfId="17726"/>
    <cellStyle name="Neutral 22 2" xfId="17727"/>
    <cellStyle name="Neutral 23 2" xfId="17728"/>
    <cellStyle name="Neutral 24 2" xfId="17729"/>
    <cellStyle name="Neutral 25 2" xfId="17730"/>
    <cellStyle name="Neutral 26 2" xfId="17731"/>
    <cellStyle name="Neutral 27 2" xfId="17732"/>
    <cellStyle name="Neutral 28 2" xfId="17733"/>
    <cellStyle name="Neutral 29 2" xfId="17734"/>
    <cellStyle name="Neutral 3 3" xfId="17735"/>
    <cellStyle name="Neutral 3 2 2" xfId="17736"/>
    <cellStyle name="Neutral 30 2" xfId="17737"/>
    <cellStyle name="Neutral 31 2" xfId="17738"/>
    <cellStyle name="Neutral 32 2" xfId="17739"/>
    <cellStyle name="Neutral 33 2" xfId="17740"/>
    <cellStyle name="Neutral 34 2" xfId="17741"/>
    <cellStyle name="Neutral 35 2" xfId="17742"/>
    <cellStyle name="Neutral 36 2" xfId="17743"/>
    <cellStyle name="Neutral 37 2" xfId="17744"/>
    <cellStyle name="Neutral 38 2" xfId="17745"/>
    <cellStyle name="Neutral 39 2" xfId="17746"/>
    <cellStyle name="Neutral 4 3" xfId="17747"/>
    <cellStyle name="Neutral 4 2 2" xfId="17748"/>
    <cellStyle name="Neutral 40 2" xfId="17749"/>
    <cellStyle name="Neutral 41 2" xfId="17750"/>
    <cellStyle name="Neutral 42 2" xfId="17751"/>
    <cellStyle name="Neutral 43 2" xfId="17752"/>
    <cellStyle name="Neutral 44 2" xfId="17753"/>
    <cellStyle name="Neutral 45 2" xfId="17754"/>
    <cellStyle name="Neutral 46 2" xfId="17755"/>
    <cellStyle name="Neutral 47 2" xfId="17756"/>
    <cellStyle name="Neutral 48 2" xfId="17757"/>
    <cellStyle name="Neutral 49 2" xfId="17758"/>
    <cellStyle name="Neutral 5 3" xfId="17759"/>
    <cellStyle name="Neutral 5 2 2" xfId="17760"/>
    <cellStyle name="Neutral 50 2" xfId="17761"/>
    <cellStyle name="Neutral 51 2" xfId="17762"/>
    <cellStyle name="Neutral 52 2" xfId="17763"/>
    <cellStyle name="Neutral 53 2" xfId="17764"/>
    <cellStyle name="Neutral 54 2" xfId="17765"/>
    <cellStyle name="Neutral 55 2" xfId="17766"/>
    <cellStyle name="Neutral 56 2" xfId="17767"/>
    <cellStyle name="Neutral 57 2" xfId="17768"/>
    <cellStyle name="Neutral 58 2" xfId="17769"/>
    <cellStyle name="Neutral 59 2" xfId="17770"/>
    <cellStyle name="Neutral 6 3" xfId="17771"/>
    <cellStyle name="Neutral 6 2 2" xfId="17772"/>
    <cellStyle name="Neutral 60 2" xfId="17773"/>
    <cellStyle name="Neutral 61 2" xfId="17774"/>
    <cellStyle name="Neutral 62 2" xfId="17775"/>
    <cellStyle name="Neutral 63 2" xfId="17776"/>
    <cellStyle name="Neutral 64 2" xfId="17777"/>
    <cellStyle name="Neutral 65 2" xfId="17778"/>
    <cellStyle name="Neutral 66 2" xfId="17779"/>
    <cellStyle name="Neutral 67 2" xfId="17780"/>
    <cellStyle name="Neutral 68 2" xfId="17781"/>
    <cellStyle name="Neutral 69 2" xfId="17782"/>
    <cellStyle name="Neutral 7 3" xfId="17783"/>
    <cellStyle name="Neutral 7 2 2" xfId="17784"/>
    <cellStyle name="Neutral 70 2" xfId="17785"/>
    <cellStyle name="Neutral 71 2" xfId="17786"/>
    <cellStyle name="Neutral 72 2" xfId="17787"/>
    <cellStyle name="Neutral 73 2" xfId="17788"/>
    <cellStyle name="Neutral 74 2" xfId="17789"/>
    <cellStyle name="Neutral 75 2" xfId="17790"/>
    <cellStyle name="Neutral 76 2" xfId="17791"/>
    <cellStyle name="Neutral 77 2" xfId="17792"/>
    <cellStyle name="Neutral 78 2" xfId="17793"/>
    <cellStyle name="Neutral 79 2" xfId="17794"/>
    <cellStyle name="Neutral 8 3" xfId="17795"/>
    <cellStyle name="Neutral 8 2 2" xfId="17796"/>
    <cellStyle name="Neutral 80 2" xfId="17797"/>
    <cellStyle name="Neutral 81 2" xfId="17798"/>
    <cellStyle name="Neutral 82 2" xfId="17799"/>
    <cellStyle name="Neutral 83 2" xfId="17800"/>
    <cellStyle name="Neutral 84 2" xfId="17801"/>
    <cellStyle name="Neutral 85 2" xfId="17802"/>
    <cellStyle name="Neutral 86 2" xfId="17803"/>
    <cellStyle name="Neutral 87 2" xfId="17804"/>
    <cellStyle name="Neutral 88 2" xfId="17805"/>
    <cellStyle name="Neutral 89 2" xfId="17806"/>
    <cellStyle name="Neutral 9 3" xfId="17807"/>
    <cellStyle name="Neutral 9 2 2" xfId="17808"/>
    <cellStyle name="Neutral 90 2" xfId="17809"/>
    <cellStyle name="Neutral 91 2" xfId="17810"/>
    <cellStyle name="Neutral 92 2" xfId="17811"/>
    <cellStyle name="Neutral 93 2" xfId="17812"/>
    <cellStyle name="Neutral 94 2" xfId="17813"/>
    <cellStyle name="Neutral 95 2" xfId="17814"/>
    <cellStyle name="Neutral 96 2" xfId="17815"/>
    <cellStyle name="Neutral 97 2" xfId="17816"/>
    <cellStyle name="Neutral 98 2" xfId="17817"/>
    <cellStyle name="Neutral 99 2" xfId="17818"/>
    <cellStyle name="Normal 10 4" xfId="17819"/>
    <cellStyle name="Normal 10 2 3" xfId="17820"/>
    <cellStyle name="Normal 10 2 2 2" xfId="17821"/>
    <cellStyle name="Normal 10 3 2" xfId="17822"/>
    <cellStyle name="Normal 100 3" xfId="17823"/>
    <cellStyle name="Normal 100 2 2" xfId="17824"/>
    <cellStyle name="Normal 101 3" xfId="17825"/>
    <cellStyle name="Normal 101 2 2" xfId="17826"/>
    <cellStyle name="Normal 102 3" xfId="17827"/>
    <cellStyle name="Normal 102 2 2" xfId="17828"/>
    <cellStyle name="Normal 103 3" xfId="17829"/>
    <cellStyle name="Normal 103 2 2" xfId="17830"/>
    <cellStyle name="Normal 104 3" xfId="17831"/>
    <cellStyle name="Normal 104 2 2" xfId="17832"/>
    <cellStyle name="Normal 105 3" xfId="17833"/>
    <cellStyle name="Normal 105 2 2" xfId="17834"/>
    <cellStyle name="Normal 106 3" xfId="17835"/>
    <cellStyle name="Normal 106 2 2" xfId="17836"/>
    <cellStyle name="Normal 107 3" xfId="17837"/>
    <cellStyle name="Normal 107 2 2" xfId="17838"/>
    <cellStyle name="Normal 108 2" xfId="17839"/>
    <cellStyle name="Normal 109 3" xfId="17840"/>
    <cellStyle name="Normal 109 2 2" xfId="17841"/>
    <cellStyle name="Normal 11 3" xfId="17842"/>
    <cellStyle name="Normal 11 2 2" xfId="17843"/>
    <cellStyle name="Normal 110 3" xfId="17844"/>
    <cellStyle name="Normal 110 2 2" xfId="17845"/>
    <cellStyle name="Normal 111 3" xfId="17846"/>
    <cellStyle name="Normal 111 2 2" xfId="17847"/>
    <cellStyle name="Normal 112 3" xfId="17848"/>
    <cellStyle name="Normal 112 2 2" xfId="17849"/>
    <cellStyle name="Normal 113 3" xfId="17850"/>
    <cellStyle name="Normal 113 2 2" xfId="17851"/>
    <cellStyle name="Normal 114 3" xfId="17852"/>
    <cellStyle name="Normal 114 2 2" xfId="17853"/>
    <cellStyle name="Normal 115 3" xfId="17854"/>
    <cellStyle name="Normal 115 2 2" xfId="17855"/>
    <cellStyle name="Normal 116 3" xfId="17856"/>
    <cellStyle name="Normal 116 2 2" xfId="17857"/>
    <cellStyle name="Normal 117 3" xfId="17858"/>
    <cellStyle name="Normal 117 2 2" xfId="17859"/>
    <cellStyle name="Normal 118 3" xfId="17860"/>
    <cellStyle name="Normal 118 2 2" xfId="17861"/>
    <cellStyle name="Normal 119 3" xfId="17862"/>
    <cellStyle name="Normal 119 2 2" xfId="17863"/>
    <cellStyle name="Normal 12 3" xfId="17864"/>
    <cellStyle name="Normal 12 2 2" xfId="17865"/>
    <cellStyle name="Normal 120 3" xfId="17866"/>
    <cellStyle name="Normal 120 2 2" xfId="17867"/>
    <cellStyle name="Normal 121 2" xfId="17868"/>
    <cellStyle name="Normal 122 3" xfId="17869"/>
    <cellStyle name="Normal 122 2 2" xfId="17870"/>
    <cellStyle name="Normal 123 3" xfId="17871"/>
    <cellStyle name="Normal 123 2 2" xfId="17872"/>
    <cellStyle name="Normal 124 3" xfId="17873"/>
    <cellStyle name="Normal 124 2 2" xfId="17874"/>
    <cellStyle name="Normal 125 3" xfId="17875"/>
    <cellStyle name="Normal 125 2 2" xfId="17876"/>
    <cellStyle name="Normal 126 3" xfId="17877"/>
    <cellStyle name="Normal 126 2 2" xfId="17878"/>
    <cellStyle name="Normal 127 3" xfId="17879"/>
    <cellStyle name="Normal 127 2 2" xfId="17880"/>
    <cellStyle name="Normal 128 3" xfId="17881"/>
    <cellStyle name="Normal 128 2 2" xfId="17882"/>
    <cellStyle name="Normal 129 2" xfId="17883"/>
    <cellStyle name="Normal 13 4" xfId="17884"/>
    <cellStyle name="Normal 13 2 3" xfId="17885"/>
    <cellStyle name="Normal 13 2 2 2" xfId="17886"/>
    <cellStyle name="Normal 13 3 2" xfId="17887"/>
    <cellStyle name="Normal 130 3" xfId="17888"/>
    <cellStyle name="Normal 130 2 2" xfId="17889"/>
    <cellStyle name="Normal 131 3" xfId="17890"/>
    <cellStyle name="Normal 131 2 2" xfId="17891"/>
    <cellStyle name="Normal 133 3" xfId="17892"/>
    <cellStyle name="Normal 133 2 2" xfId="17893"/>
    <cellStyle name="Normal 135 3" xfId="17894"/>
    <cellStyle name="Normal 135 2 2" xfId="17895"/>
    <cellStyle name="Normal 136 3" xfId="17896"/>
    <cellStyle name="Normal 136 2 2" xfId="17897"/>
    <cellStyle name="Normal 138 3" xfId="17898"/>
    <cellStyle name="Normal 138 2 2" xfId="17899"/>
    <cellStyle name="Normal 139 3" xfId="17900"/>
    <cellStyle name="Normal 139 2 2" xfId="17901"/>
    <cellStyle name="Normal 14 4" xfId="17902"/>
    <cellStyle name="Normal 14 2 3" xfId="17903"/>
    <cellStyle name="Normal 14 2 2 2" xfId="17904"/>
    <cellStyle name="Normal 14 3 2" xfId="17905"/>
    <cellStyle name="Normal 140 3" xfId="17906"/>
    <cellStyle name="Normal 140 2 2" xfId="17907"/>
    <cellStyle name="Normal 141 3" xfId="17908"/>
    <cellStyle name="Normal 141 2 2" xfId="17909"/>
    <cellStyle name="Normal 142 3" xfId="17910"/>
    <cellStyle name="Normal 142 2 2" xfId="17911"/>
    <cellStyle name="Normal 143 3" xfId="17912"/>
    <cellStyle name="Normal 143 2 2" xfId="17913"/>
    <cellStyle name="Normal 15 4" xfId="17914"/>
    <cellStyle name="Normal 15 2 3" xfId="17915"/>
    <cellStyle name="Normal 15 2 2 2" xfId="17916"/>
    <cellStyle name="Normal 15 3 2" xfId="17917"/>
    <cellStyle name="Normal 16 4" xfId="17918"/>
    <cellStyle name="Normal 16 2 3" xfId="17919"/>
    <cellStyle name="Normal 16 2 2 2" xfId="17920"/>
    <cellStyle name="Normal 16 3 2" xfId="17921"/>
    <cellStyle name="Normal 17 3" xfId="17922"/>
    <cellStyle name="Normal 17 2 2" xfId="17923"/>
    <cellStyle name="Normal 18 4" xfId="17924"/>
    <cellStyle name="Normal 18 2 3" xfId="17925"/>
    <cellStyle name="Normal 18 2 2 2" xfId="17926"/>
    <cellStyle name="Normal 18 3 2" xfId="17927"/>
    <cellStyle name="Normal 19 4" xfId="17928"/>
    <cellStyle name="Normal 19 2 3" xfId="17929"/>
    <cellStyle name="Normal 19 2 2 2" xfId="17930"/>
    <cellStyle name="Normal 19 3 2" xfId="17931"/>
    <cellStyle name="Normal 2 2 2 2" xfId="17932"/>
    <cellStyle name="Normal 2 2 3 2" xfId="17933"/>
    <cellStyle name="Normal 2 3 2" xfId="17934"/>
    <cellStyle name="Normal 2 4 2" xfId="17935"/>
    <cellStyle name="Normal 2 5 2" xfId="17936"/>
    <cellStyle name="Normal 20 4" xfId="17937"/>
    <cellStyle name="Normal 20 2 3" xfId="17938"/>
    <cellStyle name="Normal 20 2 2 2" xfId="17939"/>
    <cellStyle name="Normal 20 3 2" xfId="17940"/>
    <cellStyle name="Normal 21 4" xfId="17941"/>
    <cellStyle name="Normal 21 2 3" xfId="17942"/>
    <cellStyle name="Normal 21 2 2 2" xfId="17943"/>
    <cellStyle name="Normal 21 3 2" xfId="17944"/>
    <cellStyle name="Normal 22 4" xfId="17945"/>
    <cellStyle name="Normal 22 2 3" xfId="17946"/>
    <cellStyle name="Normal 22 2 2 2" xfId="17947"/>
    <cellStyle name="Normal 22 3 2" xfId="17948"/>
    <cellStyle name="Normal 23 4" xfId="17949"/>
    <cellStyle name="Normal 23 2 3" xfId="17950"/>
    <cellStyle name="Normal 23 2 2 2" xfId="17951"/>
    <cellStyle name="Normal 23 3 2" xfId="17952"/>
    <cellStyle name="Normal 24 3" xfId="17953"/>
    <cellStyle name="Normal 24 2 2" xfId="17954"/>
    <cellStyle name="Normal 25 4" xfId="17955"/>
    <cellStyle name="Normal 25 2 3" xfId="17956"/>
    <cellStyle name="Normal 25 2 2 2" xfId="17957"/>
    <cellStyle name="Normal 25 3 2" xfId="17958"/>
    <cellStyle name="Normal 26 4" xfId="17959"/>
    <cellStyle name="Normal 26 2 3" xfId="17960"/>
    <cellStyle name="Normal 26 2 2 2" xfId="17961"/>
    <cellStyle name="Normal 26 3 2" xfId="17962"/>
    <cellStyle name="Normal 27 4" xfId="17963"/>
    <cellStyle name="Normal 27 2 3" xfId="17964"/>
    <cellStyle name="Normal 27 2 2 2" xfId="17965"/>
    <cellStyle name="Normal 27 3 2" xfId="17966"/>
    <cellStyle name="Normal 28 4" xfId="17967"/>
    <cellStyle name="Normal 28 2 3" xfId="17968"/>
    <cellStyle name="Normal 28 2 2 2" xfId="17969"/>
    <cellStyle name="Normal 28 3 2" xfId="17970"/>
    <cellStyle name="Normal 29 4" xfId="17971"/>
    <cellStyle name="Normal 29 2 3" xfId="17972"/>
    <cellStyle name="Normal 29 2 2 2" xfId="17973"/>
    <cellStyle name="Normal 29 3 2" xfId="17974"/>
    <cellStyle name="Normal 3 2 4" xfId="17975"/>
    <cellStyle name="Normal 3 2 2 3" xfId="17976"/>
    <cellStyle name="Normal 3 2 2 2 2" xfId="17977"/>
    <cellStyle name="Normal 3 2 3 2" xfId="17978"/>
    <cellStyle name="Normal 3 3 3" xfId="17979"/>
    <cellStyle name="Normal 3 3 2 2" xfId="17980"/>
    <cellStyle name="Normal 3 4 2" xfId="17981"/>
    <cellStyle name="Normal 3 5 2" xfId="17982"/>
    <cellStyle name="Normal 3 6 2" xfId="17983"/>
    <cellStyle name="Normal 30 4" xfId="17984"/>
    <cellStyle name="Normal 30 2 3" xfId="17985"/>
    <cellStyle name="Normal 30 2 2 2" xfId="17986"/>
    <cellStyle name="Normal 30 3 2" xfId="17987"/>
    <cellStyle name="Normal 31 3" xfId="17988"/>
    <cellStyle name="Normal 31 2 2" xfId="17989"/>
    <cellStyle name="Normal 32 4" xfId="17990"/>
    <cellStyle name="Normal 32 2 3" xfId="17991"/>
    <cellStyle name="Normal 32 2 2 2" xfId="17992"/>
    <cellStyle name="Normal 32 3 2" xfId="17993"/>
    <cellStyle name="Normal 33 4" xfId="17994"/>
    <cellStyle name="Normal 33 2 3" xfId="17995"/>
    <cellStyle name="Normal 33 2 2 2" xfId="17996"/>
    <cellStyle name="Normal 33 3 2" xfId="17997"/>
    <cellStyle name="Normal 34 4" xfId="17998"/>
    <cellStyle name="Normal 34 2 3" xfId="17999"/>
    <cellStyle name="Normal 34 2 2 2" xfId="18000"/>
    <cellStyle name="Normal 34 3 2" xfId="18001"/>
    <cellStyle name="Normal 35 4" xfId="18002"/>
    <cellStyle name="Normal 35 2 3" xfId="18003"/>
    <cellStyle name="Normal 35 2 2 2" xfId="18004"/>
    <cellStyle name="Normal 35 3 2" xfId="18005"/>
    <cellStyle name="Normal 36 4" xfId="18006"/>
    <cellStyle name="Normal 36 2 3" xfId="18007"/>
    <cellStyle name="Normal 36 2 2 2" xfId="18008"/>
    <cellStyle name="Normal 36 3 2" xfId="18009"/>
    <cellStyle name="Normal 37 4" xfId="18010"/>
    <cellStyle name="Normal 37 2 3" xfId="18011"/>
    <cellStyle name="Normal 37 2 2 2" xfId="18012"/>
    <cellStyle name="Normal 37 3 2" xfId="18013"/>
    <cellStyle name="Normal 38 4" xfId="18014"/>
    <cellStyle name="Normal 38 2 3" xfId="18015"/>
    <cellStyle name="Normal 38 2 2 2" xfId="18016"/>
    <cellStyle name="Normal 38 3 2" xfId="18017"/>
    <cellStyle name="Normal 39 4" xfId="18018"/>
    <cellStyle name="Normal 39 2 3" xfId="18019"/>
    <cellStyle name="Normal 39 2 2 2" xfId="18020"/>
    <cellStyle name="Normal 39 3 2" xfId="18021"/>
    <cellStyle name="Normal 4 5" xfId="18022"/>
    <cellStyle name="Normal 4 2 4" xfId="18023"/>
    <cellStyle name="Normal 4 2 2 3" xfId="18024"/>
    <cellStyle name="Normal 4 2 2 2 2" xfId="18025"/>
    <cellStyle name="Normal 4 2 3 2" xfId="18026"/>
    <cellStyle name="Normal 4 3 3" xfId="18027"/>
    <cellStyle name="Normal 4 3 2 2" xfId="18028"/>
    <cellStyle name="Normal 4 4 2" xfId="18029"/>
    <cellStyle name="Normal 40 4" xfId="18030"/>
    <cellStyle name="Normal 40 2 3" xfId="18031"/>
    <cellStyle name="Normal 40 2 2 2" xfId="18032"/>
    <cellStyle name="Normal 40 3 2" xfId="18033"/>
    <cellStyle name="Normal 41 4" xfId="18034"/>
    <cellStyle name="Normal 41 2 3" xfId="18035"/>
    <cellStyle name="Normal 41 2 2 2" xfId="18036"/>
    <cellStyle name="Normal 41 3 2" xfId="18037"/>
    <cellStyle name="Normal 42 4" xfId="18038"/>
    <cellStyle name="Normal 42 2 3" xfId="18039"/>
    <cellStyle name="Normal 42 2 2 2" xfId="18040"/>
    <cellStyle name="Normal 42 3 2" xfId="18041"/>
    <cellStyle name="Normal 43 4" xfId="18042"/>
    <cellStyle name="Normal 43 2 3" xfId="18043"/>
    <cellStyle name="Normal 43 2 2 2" xfId="18044"/>
    <cellStyle name="Normal 43 3 2" xfId="18045"/>
    <cellStyle name="Normal 44 4" xfId="18046"/>
    <cellStyle name="Normal 44 2 3" xfId="18047"/>
    <cellStyle name="Normal 44 2 2 2" xfId="18048"/>
    <cellStyle name="Normal 44 3 2" xfId="18049"/>
    <cellStyle name="Normal 45 4" xfId="18050"/>
    <cellStyle name="Normal 45 2 3" xfId="18051"/>
    <cellStyle name="Normal 45 2 2 2" xfId="18052"/>
    <cellStyle name="Normal 45 3 2" xfId="18053"/>
    <cellStyle name="Normal 46 4" xfId="18054"/>
    <cellStyle name="Normal 46 2 3" xfId="18055"/>
    <cellStyle name="Normal 46 2 2 2" xfId="18056"/>
    <cellStyle name="Normal 46 3 2" xfId="18057"/>
    <cellStyle name="Normal 47 4" xfId="18058"/>
    <cellStyle name="Normal 47 2 3" xfId="18059"/>
    <cellStyle name="Normal 47 2 2 2" xfId="18060"/>
    <cellStyle name="Normal 47 3 2" xfId="18061"/>
    <cellStyle name="Normal 48 4" xfId="18062"/>
    <cellStyle name="Normal 48 2 3" xfId="18063"/>
    <cellStyle name="Normal 48 2 2 2" xfId="18064"/>
    <cellStyle name="Normal 48 3 2" xfId="18065"/>
    <cellStyle name="Normal 49 3" xfId="18066"/>
    <cellStyle name="Normal 49 2 2" xfId="18067"/>
    <cellStyle name="Normal 5 5" xfId="18068"/>
    <cellStyle name="Normal 5 2 4" xfId="18069"/>
    <cellStyle name="Normal 5 2 2 3" xfId="18070"/>
    <cellStyle name="Normal 5 2 2 2 2" xfId="18071"/>
    <cellStyle name="Normal 5 2 3 2" xfId="18072"/>
    <cellStyle name="Normal 5 3 3" xfId="18073"/>
    <cellStyle name="Normal 5 3 2 2" xfId="18074"/>
    <cellStyle name="Normal 5 4 2" xfId="18075"/>
    <cellStyle name="Normal 50 4" xfId="18076"/>
    <cellStyle name="Normal 50 2 3" xfId="18077"/>
    <cellStyle name="Normal 50 2 2 2" xfId="18078"/>
    <cellStyle name="Normal 50 3 2" xfId="18079"/>
    <cellStyle name="Normal 51 3" xfId="18080"/>
    <cellStyle name="Normal 51 2 2" xfId="18081"/>
    <cellStyle name="Normal 52 3" xfId="18082"/>
    <cellStyle name="Normal 52 2 2" xfId="18083"/>
    <cellStyle name="Normal 53 3" xfId="18084"/>
    <cellStyle name="Normal 53 2 2" xfId="18085"/>
    <cellStyle name="Normal 54 3" xfId="18086"/>
    <cellStyle name="Normal 54 2 2" xfId="18087"/>
    <cellStyle name="Normal 55 3" xfId="18088"/>
    <cellStyle name="Normal 55 2 2" xfId="18089"/>
    <cellStyle name="Normal 56 3" xfId="18090"/>
    <cellStyle name="Normal 56 2 2" xfId="18091"/>
    <cellStyle name="Normal 57 3" xfId="18092"/>
    <cellStyle name="Normal 57 2 2" xfId="18093"/>
    <cellStyle name="Normal 58 3" xfId="18094"/>
    <cellStyle name="Normal 58 2 2" xfId="18095"/>
    <cellStyle name="Normal 59 4" xfId="18096"/>
    <cellStyle name="Normal 59 2 3" xfId="18097"/>
    <cellStyle name="Normal 59 2 2 2" xfId="18098"/>
    <cellStyle name="Normal 59 3 2" xfId="18099"/>
    <cellStyle name="Normal 6 4" xfId="18100"/>
    <cellStyle name="Normal 6 2 3" xfId="18101"/>
    <cellStyle name="Normal 6 2 2 2" xfId="18102"/>
    <cellStyle name="Normal 6 3 2" xfId="18103"/>
    <cellStyle name="Normal 60 3" xfId="18104"/>
    <cellStyle name="Normal 60 2 2" xfId="18105"/>
    <cellStyle name="Normal 61 4" xfId="18106"/>
    <cellStyle name="Normal 61 2 3" xfId="18107"/>
    <cellStyle name="Normal 61 2 2 2" xfId="18108"/>
    <cellStyle name="Normal 61 3 2" xfId="18109"/>
    <cellStyle name="Normal 62 3" xfId="18110"/>
    <cellStyle name="Normal 62 2 2" xfId="18111"/>
    <cellStyle name="Normal 63 4" xfId="18112"/>
    <cellStyle name="Normal 63 2 3" xfId="18113"/>
    <cellStyle name="Normal 63 2 2 2" xfId="18114"/>
    <cellStyle name="Normal 63 3 2" xfId="18115"/>
    <cellStyle name="Normal 64 3" xfId="18116"/>
    <cellStyle name="Normal 64 2 2" xfId="18117"/>
    <cellStyle name="Normal 65 3" xfId="18118"/>
    <cellStyle name="Normal 65 2 2" xfId="18119"/>
    <cellStyle name="Normal 66 3" xfId="18120"/>
    <cellStyle name="Normal 66 2 2" xfId="18121"/>
    <cellStyle name="Normal 67 3" xfId="18122"/>
    <cellStyle name="Normal 67 2 2" xfId="18123"/>
    <cellStyle name="Normal 68 3" xfId="18124"/>
    <cellStyle name="Normal 68 2 2" xfId="18125"/>
    <cellStyle name="Normal 69 3" xfId="18126"/>
    <cellStyle name="Normal 69 2 2" xfId="18127"/>
    <cellStyle name="Normal 7 4" xfId="18128"/>
    <cellStyle name="Normal 7 2 3" xfId="18129"/>
    <cellStyle name="Normal 7 2 2 2" xfId="18130"/>
    <cellStyle name="Normal 7 3 2" xfId="18131"/>
    <cellStyle name="Normal 70 3" xfId="18132"/>
    <cellStyle name="Normal 70 2 2" xfId="18133"/>
    <cellStyle name="Normal 71 3" xfId="18134"/>
    <cellStyle name="Normal 71 2 2" xfId="18135"/>
    <cellStyle name="Normal 72 3" xfId="18136"/>
    <cellStyle name="Normal 72 2 2" xfId="18137"/>
    <cellStyle name="Normal 73 3" xfId="18138"/>
    <cellStyle name="Normal 73 2 2" xfId="18139"/>
    <cellStyle name="Normal 74 3" xfId="18140"/>
    <cellStyle name="Normal 74 2 2" xfId="18141"/>
    <cellStyle name="Normal 75 3" xfId="18142"/>
    <cellStyle name="Normal 75 2 2" xfId="18143"/>
    <cellStyle name="Normal 76 3" xfId="18144"/>
    <cellStyle name="Normal 76 2 2" xfId="18145"/>
    <cellStyle name="Normal 77 3" xfId="18146"/>
    <cellStyle name="Normal 77 2 2" xfId="18147"/>
    <cellStyle name="Normal 78 3" xfId="18148"/>
    <cellStyle name="Normal 78 2 2" xfId="18149"/>
    <cellStyle name="Normal 79 3" xfId="18150"/>
    <cellStyle name="Normal 79 2 2" xfId="18151"/>
    <cellStyle name="Normal 8 3" xfId="18152"/>
    <cellStyle name="Normal 8 2 2" xfId="18153"/>
    <cellStyle name="Normal 80 3" xfId="18154"/>
    <cellStyle name="Normal 80 2 2" xfId="18155"/>
    <cellStyle name="Normal 81 3" xfId="18156"/>
    <cellStyle name="Normal 81 2 2" xfId="18157"/>
    <cellStyle name="Normal 82 3" xfId="18158"/>
    <cellStyle name="Normal 82 2 2" xfId="18159"/>
    <cellStyle name="Normal 83 3" xfId="18160"/>
    <cellStyle name="Normal 83 2 2" xfId="18161"/>
    <cellStyle name="Normal 84 3" xfId="18162"/>
    <cellStyle name="Normal 84 2 2" xfId="18163"/>
    <cellStyle name="Normal 85 3" xfId="18164"/>
    <cellStyle name="Normal 85 2 2" xfId="18165"/>
    <cellStyle name="Normal 86 3" xfId="18166"/>
    <cellStyle name="Normal 86 2 2" xfId="18167"/>
    <cellStyle name="Normal 87 3" xfId="18168"/>
    <cellStyle name="Normal 87 2 2" xfId="18169"/>
    <cellStyle name="Normal 88 3" xfId="18170"/>
    <cellStyle name="Normal 88 2 2" xfId="18171"/>
    <cellStyle name="Normal 89 3" xfId="18172"/>
    <cellStyle name="Normal 89 2 2" xfId="18173"/>
    <cellStyle name="Normal 9 4" xfId="18174"/>
    <cellStyle name="Normal 9 2 3" xfId="18175"/>
    <cellStyle name="Normal 9 2 2 2" xfId="18176"/>
    <cellStyle name="Normal 9 3 2" xfId="18177"/>
    <cellStyle name="Normal 90 3" xfId="18178"/>
    <cellStyle name="Normal 90 2 2" xfId="18179"/>
    <cellStyle name="Normal 91 3" xfId="18180"/>
    <cellStyle name="Normal 91 2 2" xfId="18181"/>
    <cellStyle name="Normal 92 3" xfId="18182"/>
    <cellStyle name="Normal 92 2 2" xfId="18183"/>
    <cellStyle name="Normal 93 3" xfId="18184"/>
    <cellStyle name="Normal 93 2 2" xfId="18185"/>
    <cellStyle name="Normal 94 3" xfId="18186"/>
    <cellStyle name="Normal 94 2 2" xfId="18187"/>
    <cellStyle name="Normal 95 3" xfId="18188"/>
    <cellStyle name="Normal 95 2 2" xfId="18189"/>
    <cellStyle name="Normal 96 3" xfId="18190"/>
    <cellStyle name="Normal 96 2 2" xfId="18191"/>
    <cellStyle name="Normal 97 3" xfId="18192"/>
    <cellStyle name="Normal 97 2 2" xfId="18193"/>
    <cellStyle name="Normal 98 3" xfId="18194"/>
    <cellStyle name="Normal 98 2 2" xfId="18195"/>
    <cellStyle name="Normal 99 3" xfId="18196"/>
    <cellStyle name="Normal 99 2 2" xfId="18197"/>
    <cellStyle name="Note 10 4" xfId="18198"/>
    <cellStyle name="Note 10 2 3" xfId="18199"/>
    <cellStyle name="Note 10 2 2 2" xfId="18200"/>
    <cellStyle name="Note 10 3 2" xfId="18201"/>
    <cellStyle name="Note 100 3" xfId="18202"/>
    <cellStyle name="Note 100 2 2" xfId="18203"/>
    <cellStyle name="Note 101 3" xfId="18204"/>
    <cellStyle name="Note 101 2 2" xfId="18205"/>
    <cellStyle name="Note 102 3" xfId="18206"/>
    <cellStyle name="Note 102 2 2" xfId="18207"/>
    <cellStyle name="Note 103 3" xfId="18208"/>
    <cellStyle name="Note 103 2 2" xfId="18209"/>
    <cellStyle name="Note 104 3" xfId="18210"/>
    <cellStyle name="Note 104 2 2" xfId="18211"/>
    <cellStyle name="Note 105 3" xfId="18212"/>
    <cellStyle name="Note 105 2 2" xfId="18213"/>
    <cellStyle name="Note 106 3" xfId="18214"/>
    <cellStyle name="Note 106 2 2" xfId="18215"/>
    <cellStyle name="Note 107 3" xfId="18216"/>
    <cellStyle name="Note 107 2 2" xfId="18217"/>
    <cellStyle name="Note 108 3" xfId="18218"/>
    <cellStyle name="Note 108 2 2" xfId="18219"/>
    <cellStyle name="Note 109 3" xfId="18220"/>
    <cellStyle name="Note 109 2 2" xfId="18221"/>
    <cellStyle name="Note 11 4" xfId="18222"/>
    <cellStyle name="Note 11 2 3" xfId="18223"/>
    <cellStyle name="Note 11 2 2 2" xfId="18224"/>
    <cellStyle name="Note 11 3 2" xfId="18225"/>
    <cellStyle name="Note 110 3" xfId="18226"/>
    <cellStyle name="Note 110 2 2" xfId="18227"/>
    <cellStyle name="Note 111 3" xfId="18228"/>
    <cellStyle name="Note 111 2 2" xfId="18229"/>
    <cellStyle name="Note 112 3" xfId="18230"/>
    <cellStyle name="Note 112 2 2" xfId="18231"/>
    <cellStyle name="Note 113 3" xfId="18232"/>
    <cellStyle name="Note 113 2 2" xfId="18233"/>
    <cellStyle name="Note 114 3" xfId="18234"/>
    <cellStyle name="Note 114 2 2" xfId="18235"/>
    <cellStyle name="Note 115 3" xfId="18236"/>
    <cellStyle name="Note 115 2 2" xfId="18237"/>
    <cellStyle name="Note 116 3" xfId="18238"/>
    <cellStyle name="Note 116 2 2" xfId="18239"/>
    <cellStyle name="Note 117 3" xfId="18240"/>
    <cellStyle name="Note 117 2 2" xfId="18241"/>
    <cellStyle name="Note 118 3" xfId="18242"/>
    <cellStyle name="Note 118 2 2" xfId="18243"/>
    <cellStyle name="Note 119 3" xfId="18244"/>
    <cellStyle name="Note 119 2 2" xfId="18245"/>
    <cellStyle name="Note 12 4" xfId="18246"/>
    <cellStyle name="Note 12 2 3" xfId="18247"/>
    <cellStyle name="Note 12 2 2 2" xfId="18248"/>
    <cellStyle name="Note 12 3 2" xfId="18249"/>
    <cellStyle name="Note 120 3" xfId="18250"/>
    <cellStyle name="Note 120 2 2" xfId="18251"/>
    <cellStyle name="Note 121 3" xfId="18252"/>
    <cellStyle name="Note 121 2 2" xfId="18253"/>
    <cellStyle name="Note 122 3" xfId="18254"/>
    <cellStyle name="Note 122 2 2" xfId="18255"/>
    <cellStyle name="Note 123 3" xfId="18256"/>
    <cellStyle name="Note 123 2 2" xfId="18257"/>
    <cellStyle name="Note 124 3" xfId="18258"/>
    <cellStyle name="Note 124 2 2" xfId="18259"/>
    <cellStyle name="Note 125 3" xfId="18260"/>
    <cellStyle name="Note 125 2 2" xfId="18261"/>
    <cellStyle name="Note 126 3" xfId="18262"/>
    <cellStyle name="Note 126 2 2" xfId="18263"/>
    <cellStyle name="Note 127 3" xfId="18264"/>
    <cellStyle name="Note 127 2 2" xfId="18265"/>
    <cellStyle name="Note 128 3" xfId="18266"/>
    <cellStyle name="Note 128 2 2" xfId="18267"/>
    <cellStyle name="Note 129 3" xfId="18268"/>
    <cellStyle name="Note 129 2 2" xfId="18269"/>
    <cellStyle name="Note 13 4" xfId="18270"/>
    <cellStyle name="Note 13 2 3" xfId="18271"/>
    <cellStyle name="Note 13 2 2 2" xfId="18272"/>
    <cellStyle name="Note 13 3 2" xfId="18273"/>
    <cellStyle name="Note 130 3" xfId="18274"/>
    <cellStyle name="Note 130 2 2" xfId="18275"/>
    <cellStyle name="Note 131 3" xfId="18276"/>
    <cellStyle name="Note 131 2 2" xfId="18277"/>
    <cellStyle name="Note 132 3" xfId="18278"/>
    <cellStyle name="Note 132 2 2" xfId="18279"/>
    <cellStyle name="Note 133 3" xfId="18280"/>
    <cellStyle name="Note 133 2 2" xfId="18281"/>
    <cellStyle name="Note 134 3" xfId="18282"/>
    <cellStyle name="Note 134 2 2" xfId="18283"/>
    <cellStyle name="Note 135 3" xfId="18284"/>
    <cellStyle name="Note 135 2 2" xfId="18285"/>
    <cellStyle name="Note 136 3" xfId="18286"/>
    <cellStyle name="Note 136 2 2" xfId="18287"/>
    <cellStyle name="Note 137 3" xfId="18288"/>
    <cellStyle name="Note 137 2 2" xfId="18289"/>
    <cellStyle name="Note 138 3" xfId="18290"/>
    <cellStyle name="Note 138 2 2" xfId="18291"/>
    <cellStyle name="Note 139 3" xfId="18292"/>
    <cellStyle name="Note 139 2 2" xfId="18293"/>
    <cellStyle name="Note 14 4" xfId="18294"/>
    <cellStyle name="Note 14 2 3" xfId="18295"/>
    <cellStyle name="Note 14 2 2 2" xfId="18296"/>
    <cellStyle name="Note 14 3 2" xfId="18297"/>
    <cellStyle name="Note 140 3" xfId="18298"/>
    <cellStyle name="Note 140 2 2" xfId="18299"/>
    <cellStyle name="Note 141 3" xfId="18300"/>
    <cellStyle name="Note 141 2 2" xfId="18301"/>
    <cellStyle name="Note 142 3" xfId="18302"/>
    <cellStyle name="Note 142 2 2" xfId="18303"/>
    <cellStyle name="Note 143 3" xfId="18304"/>
    <cellStyle name="Note 143 2 2" xfId="18305"/>
    <cellStyle name="Note 144 3" xfId="18306"/>
    <cellStyle name="Note 144 2 2" xfId="18307"/>
    <cellStyle name="Note 145 3" xfId="18308"/>
    <cellStyle name="Note 145 2 2" xfId="18309"/>
    <cellStyle name="Note 146 3" xfId="18310"/>
    <cellStyle name="Note 146 2 2" xfId="18311"/>
    <cellStyle name="Note 147 3" xfId="18312"/>
    <cellStyle name="Note 147 2 2" xfId="18313"/>
    <cellStyle name="Note 148 3" xfId="18314"/>
    <cellStyle name="Note 148 2 2" xfId="18315"/>
    <cellStyle name="Note 149 3" xfId="18316"/>
    <cellStyle name="Note 149 2 2" xfId="18317"/>
    <cellStyle name="Note 15 4" xfId="18318"/>
    <cellStyle name="Note 15 2 3" xfId="18319"/>
    <cellStyle name="Note 15 2 2 2" xfId="18320"/>
    <cellStyle name="Note 15 3 2" xfId="18321"/>
    <cellStyle name="Note 150 3" xfId="18322"/>
    <cellStyle name="Note 150 2 2" xfId="18323"/>
    <cellStyle name="Note 151 3" xfId="18324"/>
    <cellStyle name="Note 151 2 2" xfId="18325"/>
    <cellStyle name="Note 152 3" xfId="18326"/>
    <cellStyle name="Note 152 2 2" xfId="18327"/>
    <cellStyle name="Note 153 3" xfId="18328"/>
    <cellStyle name="Note 153 2 2" xfId="18329"/>
    <cellStyle name="Note 154 3" xfId="18330"/>
    <cellStyle name="Note 154 2 2" xfId="18331"/>
    <cellStyle name="Note 155 3" xfId="18332"/>
    <cellStyle name="Note 155 2 2" xfId="18333"/>
    <cellStyle name="Note 156 3" xfId="18334"/>
    <cellStyle name="Note 156 2 2" xfId="18335"/>
    <cellStyle name="Note 157 3" xfId="18336"/>
    <cellStyle name="Note 157 2 2" xfId="18337"/>
    <cellStyle name="Note 158 3" xfId="18338"/>
    <cellStyle name="Note 158 2 2" xfId="18339"/>
    <cellStyle name="Note 159 3" xfId="18340"/>
    <cellStyle name="Note 159 2 2" xfId="18341"/>
    <cellStyle name="Note 16 4" xfId="18342"/>
    <cellStyle name="Note 16 2 3" xfId="18343"/>
    <cellStyle name="Note 16 2 2 2" xfId="18344"/>
    <cellStyle name="Note 16 3 2" xfId="18345"/>
    <cellStyle name="Note 160 3" xfId="18346"/>
    <cellStyle name="Note 160 2 2" xfId="18347"/>
    <cellStyle name="Note 161 3" xfId="18348"/>
    <cellStyle name="Note 161 2 2" xfId="18349"/>
    <cellStyle name="Note 162 3" xfId="18350"/>
    <cellStyle name="Note 162 2 2" xfId="18351"/>
    <cellStyle name="Note 163 3" xfId="18352"/>
    <cellStyle name="Note 163 2 2" xfId="18353"/>
    <cellStyle name="Note 164 3" xfId="18354"/>
    <cellStyle name="Note 164 2 2" xfId="18355"/>
    <cellStyle name="Note 165 2" xfId="18356"/>
    <cellStyle name="Note 166 2" xfId="18357"/>
    <cellStyle name="Note 167 2" xfId="18358"/>
    <cellStyle name="Note 168 2" xfId="18359"/>
    <cellStyle name="Note 17 4" xfId="18360"/>
    <cellStyle name="Note 17 2 3" xfId="18361"/>
    <cellStyle name="Note 17 2 2 2" xfId="18362"/>
    <cellStyle name="Note 17 3 2" xfId="18363"/>
    <cellStyle name="Note 18 4" xfId="18364"/>
    <cellStyle name="Note 18 2 3" xfId="18365"/>
    <cellStyle name="Note 18 2 2 2" xfId="18366"/>
    <cellStyle name="Note 18 3 2" xfId="18367"/>
    <cellStyle name="Note 19 4" xfId="18368"/>
    <cellStyle name="Note 19 2 3" xfId="18369"/>
    <cellStyle name="Note 19 2 2 2" xfId="18370"/>
    <cellStyle name="Note 19 3 2" xfId="18371"/>
    <cellStyle name="Note 2 5" xfId="18372"/>
    <cellStyle name="Note 2 2 4" xfId="18373"/>
    <cellStyle name="Note 2 2 2 3" xfId="18374"/>
    <cellStyle name="Note 2 2 2 2 2" xfId="18375"/>
    <cellStyle name="Note 2 2 3 2" xfId="18376"/>
    <cellStyle name="Note 2 3 3" xfId="18377"/>
    <cellStyle name="Note 2 3 2 2" xfId="18378"/>
    <cellStyle name="Note 2 4 2" xfId="18379"/>
    <cellStyle name="Note 20 4" xfId="18380"/>
    <cellStyle name="Note 20 2 3" xfId="18381"/>
    <cellStyle name="Note 20 2 2 2" xfId="18382"/>
    <cellStyle name="Note 20 3 2" xfId="18383"/>
    <cellStyle name="Note 21 4" xfId="18384"/>
    <cellStyle name="Note 21 2 3" xfId="18385"/>
    <cellStyle name="Note 21 2 2 2" xfId="18386"/>
    <cellStyle name="Note 21 3 2" xfId="18387"/>
    <cellStyle name="Note 22 4" xfId="18388"/>
    <cellStyle name="Note 22 2 3" xfId="18389"/>
    <cellStyle name="Note 22 2 2 2" xfId="18390"/>
    <cellStyle name="Note 22 3 2" xfId="18391"/>
    <cellStyle name="Note 23 4" xfId="18392"/>
    <cellStyle name="Note 23 2 3" xfId="18393"/>
    <cellStyle name="Note 23 2 2 2" xfId="18394"/>
    <cellStyle name="Note 23 3 2" xfId="18395"/>
    <cellStyle name="Note 24 4" xfId="18396"/>
    <cellStyle name="Note 24 2 3" xfId="18397"/>
    <cellStyle name="Note 24 2 2 2" xfId="18398"/>
    <cellStyle name="Note 24 3 2" xfId="18399"/>
    <cellStyle name="Note 25 4" xfId="18400"/>
    <cellStyle name="Note 25 2 3" xfId="18401"/>
    <cellStyle name="Note 25 2 2 2" xfId="18402"/>
    <cellStyle name="Note 25 3 2" xfId="18403"/>
    <cellStyle name="Note 26 4" xfId="18404"/>
    <cellStyle name="Note 26 2 3" xfId="18405"/>
    <cellStyle name="Note 26 2 2 2" xfId="18406"/>
    <cellStyle name="Note 26 3 2" xfId="18407"/>
    <cellStyle name="Note 27 4" xfId="18408"/>
    <cellStyle name="Note 27 2 3" xfId="18409"/>
    <cellStyle name="Note 27 2 2 2" xfId="18410"/>
    <cellStyle name="Note 27 3 2" xfId="18411"/>
    <cellStyle name="Note 28 4" xfId="18412"/>
    <cellStyle name="Note 28 2 3" xfId="18413"/>
    <cellStyle name="Note 28 2 2 2" xfId="18414"/>
    <cellStyle name="Note 28 3 2" xfId="18415"/>
    <cellStyle name="Note 29 4" xfId="18416"/>
    <cellStyle name="Note 29 2 3" xfId="18417"/>
    <cellStyle name="Note 29 2 2 2" xfId="18418"/>
    <cellStyle name="Note 29 3 2" xfId="18419"/>
    <cellStyle name="Note 3 5" xfId="18420"/>
    <cellStyle name="Note 3 2 4" xfId="18421"/>
    <cellStyle name="Note 3 2 2 3" xfId="18422"/>
    <cellStyle name="Note 3 2 2 2 2" xfId="18423"/>
    <cellStyle name="Note 3 2 3 2" xfId="18424"/>
    <cellStyle name="Note 3 3 3" xfId="18425"/>
    <cellStyle name="Note 3 3 2 2" xfId="18426"/>
    <cellStyle name="Note 3 4 2" xfId="18427"/>
    <cellStyle name="Note 30 4" xfId="18428"/>
    <cellStyle name="Note 30 2 3" xfId="18429"/>
    <cellStyle name="Note 30 2 2 2" xfId="18430"/>
    <cellStyle name="Note 30 3 2" xfId="18431"/>
    <cellStyle name="Note 31 4" xfId="18432"/>
    <cellStyle name="Note 31 2 3" xfId="18433"/>
    <cellStyle name="Note 31 2 2 2" xfId="18434"/>
    <cellStyle name="Note 31 3 2" xfId="18435"/>
    <cellStyle name="Note 32 4" xfId="18436"/>
    <cellStyle name="Note 32 2 3" xfId="18437"/>
    <cellStyle name="Note 32 2 2 2" xfId="18438"/>
    <cellStyle name="Note 32 3 2" xfId="18439"/>
    <cellStyle name="Note 33 4" xfId="18440"/>
    <cellStyle name="Note 33 2 3" xfId="18441"/>
    <cellStyle name="Note 33 2 2 2" xfId="18442"/>
    <cellStyle name="Note 33 3 2" xfId="18443"/>
    <cellStyle name="Note 34 4" xfId="18444"/>
    <cellStyle name="Note 34 2 3" xfId="18445"/>
    <cellStyle name="Note 34 2 2 2" xfId="18446"/>
    <cellStyle name="Note 34 3 2" xfId="18447"/>
    <cellStyle name="Note 35 4" xfId="18448"/>
    <cellStyle name="Note 35 2 3" xfId="18449"/>
    <cellStyle name="Note 35 2 2 2" xfId="18450"/>
    <cellStyle name="Note 35 3 2" xfId="18451"/>
    <cellStyle name="Note 36 4" xfId="18452"/>
    <cellStyle name="Note 36 2 3" xfId="18453"/>
    <cellStyle name="Note 36 2 2 2" xfId="18454"/>
    <cellStyle name="Note 36 3 2" xfId="18455"/>
    <cellStyle name="Note 37 4" xfId="18456"/>
    <cellStyle name="Note 37 2 3" xfId="18457"/>
    <cellStyle name="Note 37 2 2 2" xfId="18458"/>
    <cellStyle name="Note 37 3 2" xfId="18459"/>
    <cellStyle name="Note 38 4" xfId="18460"/>
    <cellStyle name="Note 38 2 3" xfId="18461"/>
    <cellStyle name="Note 38 2 2 2" xfId="18462"/>
    <cellStyle name="Note 38 3 2" xfId="18463"/>
    <cellStyle name="Note 39 4" xfId="18464"/>
    <cellStyle name="Note 39 2 3" xfId="18465"/>
    <cellStyle name="Note 39 2 2 2" xfId="18466"/>
    <cellStyle name="Note 39 3 2" xfId="18467"/>
    <cellStyle name="Note 4 5" xfId="18468"/>
    <cellStyle name="Note 4 2 4" xfId="18469"/>
    <cellStyle name="Note 4 2 2 3" xfId="18470"/>
    <cellStyle name="Note 4 2 2 2 2" xfId="18471"/>
    <cellStyle name="Note 4 2 3 2" xfId="18472"/>
    <cellStyle name="Note 4 3 3" xfId="18473"/>
    <cellStyle name="Note 4 3 2 2" xfId="18474"/>
    <cellStyle name="Note 4 4 2" xfId="18475"/>
    <cellStyle name="Note 40 4" xfId="18476"/>
    <cellStyle name="Note 40 2 3" xfId="18477"/>
    <cellStyle name="Note 40 2 2 2" xfId="18478"/>
    <cellStyle name="Note 40 3 2" xfId="18479"/>
    <cellStyle name="Note 41 4" xfId="18480"/>
    <cellStyle name="Note 41 2 3" xfId="18481"/>
    <cellStyle name="Note 41 2 2 2" xfId="18482"/>
    <cellStyle name="Note 41 3 2" xfId="18483"/>
    <cellStyle name="Note 42 4" xfId="18484"/>
    <cellStyle name="Note 42 2 3" xfId="18485"/>
    <cellStyle name="Note 42 2 2 2" xfId="18486"/>
    <cellStyle name="Note 42 3 2" xfId="18487"/>
    <cellStyle name="Note 43 4" xfId="18488"/>
    <cellStyle name="Note 43 2 3" xfId="18489"/>
    <cellStyle name="Note 43 2 2 2" xfId="18490"/>
    <cellStyle name="Note 43 3 2" xfId="18491"/>
    <cellStyle name="Note 44 4" xfId="18492"/>
    <cellStyle name="Note 44 2 3" xfId="18493"/>
    <cellStyle name="Note 44 2 2 2" xfId="18494"/>
    <cellStyle name="Note 44 3 2" xfId="18495"/>
    <cellStyle name="Note 45 4" xfId="18496"/>
    <cellStyle name="Note 45 2 3" xfId="18497"/>
    <cellStyle name="Note 45 2 2 2" xfId="18498"/>
    <cellStyle name="Note 45 3 2" xfId="18499"/>
    <cellStyle name="Note 46 4" xfId="18500"/>
    <cellStyle name="Note 46 2 3" xfId="18501"/>
    <cellStyle name="Note 46 2 2 2" xfId="18502"/>
    <cellStyle name="Note 46 3 2" xfId="18503"/>
    <cellStyle name="Note 47 4" xfId="18504"/>
    <cellStyle name="Note 47 2 3" xfId="18505"/>
    <cellStyle name="Note 47 2 2 2" xfId="18506"/>
    <cellStyle name="Note 47 3 2" xfId="18507"/>
    <cellStyle name="Note 48 4" xfId="18508"/>
    <cellStyle name="Note 48 2 3" xfId="18509"/>
    <cellStyle name="Note 48 2 2 2" xfId="18510"/>
    <cellStyle name="Note 48 3 2" xfId="18511"/>
    <cellStyle name="Note 49 4" xfId="18512"/>
    <cellStyle name="Note 49 2 3" xfId="18513"/>
    <cellStyle name="Note 49 2 2 2" xfId="18514"/>
    <cellStyle name="Note 49 3 2" xfId="18515"/>
    <cellStyle name="Note 5 5" xfId="18516"/>
    <cellStyle name="Note 5 2 4" xfId="18517"/>
    <cellStyle name="Note 5 2 2 3" xfId="18518"/>
    <cellStyle name="Note 5 2 2 2 2" xfId="18519"/>
    <cellStyle name="Note 5 2 3 2" xfId="18520"/>
    <cellStyle name="Note 5 3 3" xfId="18521"/>
    <cellStyle name="Note 5 3 2 2" xfId="18522"/>
    <cellStyle name="Note 5 4 2" xfId="18523"/>
    <cellStyle name="Note 50 4" xfId="18524"/>
    <cellStyle name="Note 50 2 3" xfId="18525"/>
    <cellStyle name="Note 50 2 2 2" xfId="18526"/>
    <cellStyle name="Note 50 3 2" xfId="18527"/>
    <cellStyle name="Note 51 4" xfId="18528"/>
    <cellStyle name="Note 51 2 3" xfId="18529"/>
    <cellStyle name="Note 51 2 2 2" xfId="18530"/>
    <cellStyle name="Note 51 3 2" xfId="18531"/>
    <cellStyle name="Note 52 4" xfId="18532"/>
    <cellStyle name="Note 52 2 3" xfId="18533"/>
    <cellStyle name="Note 52 2 2 2" xfId="18534"/>
    <cellStyle name="Note 52 3 2" xfId="18535"/>
    <cellStyle name="Note 53 4" xfId="18536"/>
    <cellStyle name="Note 53 2 3" xfId="18537"/>
    <cellStyle name="Note 53 2 2 2" xfId="18538"/>
    <cellStyle name="Note 53 3 2" xfId="18539"/>
    <cellStyle name="Note 54 4" xfId="18540"/>
    <cellStyle name="Note 54 2 3" xfId="18541"/>
    <cellStyle name="Note 54 2 2 2" xfId="18542"/>
    <cellStyle name="Note 54 3 2" xfId="18543"/>
    <cellStyle name="Note 55 4" xfId="18544"/>
    <cellStyle name="Note 55 2 3" xfId="18545"/>
    <cellStyle name="Note 55 2 2 2" xfId="18546"/>
    <cellStyle name="Note 55 3 2" xfId="18547"/>
    <cellStyle name="Note 56 4" xfId="18548"/>
    <cellStyle name="Note 56 2 3" xfId="18549"/>
    <cellStyle name="Note 56 2 2 2" xfId="18550"/>
    <cellStyle name="Note 56 3 2" xfId="18551"/>
    <cellStyle name="Note 57 4" xfId="18552"/>
    <cellStyle name="Note 57 2 3" xfId="18553"/>
    <cellStyle name="Note 57 2 2 2" xfId="18554"/>
    <cellStyle name="Note 57 3 2" xfId="18555"/>
    <cellStyle name="Note 58 4" xfId="18556"/>
    <cellStyle name="Note 58 2 3" xfId="18557"/>
    <cellStyle name="Note 58 2 2 2" xfId="18558"/>
    <cellStyle name="Note 58 3 2" xfId="18559"/>
    <cellStyle name="Note 59 4" xfId="18560"/>
    <cellStyle name="Note 59 2 3" xfId="18561"/>
    <cellStyle name="Note 59 2 2 2" xfId="18562"/>
    <cellStyle name="Note 59 3 2" xfId="18563"/>
    <cellStyle name="Note 6 4" xfId="18564"/>
    <cellStyle name="Note 6 2 3" xfId="18565"/>
    <cellStyle name="Note 6 2 2 2" xfId="18566"/>
    <cellStyle name="Note 6 3 2" xfId="18567"/>
    <cellStyle name="Note 60 4" xfId="18568"/>
    <cellStyle name="Note 60 2 3" xfId="18569"/>
    <cellStyle name="Note 60 2 2 2" xfId="18570"/>
    <cellStyle name="Note 60 3 2" xfId="18571"/>
    <cellStyle name="Note 61 3" xfId="18572"/>
    <cellStyle name="Note 61 2 2" xfId="18573"/>
    <cellStyle name="Note 62 3" xfId="18574"/>
    <cellStyle name="Note 62 2 2" xfId="18575"/>
    <cellStyle name="Note 63 3" xfId="18576"/>
    <cellStyle name="Note 63 2 2" xfId="18577"/>
    <cellStyle name="Note 64 3" xfId="18578"/>
    <cellStyle name="Note 64 2 2" xfId="18579"/>
    <cellStyle name="Note 65 3" xfId="18580"/>
    <cellStyle name="Note 65 2 2" xfId="18581"/>
    <cellStyle name="Note 66 3" xfId="18582"/>
    <cellStyle name="Note 66 2 2" xfId="18583"/>
    <cellStyle name="Note 67 3" xfId="18584"/>
    <cellStyle name="Note 67 2 2" xfId="18585"/>
    <cellStyle name="Note 68 3" xfId="18586"/>
    <cellStyle name="Note 68 2 2" xfId="18587"/>
    <cellStyle name="Note 69 3" xfId="18588"/>
    <cellStyle name="Note 69 2 2" xfId="18589"/>
    <cellStyle name="Note 7 4" xfId="18590"/>
    <cellStyle name="Note 7 2 3" xfId="18591"/>
    <cellStyle name="Note 7 2 2 2" xfId="18592"/>
    <cellStyle name="Note 7 3 2" xfId="18593"/>
    <cellStyle name="Note 70 3" xfId="18594"/>
    <cellStyle name="Note 70 2 2" xfId="18595"/>
    <cellStyle name="Note 71 3" xfId="18596"/>
    <cellStyle name="Note 71 2 2" xfId="18597"/>
    <cellStyle name="Note 72 3" xfId="18598"/>
    <cellStyle name="Note 72 2 2" xfId="18599"/>
    <cellStyle name="Note 73 3" xfId="18600"/>
    <cellStyle name="Note 73 2 2" xfId="18601"/>
    <cellStyle name="Note 74 3" xfId="18602"/>
    <cellStyle name="Note 74 2 2" xfId="18603"/>
    <cellStyle name="Note 75 3" xfId="18604"/>
    <cellStyle name="Note 75 2 2" xfId="18605"/>
    <cellStyle name="Note 76 3" xfId="18606"/>
    <cellStyle name="Note 76 2 2" xfId="18607"/>
    <cellStyle name="Note 77 3" xfId="18608"/>
    <cellStyle name="Note 77 2 2" xfId="18609"/>
    <cellStyle name="Note 78 3" xfId="18610"/>
    <cellStyle name="Note 78 2 2" xfId="18611"/>
    <cellStyle name="Note 79 3" xfId="18612"/>
    <cellStyle name="Note 79 2 2" xfId="18613"/>
    <cellStyle name="Note 8 4" xfId="18614"/>
    <cellStyle name="Note 8 2 3" xfId="18615"/>
    <cellStyle name="Note 8 2 2 2" xfId="18616"/>
    <cellStyle name="Note 8 3 2" xfId="18617"/>
    <cellStyle name="Note 80 3" xfId="18618"/>
    <cellStyle name="Note 80 2 2" xfId="18619"/>
    <cellStyle name="Note 81 3" xfId="18620"/>
    <cellStyle name="Note 81 2 2" xfId="18621"/>
    <cellStyle name="Note 82 3" xfId="18622"/>
    <cellStyle name="Note 82 2 2" xfId="18623"/>
    <cellStyle name="Note 83 3" xfId="18624"/>
    <cellStyle name="Note 83 2 2" xfId="18625"/>
    <cellStyle name="Note 84 3" xfId="18626"/>
    <cellStyle name="Note 84 2 2" xfId="18627"/>
    <cellStyle name="Note 85 3" xfId="18628"/>
    <cellStyle name="Note 85 2 2" xfId="18629"/>
    <cellStyle name="Note 86 3" xfId="18630"/>
    <cellStyle name="Note 86 2 2" xfId="18631"/>
    <cellStyle name="Note 87 3" xfId="18632"/>
    <cellStyle name="Note 87 2 2" xfId="18633"/>
    <cellStyle name="Note 88 3" xfId="18634"/>
    <cellStyle name="Note 88 2 2" xfId="18635"/>
    <cellStyle name="Note 89 3" xfId="18636"/>
    <cellStyle name="Note 89 2 2" xfId="18637"/>
    <cellStyle name="Note 9 4" xfId="18638"/>
    <cellStyle name="Note 9 2 3" xfId="18639"/>
    <cellStyle name="Note 9 2 2 2" xfId="18640"/>
    <cellStyle name="Note 9 3 2" xfId="18641"/>
    <cellStyle name="Note 90 3" xfId="18642"/>
    <cellStyle name="Note 90 2 2" xfId="18643"/>
    <cellStyle name="Note 91 3" xfId="18644"/>
    <cellStyle name="Note 91 2 2" xfId="18645"/>
    <cellStyle name="Note 92 3" xfId="18646"/>
    <cellStyle name="Note 92 2 2" xfId="18647"/>
    <cellStyle name="Note 93 3" xfId="18648"/>
    <cellStyle name="Note 93 2 2" xfId="18649"/>
    <cellStyle name="Note 94 3" xfId="18650"/>
    <cellStyle name="Note 94 2 2" xfId="18651"/>
    <cellStyle name="Note 95 3" xfId="18652"/>
    <cellStyle name="Note 95 2 2" xfId="18653"/>
    <cellStyle name="Note 96 3" xfId="18654"/>
    <cellStyle name="Note 96 2 2" xfId="18655"/>
    <cellStyle name="Note 97 3" xfId="18656"/>
    <cellStyle name="Note 97 2 2" xfId="18657"/>
    <cellStyle name="Note 98 3" xfId="18658"/>
    <cellStyle name="Note 98 2 2" xfId="18659"/>
    <cellStyle name="Note 99 3" xfId="18660"/>
    <cellStyle name="Note 99 2 2" xfId="18661"/>
    <cellStyle name="Notiz 152" xfId="18662"/>
    <cellStyle name="Notiz 10 3" xfId="18663"/>
    <cellStyle name="Notiz 10 2 2" xfId="18664"/>
    <cellStyle name="Notiz 100 3" xfId="18665"/>
    <cellStyle name="Notiz 100 2 2" xfId="18666"/>
    <cellStyle name="Notiz 101 3" xfId="18667"/>
    <cellStyle name="Notiz 101 2 2" xfId="18668"/>
    <cellStyle name="Notiz 102 3" xfId="18669"/>
    <cellStyle name="Notiz 102 2 2" xfId="18670"/>
    <cellStyle name="Notiz 103 3" xfId="18671"/>
    <cellStyle name="Notiz 103 2 2" xfId="18672"/>
    <cellStyle name="Notiz 104 3" xfId="18673"/>
    <cellStyle name="Notiz 104 2 2" xfId="18674"/>
    <cellStyle name="Notiz 105 3" xfId="18675"/>
    <cellStyle name="Notiz 105 2 2" xfId="18676"/>
    <cellStyle name="Notiz 106 3" xfId="18677"/>
    <cellStyle name="Notiz 106 2 2" xfId="18678"/>
    <cellStyle name="Notiz 107 3" xfId="18679"/>
    <cellStyle name="Notiz 107 2 2" xfId="18680"/>
    <cellStyle name="Notiz 108 3" xfId="18681"/>
    <cellStyle name="Notiz 108 2 2" xfId="18682"/>
    <cellStyle name="Notiz 109 3" xfId="18683"/>
    <cellStyle name="Notiz 109 2 2" xfId="18684"/>
    <cellStyle name="Notiz 11 3" xfId="18685"/>
    <cellStyle name="Notiz 11 2 2" xfId="18686"/>
    <cellStyle name="Notiz 110 3" xfId="18687"/>
    <cellStyle name="Notiz 110 2 2" xfId="18688"/>
    <cellStyle name="Notiz 111 3" xfId="18689"/>
    <cellStyle name="Notiz 111 2 2" xfId="18690"/>
    <cellStyle name="Notiz 112 3" xfId="18691"/>
    <cellStyle name="Notiz 112 2 2" xfId="18692"/>
    <cellStyle name="Notiz 113 3" xfId="18693"/>
    <cellStyle name="Notiz 113 2 2" xfId="18694"/>
    <cellStyle name="Notiz 114 3" xfId="18695"/>
    <cellStyle name="Notiz 114 2 2" xfId="18696"/>
    <cellStyle name="Notiz 115 3" xfId="18697"/>
    <cellStyle name="Notiz 115 2 2" xfId="18698"/>
    <cellStyle name="Notiz 116 3" xfId="18699"/>
    <cellStyle name="Notiz 116 2 2" xfId="18700"/>
    <cellStyle name="Notiz 117 3" xfId="18701"/>
    <cellStyle name="Notiz 117 2 2" xfId="18702"/>
    <cellStyle name="Notiz 118 3" xfId="18703"/>
    <cellStyle name="Notiz 118 2 2" xfId="18704"/>
    <cellStyle name="Notiz 119 3" xfId="18705"/>
    <cellStyle name="Notiz 119 2 2" xfId="18706"/>
    <cellStyle name="Notiz 12 3" xfId="18707"/>
    <cellStyle name="Notiz 12 2 2" xfId="18708"/>
    <cellStyle name="Notiz 120 3" xfId="18709"/>
    <cellStyle name="Notiz 120 2 2" xfId="18710"/>
    <cellStyle name="Notiz 121 3" xfId="18711"/>
    <cellStyle name="Notiz 121 2 2" xfId="18712"/>
    <cellStyle name="Notiz 122 3" xfId="18713"/>
    <cellStyle name="Notiz 122 2 2" xfId="18714"/>
    <cellStyle name="Notiz 123 3" xfId="18715"/>
    <cellStyle name="Notiz 123 2 2" xfId="18716"/>
    <cellStyle name="Notiz 124 3" xfId="18717"/>
    <cellStyle name="Notiz 124 2 2" xfId="18718"/>
    <cellStyle name="Notiz 125 3" xfId="18719"/>
    <cellStyle name="Notiz 125 2 2" xfId="18720"/>
    <cellStyle name="Notiz 126 3" xfId="18721"/>
    <cellStyle name="Notiz 126 2 2" xfId="18722"/>
    <cellStyle name="Notiz 127 3" xfId="18723"/>
    <cellStyle name="Notiz 127 2 2" xfId="18724"/>
    <cellStyle name="Notiz 128 3" xfId="18725"/>
    <cellStyle name="Notiz 128 2 2" xfId="18726"/>
    <cellStyle name="Notiz 129 3" xfId="18727"/>
    <cellStyle name="Notiz 129 2 2" xfId="18728"/>
    <cellStyle name="Notiz 13 3" xfId="18729"/>
    <cellStyle name="Notiz 13 2 2" xfId="18730"/>
    <cellStyle name="Notiz 130 3" xfId="18731"/>
    <cellStyle name="Notiz 130 2 2" xfId="18732"/>
    <cellStyle name="Notiz 131 3" xfId="18733"/>
    <cellStyle name="Notiz 131 2 2" xfId="18734"/>
    <cellStyle name="Notiz 132 3" xfId="18735"/>
    <cellStyle name="Notiz 132 2 2" xfId="18736"/>
    <cellStyle name="Notiz 133 3" xfId="18737"/>
    <cellStyle name="Notiz 133 2 2" xfId="18738"/>
    <cellStyle name="Notiz 134 3" xfId="18739"/>
    <cellStyle name="Notiz 134 2 2" xfId="18740"/>
    <cellStyle name="Notiz 135 3" xfId="18741"/>
    <cellStyle name="Notiz 135 2 2" xfId="18742"/>
    <cellStyle name="Notiz 136 3" xfId="18743"/>
    <cellStyle name="Notiz 136 2 2" xfId="18744"/>
    <cellStyle name="Notiz 137 3" xfId="18745"/>
    <cellStyle name="Notiz 137 2 2" xfId="18746"/>
    <cellStyle name="Notiz 138 3" xfId="18747"/>
    <cellStyle name="Notiz 138 2 2" xfId="18748"/>
    <cellStyle name="Notiz 139 3" xfId="18749"/>
    <cellStyle name="Notiz 139 2 2" xfId="18750"/>
    <cellStyle name="Notiz 14 3" xfId="18751"/>
    <cellStyle name="Notiz 14 2 2" xfId="18752"/>
    <cellStyle name="Notiz 140 3" xfId="18753"/>
    <cellStyle name="Notiz 140 2 2" xfId="18754"/>
    <cellStyle name="Notiz 141 3" xfId="18755"/>
    <cellStyle name="Notiz 141 2 2" xfId="18756"/>
    <cellStyle name="Notiz 142 3" xfId="18757"/>
    <cellStyle name="Notiz 142 2 2" xfId="18758"/>
    <cellStyle name="Notiz 143 3" xfId="18759"/>
    <cellStyle name="Notiz 143 2 2" xfId="18760"/>
    <cellStyle name="Notiz 144 3" xfId="18761"/>
    <cellStyle name="Notiz 144 2 2" xfId="18762"/>
    <cellStyle name="Notiz 145 3" xfId="18763"/>
    <cellStyle name="Notiz 145 2 2" xfId="18764"/>
    <cellStyle name="Notiz 146 3" xfId="18765"/>
    <cellStyle name="Notiz 146 2 2" xfId="18766"/>
    <cellStyle name="Notiz 147 3" xfId="18767"/>
    <cellStyle name="Notiz 147 2 2" xfId="18768"/>
    <cellStyle name="Notiz 148 3" xfId="18769"/>
    <cellStyle name="Notiz 148 2 2" xfId="18770"/>
    <cellStyle name="Notiz 149 3" xfId="18771"/>
    <cellStyle name="Notiz 149 2 2" xfId="18772"/>
    <cellStyle name="Notiz 15 4" xfId="18773"/>
    <cellStyle name="Notiz 15 2 3" xfId="18774"/>
    <cellStyle name="Notiz 15 2 2 2" xfId="18775"/>
    <cellStyle name="Notiz 15 3 2" xfId="18776"/>
    <cellStyle name="Notiz 150 3" xfId="18777"/>
    <cellStyle name="Notiz 150 2 2" xfId="18778"/>
    <cellStyle name="Notiz 151 3" xfId="18779"/>
    <cellStyle name="Notiz 151 2 2" xfId="18780"/>
    <cellStyle name="Notiz 16 4" xfId="18781"/>
    <cellStyle name="Notiz 16 2 3" xfId="18782"/>
    <cellStyle name="Notiz 16 2 2 2" xfId="18783"/>
    <cellStyle name="Notiz 16 3 2" xfId="18784"/>
    <cellStyle name="Notiz 17 4" xfId="18785"/>
    <cellStyle name="Notiz 17 2 3" xfId="18786"/>
    <cellStyle name="Notiz 17 2 2 2" xfId="18787"/>
    <cellStyle name="Notiz 17 3 2" xfId="18788"/>
    <cellStyle name="Notiz 18 4" xfId="18789"/>
    <cellStyle name="Notiz 18 2 3" xfId="18790"/>
    <cellStyle name="Notiz 18 2 2 2" xfId="18791"/>
    <cellStyle name="Notiz 18 3 2" xfId="18792"/>
    <cellStyle name="Notiz 19 4" xfId="18793"/>
    <cellStyle name="Notiz 19 2 3" xfId="18794"/>
    <cellStyle name="Notiz 19 2 2 2" xfId="18795"/>
    <cellStyle name="Notiz 19 3 2" xfId="18796"/>
    <cellStyle name="Notiz 2 6" xfId="18797"/>
    <cellStyle name="Notiz 2 2 3" xfId="18798"/>
    <cellStyle name="Notiz 2 2 2 2" xfId="18799"/>
    <cellStyle name="Notiz 2 3 3" xfId="18800"/>
    <cellStyle name="Notiz 2 3 2 2" xfId="18801"/>
    <cellStyle name="Notiz 2 4 3" xfId="18802"/>
    <cellStyle name="Notiz 2 4 2 2" xfId="18803"/>
    <cellStyle name="Notiz 2 5 2" xfId="18804"/>
    <cellStyle name="Notiz 20 4" xfId="18805"/>
    <cellStyle name="Notiz 20 2 3" xfId="18806"/>
    <cellStyle name="Notiz 20 2 2 2" xfId="18807"/>
    <cellStyle name="Notiz 20 3 2" xfId="18808"/>
    <cellStyle name="Notiz 21 4" xfId="18809"/>
    <cellStyle name="Notiz 21 2 3" xfId="18810"/>
    <cellStyle name="Notiz 21 2 2 2" xfId="18811"/>
    <cellStyle name="Notiz 21 3 2" xfId="18812"/>
    <cellStyle name="Notiz 22 4" xfId="18813"/>
    <cellStyle name="Notiz 22 2 3" xfId="18814"/>
    <cellStyle name="Notiz 22 2 2 2" xfId="18815"/>
    <cellStyle name="Notiz 22 3 2" xfId="18816"/>
    <cellStyle name="Notiz 23 4" xfId="18817"/>
    <cellStyle name="Notiz 23 2 3" xfId="18818"/>
    <cellStyle name="Notiz 23 2 2 2" xfId="18819"/>
    <cellStyle name="Notiz 23 3 2" xfId="18820"/>
    <cellStyle name="Notiz 24 4" xfId="18821"/>
    <cellStyle name="Notiz 24 2 3" xfId="18822"/>
    <cellStyle name="Notiz 24 2 2 2" xfId="18823"/>
    <cellStyle name="Notiz 24 3 2" xfId="18824"/>
    <cellStyle name="Notiz 25 4" xfId="18825"/>
    <cellStyle name="Notiz 25 2 3" xfId="18826"/>
    <cellStyle name="Notiz 25 2 2 2" xfId="18827"/>
    <cellStyle name="Notiz 25 3 2" xfId="18828"/>
    <cellStyle name="Notiz 26 4" xfId="18829"/>
    <cellStyle name="Notiz 26 2 3" xfId="18830"/>
    <cellStyle name="Notiz 26 2 2 2" xfId="18831"/>
    <cellStyle name="Notiz 26 3 2" xfId="18832"/>
    <cellStyle name="Notiz 27 4" xfId="18833"/>
    <cellStyle name="Notiz 27 2 3" xfId="18834"/>
    <cellStyle name="Notiz 27 2 2 2" xfId="18835"/>
    <cellStyle name="Notiz 27 3 2" xfId="18836"/>
    <cellStyle name="Notiz 28 4" xfId="18837"/>
    <cellStyle name="Notiz 28 2 3" xfId="18838"/>
    <cellStyle name="Notiz 28 2 2 2" xfId="18839"/>
    <cellStyle name="Notiz 28 3 2" xfId="18840"/>
    <cellStyle name="Notiz 29 4" xfId="18841"/>
    <cellStyle name="Notiz 29 2 3" xfId="18842"/>
    <cellStyle name="Notiz 29 2 2 2" xfId="18843"/>
    <cellStyle name="Notiz 29 3 2" xfId="18844"/>
    <cellStyle name="Notiz 3 6" xfId="18845"/>
    <cellStyle name="Notiz 3 2 3" xfId="18846"/>
    <cellStyle name="Notiz 3 2 2 2" xfId="18847"/>
    <cellStyle name="Notiz 3 3 3" xfId="18848"/>
    <cellStyle name="Notiz 3 3 2 2" xfId="18849"/>
    <cellStyle name="Notiz 3 4 3" xfId="18850"/>
    <cellStyle name="Notiz 3 4 2 2" xfId="18851"/>
    <cellStyle name="Notiz 3 5 2" xfId="18852"/>
    <cellStyle name="Notiz 30 4" xfId="18853"/>
    <cellStyle name="Notiz 30 2 3" xfId="18854"/>
    <cellStyle name="Notiz 30 2 2 2" xfId="18855"/>
    <cellStyle name="Notiz 30 3 2" xfId="18856"/>
    <cellStyle name="Notiz 31 4" xfId="18857"/>
    <cellStyle name="Notiz 31 2 3" xfId="18858"/>
    <cellStyle name="Notiz 31 2 2 2" xfId="18859"/>
    <cellStyle name="Notiz 31 3 2" xfId="18860"/>
    <cellStyle name="Notiz 32 4" xfId="18861"/>
    <cellStyle name="Notiz 32 2 3" xfId="18862"/>
    <cellStyle name="Notiz 32 2 2 2" xfId="18863"/>
    <cellStyle name="Notiz 32 3 2" xfId="18864"/>
    <cellStyle name="Notiz 33 4" xfId="18865"/>
    <cellStyle name="Notiz 33 2 3" xfId="18866"/>
    <cellStyle name="Notiz 33 2 2 2" xfId="18867"/>
    <cellStyle name="Notiz 33 3 2" xfId="18868"/>
    <cellStyle name="Notiz 34 4" xfId="18869"/>
    <cellStyle name="Notiz 34 2 3" xfId="18870"/>
    <cellStyle name="Notiz 34 2 2 2" xfId="18871"/>
    <cellStyle name="Notiz 34 3 2" xfId="18872"/>
    <cellStyle name="Notiz 35 4" xfId="18873"/>
    <cellStyle name="Notiz 35 2 3" xfId="18874"/>
    <cellStyle name="Notiz 35 2 2 2" xfId="18875"/>
    <cellStyle name="Notiz 35 3 2" xfId="18876"/>
    <cellStyle name="Notiz 36 4" xfId="18877"/>
    <cellStyle name="Notiz 36 2 3" xfId="18878"/>
    <cellStyle name="Notiz 36 2 2 2" xfId="18879"/>
    <cellStyle name="Notiz 36 3 2" xfId="18880"/>
    <cellStyle name="Notiz 37 4" xfId="18881"/>
    <cellStyle name="Notiz 37 2 3" xfId="18882"/>
    <cellStyle name="Notiz 37 2 2 2" xfId="18883"/>
    <cellStyle name="Notiz 37 3 2" xfId="18884"/>
    <cellStyle name="Notiz 38 4" xfId="18885"/>
    <cellStyle name="Notiz 38 2 3" xfId="18886"/>
    <cellStyle name="Notiz 38 2 2 2" xfId="18887"/>
    <cellStyle name="Notiz 38 3 2" xfId="18888"/>
    <cellStyle name="Notiz 39 4" xfId="18889"/>
    <cellStyle name="Notiz 39 2 3" xfId="18890"/>
    <cellStyle name="Notiz 39 2 2 2" xfId="18891"/>
    <cellStyle name="Notiz 39 3 2" xfId="18892"/>
    <cellStyle name="Notiz 4 6" xfId="18893"/>
    <cellStyle name="Notiz 4 2 3" xfId="18894"/>
    <cellStyle name="Notiz 4 2 2 2" xfId="18895"/>
    <cellStyle name="Notiz 4 3 3" xfId="18896"/>
    <cellStyle name="Notiz 4 3 2 2" xfId="18897"/>
    <cellStyle name="Notiz 4 4 3" xfId="18898"/>
    <cellStyle name="Notiz 4 4 2 2" xfId="18899"/>
    <cellStyle name="Notiz 4 5 2" xfId="18900"/>
    <cellStyle name="Notiz 40 4" xfId="18901"/>
    <cellStyle name="Notiz 40 2 3" xfId="18902"/>
    <cellStyle name="Notiz 40 2 2 2" xfId="18903"/>
    <cellStyle name="Notiz 40 3 2" xfId="18904"/>
    <cellStyle name="Notiz 41 4" xfId="18905"/>
    <cellStyle name="Notiz 41 2 3" xfId="18906"/>
    <cellStyle name="Notiz 41 2 2 2" xfId="18907"/>
    <cellStyle name="Notiz 41 3 2" xfId="18908"/>
    <cellStyle name="Notiz 42 4" xfId="18909"/>
    <cellStyle name="Notiz 42 2 3" xfId="18910"/>
    <cellStyle name="Notiz 42 2 2 2" xfId="18911"/>
    <cellStyle name="Notiz 42 3 2" xfId="18912"/>
    <cellStyle name="Notiz 43 4" xfId="18913"/>
    <cellStyle name="Notiz 43 2 3" xfId="18914"/>
    <cellStyle name="Notiz 43 2 2 2" xfId="18915"/>
    <cellStyle name="Notiz 43 3 2" xfId="18916"/>
    <cellStyle name="Notiz 44 4" xfId="18917"/>
    <cellStyle name="Notiz 44 2 3" xfId="18918"/>
    <cellStyle name="Notiz 44 2 2 2" xfId="18919"/>
    <cellStyle name="Notiz 44 3 2" xfId="18920"/>
    <cellStyle name="Notiz 45 4" xfId="18921"/>
    <cellStyle name="Notiz 45 2 3" xfId="18922"/>
    <cellStyle name="Notiz 45 2 2 2" xfId="18923"/>
    <cellStyle name="Notiz 45 3 2" xfId="18924"/>
    <cellStyle name="Notiz 46 4" xfId="18925"/>
    <cellStyle name="Notiz 46 2 3" xfId="18926"/>
    <cellStyle name="Notiz 46 2 2 2" xfId="18927"/>
    <cellStyle name="Notiz 46 3 2" xfId="18928"/>
    <cellStyle name="Notiz 47 4" xfId="18929"/>
    <cellStyle name="Notiz 47 2 3" xfId="18930"/>
    <cellStyle name="Notiz 47 2 2 2" xfId="18931"/>
    <cellStyle name="Notiz 47 3 2" xfId="18932"/>
    <cellStyle name="Notiz 48 4" xfId="18933"/>
    <cellStyle name="Notiz 48 2 3" xfId="18934"/>
    <cellStyle name="Notiz 48 2 2 2" xfId="18935"/>
    <cellStyle name="Notiz 48 3 2" xfId="18936"/>
    <cellStyle name="Notiz 49 4" xfId="18937"/>
    <cellStyle name="Notiz 49 2 3" xfId="18938"/>
    <cellStyle name="Notiz 49 2 2 2" xfId="18939"/>
    <cellStyle name="Notiz 49 3 2" xfId="18940"/>
    <cellStyle name="Notiz 5 6" xfId="18941"/>
    <cellStyle name="Notiz 5 2 3" xfId="18942"/>
    <cellStyle name="Notiz 5 2 2 2" xfId="18943"/>
    <cellStyle name="Notiz 5 3 3" xfId="18944"/>
    <cellStyle name="Notiz 5 3 2 2" xfId="18945"/>
    <cellStyle name="Notiz 5 4 3" xfId="18946"/>
    <cellStyle name="Notiz 5 4 2 2" xfId="18947"/>
    <cellStyle name="Notiz 5 5 2" xfId="18948"/>
    <cellStyle name="Notiz 50 4" xfId="18949"/>
    <cellStyle name="Notiz 50 2 3" xfId="18950"/>
    <cellStyle name="Notiz 50 2 2 2" xfId="18951"/>
    <cellStyle name="Notiz 50 3 2" xfId="18952"/>
    <cellStyle name="Notiz 51 4" xfId="18953"/>
    <cellStyle name="Notiz 51 2 3" xfId="18954"/>
    <cellStyle name="Notiz 51 2 2 2" xfId="18955"/>
    <cellStyle name="Notiz 51 3 2" xfId="18956"/>
    <cellStyle name="Notiz 52 4" xfId="18957"/>
    <cellStyle name="Notiz 52 2 3" xfId="18958"/>
    <cellStyle name="Notiz 52 2 2 2" xfId="18959"/>
    <cellStyle name="Notiz 52 3 2" xfId="18960"/>
    <cellStyle name="Notiz 53 4" xfId="18961"/>
    <cellStyle name="Notiz 53 2 3" xfId="18962"/>
    <cellStyle name="Notiz 53 2 2 2" xfId="18963"/>
    <cellStyle name="Notiz 53 3 2" xfId="18964"/>
    <cellStyle name="Notiz 54 4" xfId="18965"/>
    <cellStyle name="Notiz 54 2 3" xfId="18966"/>
    <cellStyle name="Notiz 54 2 2 2" xfId="18967"/>
    <cellStyle name="Notiz 54 3 2" xfId="18968"/>
    <cellStyle name="Notiz 55 4" xfId="18969"/>
    <cellStyle name="Notiz 55 2 3" xfId="18970"/>
    <cellStyle name="Notiz 55 2 2 2" xfId="18971"/>
    <cellStyle name="Notiz 55 3 2" xfId="18972"/>
    <cellStyle name="Notiz 56 4" xfId="18973"/>
    <cellStyle name="Notiz 56 2 3" xfId="18974"/>
    <cellStyle name="Notiz 56 2 2 2" xfId="18975"/>
    <cellStyle name="Notiz 56 3 2" xfId="18976"/>
    <cellStyle name="Notiz 57 4" xfId="18977"/>
    <cellStyle name="Notiz 57 2 3" xfId="18978"/>
    <cellStyle name="Notiz 57 2 2 2" xfId="18979"/>
    <cellStyle name="Notiz 57 3 2" xfId="18980"/>
    <cellStyle name="Notiz 58 4" xfId="18981"/>
    <cellStyle name="Notiz 58 2 3" xfId="18982"/>
    <cellStyle name="Notiz 58 2 2 2" xfId="18983"/>
    <cellStyle name="Notiz 58 3 2" xfId="18984"/>
    <cellStyle name="Notiz 59 4" xfId="18985"/>
    <cellStyle name="Notiz 59 2 3" xfId="18986"/>
    <cellStyle name="Notiz 59 2 2 2" xfId="18987"/>
    <cellStyle name="Notiz 59 3 2" xfId="18988"/>
    <cellStyle name="Notiz 6 3" xfId="18989"/>
    <cellStyle name="Notiz 6 2 2" xfId="18990"/>
    <cellStyle name="Notiz 60 4" xfId="18991"/>
    <cellStyle name="Notiz 60 2 3" xfId="18992"/>
    <cellStyle name="Notiz 60 2 2 2" xfId="18993"/>
    <cellStyle name="Notiz 60 3 2" xfId="18994"/>
    <cellStyle name="Notiz 61 4" xfId="18995"/>
    <cellStyle name="Notiz 61 2 3" xfId="18996"/>
    <cellStyle name="Notiz 61 2 2 2" xfId="18997"/>
    <cellStyle name="Notiz 61 3 2" xfId="18998"/>
    <cellStyle name="Notiz 62 4" xfId="18999"/>
    <cellStyle name="Notiz 62 2 3" xfId="19000"/>
    <cellStyle name="Notiz 62 2 2 2" xfId="19001"/>
    <cellStyle name="Notiz 62 3 2" xfId="19002"/>
    <cellStyle name="Notiz 63 4" xfId="19003"/>
    <cellStyle name="Notiz 63 2 3" xfId="19004"/>
    <cellStyle name="Notiz 63 2 2 2" xfId="19005"/>
    <cellStyle name="Notiz 63 3 2" xfId="19006"/>
    <cellStyle name="Notiz 64 4" xfId="19007"/>
    <cellStyle name="Notiz 64 2 3" xfId="19008"/>
    <cellStyle name="Notiz 64 2 2 2" xfId="19009"/>
    <cellStyle name="Notiz 64 3 2" xfId="19010"/>
    <cellStyle name="Notiz 65 4" xfId="19011"/>
    <cellStyle name="Notiz 65 2 3" xfId="19012"/>
    <cellStyle name="Notiz 65 2 2 2" xfId="19013"/>
    <cellStyle name="Notiz 65 3 2" xfId="19014"/>
    <cellStyle name="Notiz 66 4" xfId="19015"/>
    <cellStyle name="Notiz 66 2 3" xfId="19016"/>
    <cellStyle name="Notiz 66 2 2 2" xfId="19017"/>
    <cellStyle name="Notiz 66 3 2" xfId="19018"/>
    <cellStyle name="Notiz 67 4" xfId="19019"/>
    <cellStyle name="Notiz 67 2 3" xfId="19020"/>
    <cellStyle name="Notiz 67 2 2 2" xfId="19021"/>
    <cellStyle name="Notiz 67 3 2" xfId="19022"/>
    <cellStyle name="Notiz 68 4" xfId="19023"/>
    <cellStyle name="Notiz 68 2 3" xfId="19024"/>
    <cellStyle name="Notiz 68 2 2 2" xfId="19025"/>
    <cellStyle name="Notiz 68 3 2" xfId="19026"/>
    <cellStyle name="Notiz 69 4" xfId="19027"/>
    <cellStyle name="Notiz 69 2 3" xfId="19028"/>
    <cellStyle name="Notiz 69 2 2 2" xfId="19029"/>
    <cellStyle name="Notiz 69 3 2" xfId="19030"/>
    <cellStyle name="Notiz 7 3" xfId="19031"/>
    <cellStyle name="Notiz 7 2 2" xfId="19032"/>
    <cellStyle name="Notiz 70 4" xfId="19033"/>
    <cellStyle name="Notiz 70 2 3" xfId="19034"/>
    <cellStyle name="Notiz 70 2 2 2" xfId="19035"/>
    <cellStyle name="Notiz 70 3 2" xfId="19036"/>
    <cellStyle name="Notiz 71 4" xfId="19037"/>
    <cellStyle name="Notiz 71 2 3" xfId="19038"/>
    <cellStyle name="Notiz 71 2 2 2" xfId="19039"/>
    <cellStyle name="Notiz 71 3 2" xfId="19040"/>
    <cellStyle name="Notiz 72 4" xfId="19041"/>
    <cellStyle name="Notiz 72 2 3" xfId="19042"/>
    <cellStyle name="Notiz 72 2 2 2" xfId="19043"/>
    <cellStyle name="Notiz 72 3 2" xfId="19044"/>
    <cellStyle name="Notiz 73 4" xfId="19045"/>
    <cellStyle name="Notiz 73 2 3" xfId="19046"/>
    <cellStyle name="Notiz 73 2 2 2" xfId="19047"/>
    <cellStyle name="Notiz 73 3 2" xfId="19048"/>
    <cellStyle name="Notiz 74 4" xfId="19049"/>
    <cellStyle name="Notiz 74 2 3" xfId="19050"/>
    <cellStyle name="Notiz 74 2 2 2" xfId="19051"/>
    <cellStyle name="Notiz 74 3 2" xfId="19052"/>
    <cellStyle name="Notiz 75 4" xfId="19053"/>
    <cellStyle name="Notiz 75 2 3" xfId="19054"/>
    <cellStyle name="Notiz 75 2 2 2" xfId="19055"/>
    <cellStyle name="Notiz 75 3 2" xfId="19056"/>
    <cellStyle name="Notiz 76 4" xfId="19057"/>
    <cellStyle name="Notiz 76 2 3" xfId="19058"/>
    <cellStyle name="Notiz 76 2 2 2" xfId="19059"/>
    <cellStyle name="Notiz 76 3 2" xfId="19060"/>
    <cellStyle name="Notiz 77 4" xfId="19061"/>
    <cellStyle name="Notiz 77 2 3" xfId="19062"/>
    <cellStyle name="Notiz 77 2 2 2" xfId="19063"/>
    <cellStyle name="Notiz 77 3 2" xfId="19064"/>
    <cellStyle name="Notiz 78 4" xfId="19065"/>
    <cellStyle name="Notiz 78 2 3" xfId="19066"/>
    <cellStyle name="Notiz 78 2 2 2" xfId="19067"/>
    <cellStyle name="Notiz 78 3 2" xfId="19068"/>
    <cellStyle name="Notiz 79 4" xfId="19069"/>
    <cellStyle name="Notiz 79 2 3" xfId="19070"/>
    <cellStyle name="Notiz 79 2 2 2" xfId="19071"/>
    <cellStyle name="Notiz 79 3 2" xfId="19072"/>
    <cellStyle name="Notiz 8 3" xfId="19073"/>
    <cellStyle name="Notiz 8 2 2" xfId="19074"/>
    <cellStyle name="Notiz 80 4" xfId="19075"/>
    <cellStyle name="Notiz 80 2 3" xfId="19076"/>
    <cellStyle name="Notiz 80 2 2 2" xfId="19077"/>
    <cellStyle name="Notiz 80 3 2" xfId="19078"/>
    <cellStyle name="Notiz 81 4" xfId="19079"/>
    <cellStyle name="Notiz 81 2 3" xfId="19080"/>
    <cellStyle name="Notiz 81 2 2 2" xfId="19081"/>
    <cellStyle name="Notiz 81 3 2" xfId="19082"/>
    <cellStyle name="Notiz 82 4" xfId="19083"/>
    <cellStyle name="Notiz 82 2 3" xfId="19084"/>
    <cellStyle name="Notiz 82 2 2 2" xfId="19085"/>
    <cellStyle name="Notiz 82 3 2" xfId="19086"/>
    <cellStyle name="Notiz 83 4" xfId="19087"/>
    <cellStyle name="Notiz 83 2 3" xfId="19088"/>
    <cellStyle name="Notiz 83 2 2 2" xfId="19089"/>
    <cellStyle name="Notiz 83 3 2" xfId="19090"/>
    <cellStyle name="Notiz 84 4" xfId="19091"/>
    <cellStyle name="Notiz 84 2 3" xfId="19092"/>
    <cellStyle name="Notiz 84 2 2 2" xfId="19093"/>
    <cellStyle name="Notiz 84 3 2" xfId="19094"/>
    <cellStyle name="Notiz 85 4" xfId="19095"/>
    <cellStyle name="Notiz 85 2 3" xfId="19096"/>
    <cellStyle name="Notiz 85 2 2 2" xfId="19097"/>
    <cellStyle name="Notiz 85 3 2" xfId="19098"/>
    <cellStyle name="Notiz 86 4" xfId="19099"/>
    <cellStyle name="Notiz 86 2 3" xfId="19100"/>
    <cellStyle name="Notiz 86 2 2 2" xfId="19101"/>
    <cellStyle name="Notiz 86 3 2" xfId="19102"/>
    <cellStyle name="Notiz 87 4" xfId="19103"/>
    <cellStyle name="Notiz 87 2 3" xfId="19104"/>
    <cellStyle name="Notiz 87 2 2 2" xfId="19105"/>
    <cellStyle name="Notiz 87 3 2" xfId="19106"/>
    <cellStyle name="Notiz 88 4" xfId="19107"/>
    <cellStyle name="Notiz 88 2 3" xfId="19108"/>
    <cellStyle name="Notiz 88 2 2 2" xfId="19109"/>
    <cellStyle name="Notiz 88 3 2" xfId="19110"/>
    <cellStyle name="Notiz 89 4" xfId="19111"/>
    <cellStyle name="Notiz 89 2 3" xfId="19112"/>
    <cellStyle name="Notiz 89 2 2 2" xfId="19113"/>
    <cellStyle name="Notiz 89 3 2" xfId="19114"/>
    <cellStyle name="Notiz 9 3" xfId="19115"/>
    <cellStyle name="Notiz 9 2 2" xfId="19116"/>
    <cellStyle name="Notiz 90 4" xfId="19117"/>
    <cellStyle name="Notiz 90 2 3" xfId="19118"/>
    <cellStyle name="Notiz 90 2 2 2" xfId="19119"/>
    <cellStyle name="Notiz 90 3 2" xfId="19120"/>
    <cellStyle name="Notiz 91 3" xfId="19121"/>
    <cellStyle name="Notiz 91 2 2" xfId="19122"/>
    <cellStyle name="Notiz 92 3" xfId="19123"/>
    <cellStyle name="Notiz 92 2 2" xfId="19124"/>
    <cellStyle name="Notiz 93 3" xfId="19125"/>
    <cellStyle name="Notiz 93 2 2" xfId="19126"/>
    <cellStyle name="Notiz 94 3" xfId="19127"/>
    <cellStyle name="Notiz 94 2 2" xfId="19128"/>
    <cellStyle name="Notiz 95 3" xfId="19129"/>
    <cellStyle name="Notiz 95 2 2" xfId="19130"/>
    <cellStyle name="Notiz 96 3" xfId="19131"/>
    <cellStyle name="Notiz 96 2 2" xfId="19132"/>
    <cellStyle name="Notiz 97 3" xfId="19133"/>
    <cellStyle name="Notiz 97 2 2" xfId="19134"/>
    <cellStyle name="Notiz 98 3" xfId="19135"/>
    <cellStyle name="Notiz 98 2 2" xfId="19136"/>
    <cellStyle name="Notiz 99 3" xfId="19137"/>
    <cellStyle name="Notiz 99 2 2" xfId="19138"/>
    <cellStyle name="Output 2 2" xfId="19139"/>
    <cellStyle name="Percent 2 2" xfId="19140"/>
    <cellStyle name="Percent 3 2" xfId="19141"/>
    <cellStyle name="Promille(0) 2" xfId="19142"/>
    <cellStyle name="Promille(0,00) 2" xfId="19143"/>
    <cellStyle name="Prozent 2 3" xfId="19144"/>
    <cellStyle name="Prozent 2 2 2" xfId="19145"/>
    <cellStyle name="Prozent 3 4" xfId="19146"/>
    <cellStyle name="Prozent 3 2 2" xfId="19147"/>
    <cellStyle name="Prozent 3 3 2" xfId="19148"/>
    <cellStyle name="Prozent 4 2" xfId="19149"/>
    <cellStyle name="Prozent(0) 2" xfId="19150"/>
    <cellStyle name="Prozent(0,00) 2" xfId="19151"/>
    <cellStyle name="SAPBEXaggData 2" xfId="19152"/>
    <cellStyle name="SAPBEXaggDataEmph 2" xfId="19153"/>
    <cellStyle name="SAPBEXaggItem 2" xfId="19154"/>
    <cellStyle name="SAPBEXaggItemX 2" xfId="19155"/>
    <cellStyle name="SAPBEXchaText 2" xfId="19156"/>
    <cellStyle name="SAPBEXexcBad7 2" xfId="19157"/>
    <cellStyle name="SAPBEXexcBad8 2" xfId="19158"/>
    <cellStyle name="SAPBEXexcBad9 2" xfId="19159"/>
    <cellStyle name="SAPBEXexcCritical4 2" xfId="19160"/>
    <cellStyle name="SAPBEXexcCritical5 2" xfId="19161"/>
    <cellStyle name="SAPBEXexcCritical6 2" xfId="19162"/>
    <cellStyle name="SAPBEXexcGood1 2" xfId="19163"/>
    <cellStyle name="SAPBEXexcGood2 2" xfId="19164"/>
    <cellStyle name="SAPBEXexcGood3 2" xfId="19165"/>
    <cellStyle name="SAPBEXfilterDrill 2" xfId="19166"/>
    <cellStyle name="SAPBEXfilterItem 2" xfId="19167"/>
    <cellStyle name="SAPBEXfilterText 2" xfId="19168"/>
    <cellStyle name="SAPBEXformats 2" xfId="19169"/>
    <cellStyle name="SAPBEXheaderItem 2" xfId="19170"/>
    <cellStyle name="SAPBEXheaderText 2" xfId="19171"/>
    <cellStyle name="SAPBEXHLevel0 2" xfId="19172"/>
    <cellStyle name="SAPBEXHLevel0X 2" xfId="19173"/>
    <cellStyle name="SAPBEXHLevel1 2" xfId="19174"/>
    <cellStyle name="SAPBEXHLevel1X 2" xfId="19175"/>
    <cellStyle name="SAPBEXHLevel2 2" xfId="19176"/>
    <cellStyle name="SAPBEXHLevel2X 2" xfId="19177"/>
    <cellStyle name="SAPBEXHLevel3 2" xfId="19178"/>
    <cellStyle name="SAPBEXHLevel3X 2" xfId="19179"/>
    <cellStyle name="SAPBEXresData 2" xfId="19180"/>
    <cellStyle name="SAPBEXresDataEmph 2" xfId="19181"/>
    <cellStyle name="SAPBEXresItem 2" xfId="19182"/>
    <cellStyle name="SAPBEXresItemX 2" xfId="19183"/>
    <cellStyle name="SAPBEXstdData 2" xfId="19184"/>
    <cellStyle name="SAPBEXstdDataEmph 2" xfId="19185"/>
    <cellStyle name="SAPBEXstdItem 2" xfId="19186"/>
    <cellStyle name="SAPBEXstdItemX 2" xfId="19187"/>
    <cellStyle name="SAPBEXtitle 2" xfId="19188"/>
    <cellStyle name="SAPBEXundefined 2" xfId="19189"/>
    <cellStyle name="Schlecht 152" xfId="19190"/>
    <cellStyle name="Schlecht 10 3" xfId="19191"/>
    <cellStyle name="Schlecht 10 2 2" xfId="19192"/>
    <cellStyle name="Schlecht 100 2" xfId="19193"/>
    <cellStyle name="Schlecht 101 2" xfId="19194"/>
    <cellStyle name="Schlecht 102 2" xfId="19195"/>
    <cellStyle name="Schlecht 103 2" xfId="19196"/>
    <cellStyle name="Schlecht 104 2" xfId="19197"/>
    <cellStyle name="Schlecht 105 2" xfId="19198"/>
    <cellStyle name="Schlecht 106 2" xfId="19199"/>
    <cellStyle name="Schlecht 107 2" xfId="19200"/>
    <cellStyle name="Schlecht 108 2" xfId="19201"/>
    <cellStyle name="Schlecht 109 2" xfId="19202"/>
    <cellStyle name="Schlecht 11 3" xfId="19203"/>
    <cellStyle name="Schlecht 11 2 2" xfId="19204"/>
    <cellStyle name="Schlecht 110 2" xfId="19205"/>
    <cellStyle name="Schlecht 111 2" xfId="19206"/>
    <cellStyle name="Schlecht 112 2" xfId="19207"/>
    <cellStyle name="Schlecht 113 2" xfId="19208"/>
    <cellStyle name="Schlecht 114 2" xfId="19209"/>
    <cellStyle name="Schlecht 115 2" xfId="19210"/>
    <cellStyle name="Schlecht 116 2" xfId="19211"/>
    <cellStyle name="Schlecht 117 2" xfId="19212"/>
    <cellStyle name="Schlecht 118 2" xfId="19213"/>
    <cellStyle name="Schlecht 119 2" xfId="19214"/>
    <cellStyle name="Schlecht 12 3" xfId="19215"/>
    <cellStyle name="Schlecht 12 2 2" xfId="19216"/>
    <cellStyle name="Schlecht 120 2" xfId="19217"/>
    <cellStyle name="Schlecht 121 2" xfId="19218"/>
    <cellStyle name="Schlecht 122 2" xfId="19219"/>
    <cellStyle name="Schlecht 123 2" xfId="19220"/>
    <cellStyle name="Schlecht 124 2" xfId="19221"/>
    <cellStyle name="Schlecht 125 2" xfId="19222"/>
    <cellStyle name="Schlecht 126 2" xfId="19223"/>
    <cellStyle name="Schlecht 127 2" xfId="19224"/>
    <cellStyle name="Schlecht 128 2" xfId="19225"/>
    <cellStyle name="Schlecht 129 2" xfId="19226"/>
    <cellStyle name="Schlecht 13 3" xfId="19227"/>
    <cellStyle name="Schlecht 13 2 2" xfId="19228"/>
    <cellStyle name="Schlecht 130 2" xfId="19229"/>
    <cellStyle name="Schlecht 131 2" xfId="19230"/>
    <cellStyle name="Schlecht 132 2" xfId="19231"/>
    <cellStyle name="Schlecht 133 2" xfId="19232"/>
    <cellStyle name="Schlecht 134 2" xfId="19233"/>
    <cellStyle name="Schlecht 135 2" xfId="19234"/>
    <cellStyle name="Schlecht 136 2" xfId="19235"/>
    <cellStyle name="Schlecht 137 2" xfId="19236"/>
    <cellStyle name="Schlecht 138 2" xfId="19237"/>
    <cellStyle name="Schlecht 139 2" xfId="19238"/>
    <cellStyle name="Schlecht 14 3" xfId="19239"/>
    <cellStyle name="Schlecht 14 2 2" xfId="19240"/>
    <cellStyle name="Schlecht 140 2" xfId="19241"/>
    <cellStyle name="Schlecht 141 2" xfId="19242"/>
    <cellStyle name="Schlecht 142 2" xfId="19243"/>
    <cellStyle name="Schlecht 143 2" xfId="19244"/>
    <cellStyle name="Schlecht 144 2" xfId="19245"/>
    <cellStyle name="Schlecht 145 2" xfId="19246"/>
    <cellStyle name="Schlecht 146 2" xfId="19247"/>
    <cellStyle name="Schlecht 147 2" xfId="19248"/>
    <cellStyle name="Schlecht 148 2" xfId="19249"/>
    <cellStyle name="Schlecht 149 2" xfId="19250"/>
    <cellStyle name="Schlecht 15 2" xfId="19251"/>
    <cellStyle name="Schlecht 150 2" xfId="19252"/>
    <cellStyle name="Schlecht 151 2" xfId="19253"/>
    <cellStyle name="Schlecht 16 2" xfId="19254"/>
    <cellStyle name="Schlecht 17 2" xfId="19255"/>
    <cellStyle name="Schlecht 18 2" xfId="19256"/>
    <cellStyle name="Schlecht 19 2" xfId="19257"/>
    <cellStyle name="Schlecht 2 3" xfId="19258"/>
    <cellStyle name="Schlecht 2 2 2" xfId="19259"/>
    <cellStyle name="Schlecht 20 2" xfId="19260"/>
    <cellStyle name="Schlecht 21 2" xfId="19261"/>
    <cellStyle name="Schlecht 22 2" xfId="19262"/>
    <cellStyle name="Schlecht 23 2" xfId="19263"/>
    <cellStyle name="Schlecht 24 2" xfId="19264"/>
    <cellStyle name="Schlecht 25 2" xfId="19265"/>
    <cellStyle name="Schlecht 26 2" xfId="19266"/>
    <cellStyle name="Schlecht 27 2" xfId="19267"/>
    <cellStyle name="Schlecht 28 2" xfId="19268"/>
    <cellStyle name="Schlecht 29 2" xfId="19269"/>
    <cellStyle name="Schlecht 3 3" xfId="19270"/>
    <cellStyle name="Schlecht 3 2 2" xfId="19271"/>
    <cellStyle name="Schlecht 30 2" xfId="19272"/>
    <cellStyle name="Schlecht 31 2" xfId="19273"/>
    <cellStyle name="Schlecht 32 2" xfId="19274"/>
    <cellStyle name="Schlecht 33 2" xfId="19275"/>
    <cellStyle name="Schlecht 34 2" xfId="19276"/>
    <cellStyle name="Schlecht 35 2" xfId="19277"/>
    <cellStyle name="Schlecht 36 2" xfId="19278"/>
    <cellStyle name="Schlecht 37 2" xfId="19279"/>
    <cellStyle name="Schlecht 38 2" xfId="19280"/>
    <cellStyle name="Schlecht 39 2" xfId="19281"/>
    <cellStyle name="Schlecht 4 3" xfId="19282"/>
    <cellStyle name="Schlecht 4 2 2" xfId="19283"/>
    <cellStyle name="Schlecht 40 2" xfId="19284"/>
    <cellStyle name="Schlecht 41 2" xfId="19285"/>
    <cellStyle name="Schlecht 42 2" xfId="19286"/>
    <cellStyle name="Schlecht 43 2" xfId="19287"/>
    <cellStyle name="Schlecht 44 2" xfId="19288"/>
    <cellStyle name="Schlecht 45 2" xfId="19289"/>
    <cellStyle name="Schlecht 46 2" xfId="19290"/>
    <cellStyle name="Schlecht 47 2" xfId="19291"/>
    <cellStyle name="Schlecht 48 2" xfId="19292"/>
    <cellStyle name="Schlecht 49 2" xfId="19293"/>
    <cellStyle name="Schlecht 5 3" xfId="19294"/>
    <cellStyle name="Schlecht 5 2 2" xfId="19295"/>
    <cellStyle name="Schlecht 50 2" xfId="19296"/>
    <cellStyle name="Schlecht 51 2" xfId="19297"/>
    <cellStyle name="Schlecht 52 2" xfId="19298"/>
    <cellStyle name="Schlecht 53 2" xfId="19299"/>
    <cellStyle name="Schlecht 54 2" xfId="19300"/>
    <cellStyle name="Schlecht 55 2" xfId="19301"/>
    <cellStyle name="Schlecht 56 2" xfId="19302"/>
    <cellStyle name="Schlecht 57 2" xfId="19303"/>
    <cellStyle name="Schlecht 58 2" xfId="19304"/>
    <cellStyle name="Schlecht 59 2" xfId="19305"/>
    <cellStyle name="Schlecht 6 3" xfId="19306"/>
    <cellStyle name="Schlecht 6 2 2" xfId="19307"/>
    <cellStyle name="Schlecht 60 2" xfId="19308"/>
    <cellStyle name="Schlecht 61 2" xfId="19309"/>
    <cellStyle name="Schlecht 62 2" xfId="19310"/>
    <cellStyle name="Schlecht 63 2" xfId="19311"/>
    <cellStyle name="Schlecht 64 2" xfId="19312"/>
    <cellStyle name="Schlecht 65 2" xfId="19313"/>
    <cellStyle name="Schlecht 66 2" xfId="19314"/>
    <cellStyle name="Schlecht 67 2" xfId="19315"/>
    <cellStyle name="Schlecht 68 2" xfId="19316"/>
    <cellStyle name="Schlecht 69 2" xfId="19317"/>
    <cellStyle name="Schlecht 7 3" xfId="19318"/>
    <cellStyle name="Schlecht 7 2 2" xfId="19319"/>
    <cellStyle name="Schlecht 70 2" xfId="19320"/>
    <cellStyle name="Schlecht 71 2" xfId="19321"/>
    <cellStyle name="Schlecht 72 2" xfId="19322"/>
    <cellStyle name="Schlecht 73 2" xfId="19323"/>
    <cellStyle name="Schlecht 74 2" xfId="19324"/>
    <cellStyle name="Schlecht 75 2" xfId="19325"/>
    <cellStyle name="Schlecht 76 2" xfId="19326"/>
    <cellStyle name="Schlecht 77 2" xfId="19327"/>
    <cellStyle name="Schlecht 78 2" xfId="19328"/>
    <cellStyle name="Schlecht 79 2" xfId="19329"/>
    <cellStyle name="Schlecht 8 3" xfId="19330"/>
    <cellStyle name="Schlecht 8 2 2" xfId="19331"/>
    <cellStyle name="Schlecht 80 2" xfId="19332"/>
    <cellStyle name="Schlecht 81 2" xfId="19333"/>
    <cellStyle name="Schlecht 82 2" xfId="19334"/>
    <cellStyle name="Schlecht 83 2" xfId="19335"/>
    <cellStyle name="Schlecht 84 2" xfId="19336"/>
    <cellStyle name="Schlecht 85 2" xfId="19337"/>
    <cellStyle name="Schlecht 86 2" xfId="19338"/>
    <cellStyle name="Schlecht 87 2" xfId="19339"/>
    <cellStyle name="Schlecht 88 2" xfId="19340"/>
    <cellStyle name="Schlecht 89 2" xfId="19341"/>
    <cellStyle name="Schlecht 9 3" xfId="19342"/>
    <cellStyle name="Schlecht 9 2 2" xfId="19343"/>
    <cellStyle name="Schlecht 90 2" xfId="19344"/>
    <cellStyle name="Schlecht 91 2" xfId="19345"/>
    <cellStyle name="Schlecht 92 2" xfId="19346"/>
    <cellStyle name="Schlecht 93 2" xfId="19347"/>
    <cellStyle name="Schlecht 94 2" xfId="19348"/>
    <cellStyle name="Schlecht 95 2" xfId="19349"/>
    <cellStyle name="Schlecht 96 2" xfId="19350"/>
    <cellStyle name="Schlecht 97 2" xfId="19351"/>
    <cellStyle name="Schlecht 98 2" xfId="19352"/>
    <cellStyle name="Schlecht 99 2" xfId="19353"/>
    <cellStyle name="Standard 10 9" xfId="19354"/>
    <cellStyle name="Standard 10 2 2" xfId="19355"/>
    <cellStyle name="Standard 10 3 2" xfId="19356"/>
    <cellStyle name="Standard 10 4 6" xfId="19357"/>
    <cellStyle name="Standard 10 4 2 3" xfId="19358"/>
    <cellStyle name="Standard 10 4 2 2 2" xfId="19359"/>
    <cellStyle name="Standard 10 4 3 3" xfId="19360"/>
    <cellStyle name="Standard 10 4 3 2 2" xfId="19361"/>
    <cellStyle name="Standard 10 4 4 2" xfId="19362"/>
    <cellStyle name="Standard 10 4 5 2" xfId="19363"/>
    <cellStyle name="Standard 10 5 3" xfId="19364"/>
    <cellStyle name="Standard 10 5 2 2" xfId="19365"/>
    <cellStyle name="Standard 10 6 2" xfId="19366"/>
    <cellStyle name="Standard 10 7 2" xfId="19367"/>
    <cellStyle name="Standard 10 8 2" xfId="19368"/>
    <cellStyle name="Standard 100 2" xfId="19369"/>
    <cellStyle name="Standard 101 2" xfId="19370"/>
    <cellStyle name="Standard 102 2" xfId="19371"/>
    <cellStyle name="Standard 103 2" xfId="19372"/>
    <cellStyle name="Standard 104 2" xfId="19373"/>
    <cellStyle name="Standard 105 2" xfId="19374"/>
    <cellStyle name="Standard 106 2" xfId="19375"/>
    <cellStyle name="Standard 107 2" xfId="19376"/>
    <cellStyle name="Standard 108 2" xfId="19377"/>
    <cellStyle name="Standard 109 2" xfId="19378"/>
    <cellStyle name="Standard 11 6" xfId="19379"/>
    <cellStyle name="Standard 11 2 3" xfId="19380"/>
    <cellStyle name="Standard 11 2 2 2" xfId="19381"/>
    <cellStyle name="Standard 11 3 2" xfId="19382"/>
    <cellStyle name="Standard 11 4 3" xfId="19383"/>
    <cellStyle name="Standard 11 4 2 2" xfId="19384"/>
    <cellStyle name="Standard 11 5 2" xfId="19385"/>
    <cellStyle name="Standard 110 2" xfId="19386"/>
    <cellStyle name="Standard 111 2" xfId="19387"/>
    <cellStyle name="Standard 112 2" xfId="19388"/>
    <cellStyle name="Standard 113 2" xfId="19389"/>
    <cellStyle name="Standard 114 2" xfId="19390"/>
    <cellStyle name="Standard 115 2" xfId="19391"/>
    <cellStyle name="Standard 116 2" xfId="19392"/>
    <cellStyle name="Standard 117 2" xfId="19393"/>
    <cellStyle name="Standard 118 2" xfId="19394"/>
    <cellStyle name="Standard 119 2" xfId="19395"/>
    <cellStyle name="Standard 12 7" xfId="19396"/>
    <cellStyle name="Standard 12 2 2" xfId="19397"/>
    <cellStyle name="Standard 12 3 2" xfId="19398"/>
    <cellStyle name="Standard 12 4 4" xfId="19399"/>
    <cellStyle name="Standard 12 4 2 3" xfId="19400"/>
    <cellStyle name="Standard 12 4 2 2 2" xfId="19401"/>
    <cellStyle name="Standard 12 4 3 2" xfId="19402"/>
    <cellStyle name="Standard 12 5 2" xfId="19403"/>
    <cellStyle name="Standard 12 6 2" xfId="19404"/>
    <cellStyle name="Standard 120 2" xfId="19405"/>
    <cellStyle name="Standard 121 2" xfId="19406"/>
    <cellStyle name="Standard 122 2" xfId="19407"/>
    <cellStyle name="Standard 123 2" xfId="19408"/>
    <cellStyle name="Standard 124 2" xfId="19409"/>
    <cellStyle name="Standard 125 2" xfId="19410"/>
    <cellStyle name="Standard 126 2" xfId="19411"/>
    <cellStyle name="Standard 127 2" xfId="19412"/>
    <cellStyle name="Standard 128 2" xfId="19413"/>
    <cellStyle name="Standard 129 2" xfId="19414"/>
    <cellStyle name="Standard 13 7" xfId="19415"/>
    <cellStyle name="Standard 13 2 2" xfId="19416"/>
    <cellStyle name="Standard 13 3 2" xfId="19417"/>
    <cellStyle name="Standard 13 4 4" xfId="19418"/>
    <cellStyle name="Standard 13 4 2 3" xfId="19419"/>
    <cellStyle name="Standard 13 4 2 2 2" xfId="19420"/>
    <cellStyle name="Standard 13 4 3 2" xfId="19421"/>
    <cellStyle name="Standard 13 5 2" xfId="19422"/>
    <cellStyle name="Standard 13 6 2" xfId="19423"/>
    <cellStyle name="Standard 131 2 2" xfId="19424"/>
    <cellStyle name="Standard 132 2" xfId="19425"/>
    <cellStyle name="Standard 14 3" xfId="19426"/>
    <cellStyle name="Standard 14 2 2" xfId="19427"/>
    <cellStyle name="Standard 15 5" xfId="19428"/>
    <cellStyle name="Standard 15 2 2" xfId="19429"/>
    <cellStyle name="Standard 15 3 3" xfId="19430"/>
    <cellStyle name="Standard 15 3 2 2" xfId="19431"/>
    <cellStyle name="Standard 15 4 2" xfId="19432"/>
    <cellStyle name="Standard 16 4" xfId="19433"/>
    <cellStyle name="Standard 16 2 3" xfId="19434"/>
    <cellStyle name="Standard 16 2 2 2" xfId="19435"/>
    <cellStyle name="Standard 16 3 2" xfId="19436"/>
    <cellStyle name="Standard 17 4" xfId="19437"/>
    <cellStyle name="Standard 17 2 3" xfId="19438"/>
    <cellStyle name="Standard 17 2 2 2" xfId="19439"/>
    <cellStyle name="Standard 17 3 2" xfId="19440"/>
    <cellStyle name="Standard 18 4" xfId="19441"/>
    <cellStyle name="Standard 18 2 3" xfId="19442"/>
    <cellStyle name="Standard 18 2 2 2" xfId="19443"/>
    <cellStyle name="Standard 18 3 2" xfId="19444"/>
    <cellStyle name="Standard 19 4" xfId="19445"/>
    <cellStyle name="Standard 19 2 3" xfId="19446"/>
    <cellStyle name="Standard 19 2 2 2" xfId="19447"/>
    <cellStyle name="Standard 19 3 2" xfId="19448"/>
    <cellStyle name="Standard 2 9" xfId="19449"/>
    <cellStyle name="Standard 2 2 4" xfId="19450"/>
    <cellStyle name="Standard 2 2 2 3" xfId="19451"/>
    <cellStyle name="Standard 2 2 2 2 2" xfId="19452"/>
    <cellStyle name="Standard 2 2 3 2" xfId="19453"/>
    <cellStyle name="Standard 2 3 4" xfId="19454"/>
    <cellStyle name="Standard 2 3 2 3" xfId="19455"/>
    <cellStyle name="Standard 2 3 2 2 2" xfId="19456"/>
    <cellStyle name="Standard 2 3 3 2" xfId="19457"/>
    <cellStyle name="Standard 2 4 4" xfId="19458"/>
    <cellStyle name="Standard 2 4 2 3" xfId="19459"/>
    <cellStyle name="Standard 2 4 2 2 2" xfId="19460"/>
    <cellStyle name="Standard 2 4 3 2" xfId="19461"/>
    <cellStyle name="Standard 2 5 3" xfId="19462"/>
    <cellStyle name="Standard 2 5 2 2" xfId="19463"/>
    <cellStyle name="Standard 2 6 4" xfId="19464"/>
    <cellStyle name="Standard 2 6 2 3" xfId="19465"/>
    <cellStyle name="Standard 2 6 2 2 2" xfId="19466"/>
    <cellStyle name="Standard 2 6 3 2" xfId="19467"/>
    <cellStyle name="Standard 2 7 2" xfId="19468"/>
    <cellStyle name="Standard 2 8 2" xfId="19469"/>
    <cellStyle name="Standard 20 4" xfId="19470"/>
    <cellStyle name="Standard 20 2 3" xfId="19471"/>
    <cellStyle name="Standard 20 2 2 2" xfId="19472"/>
    <cellStyle name="Standard 20 3 2" xfId="19473"/>
    <cellStyle name="Standard 21 4" xfId="19474"/>
    <cellStyle name="Standard 21 2 3" xfId="19475"/>
    <cellStyle name="Standard 21 2 2 2" xfId="19476"/>
    <cellStyle name="Standard 21 3 2" xfId="19477"/>
    <cellStyle name="Standard 22 4" xfId="19478"/>
    <cellStyle name="Standard 22 2 3" xfId="19479"/>
    <cellStyle name="Standard 22 2 2 2" xfId="19480"/>
    <cellStyle name="Standard 22 3 2" xfId="19481"/>
    <cellStyle name="Standard 23 4" xfId="19482"/>
    <cellStyle name="Standard 23 2 3" xfId="19483"/>
    <cellStyle name="Standard 23 2 2 2" xfId="19484"/>
    <cellStyle name="Standard 23 3 2" xfId="19485"/>
    <cellStyle name="Standard 24 4" xfId="19486"/>
    <cellStyle name="Standard 24 2 3" xfId="19487"/>
    <cellStyle name="Standard 24 2 2 2" xfId="19488"/>
    <cellStyle name="Standard 24 3 2" xfId="19489"/>
    <cellStyle name="Standard 25 4" xfId="19490"/>
    <cellStyle name="Standard 25 2 3" xfId="19491"/>
    <cellStyle name="Standard 25 2 2 2" xfId="19492"/>
    <cellStyle name="Standard 25 3 2" xfId="19493"/>
    <cellStyle name="Standard 26 4" xfId="19494"/>
    <cellStyle name="Standard 26 2 3" xfId="19495"/>
    <cellStyle name="Standard 26 2 2 2" xfId="19496"/>
    <cellStyle name="Standard 26 3 2" xfId="19497"/>
    <cellStyle name="Standard 27 4" xfId="19498"/>
    <cellStyle name="Standard 27 2 3" xfId="19499"/>
    <cellStyle name="Standard 27 2 2 2" xfId="19500"/>
    <cellStyle name="Standard 27 3 2" xfId="19501"/>
    <cellStyle name="Standard 28 4" xfId="19502"/>
    <cellStyle name="Standard 28 2 3" xfId="19503"/>
    <cellStyle name="Standard 28 2 2 2" xfId="19504"/>
    <cellStyle name="Standard 28 3 2" xfId="19505"/>
    <cellStyle name="Standard 29 4" xfId="19506"/>
    <cellStyle name="Standard 29 2 3" xfId="19507"/>
    <cellStyle name="Standard 29 2 2 2" xfId="19508"/>
    <cellStyle name="Standard 29 3 2" xfId="19509"/>
    <cellStyle name="Standard 3 6" xfId="19510"/>
    <cellStyle name="Standard 3 2 2" xfId="19511"/>
    <cellStyle name="Standard 3 3 2" xfId="19512"/>
    <cellStyle name="Standard 3 4 3" xfId="19513"/>
    <cellStyle name="Standard 3 4 2 2" xfId="19514"/>
    <cellStyle name="Standard 3 5 2" xfId="19515"/>
    <cellStyle name="Standard 30 4" xfId="19516"/>
    <cellStyle name="Standard 30 2 3" xfId="19517"/>
    <cellStyle name="Standard 30 2 2 2" xfId="19518"/>
    <cellStyle name="Standard 30 3 2" xfId="19519"/>
    <cellStyle name="Standard 31 4" xfId="19520"/>
    <cellStyle name="Standard 31 2 3" xfId="19521"/>
    <cellStyle name="Standard 31 2 2 2" xfId="19522"/>
    <cellStyle name="Standard 31 3 2" xfId="19523"/>
    <cellStyle name="Standard 32 4" xfId="19524"/>
    <cellStyle name="Standard 32 2 3" xfId="19525"/>
    <cellStyle name="Standard 32 2 2 2" xfId="19526"/>
    <cellStyle name="Standard 32 3 2" xfId="19527"/>
    <cellStyle name="Standard 33 4" xfId="19528"/>
    <cellStyle name="Standard 33 2 3" xfId="19529"/>
    <cellStyle name="Standard 33 2 2 2" xfId="19530"/>
    <cellStyle name="Standard 33 3 2" xfId="19531"/>
    <cellStyle name="Standard 34 4" xfId="19532"/>
    <cellStyle name="Standard 34 2 3" xfId="19533"/>
    <cellStyle name="Standard 34 2 2 2" xfId="19534"/>
    <cellStyle name="Standard 34 3 2" xfId="19535"/>
    <cellStyle name="Standard 35 4" xfId="19536"/>
    <cellStyle name="Standard 35 2 3" xfId="19537"/>
    <cellStyle name="Standard 35 2 2 2" xfId="19538"/>
    <cellStyle name="Standard 35 3 2" xfId="19539"/>
    <cellStyle name="Standard 36 4" xfId="19540"/>
    <cellStyle name="Standard 36 2 3" xfId="19541"/>
    <cellStyle name="Standard 36 2 2 2" xfId="19542"/>
    <cellStyle name="Standard 36 3 2" xfId="19543"/>
    <cellStyle name="Standard 37 4" xfId="19544"/>
    <cellStyle name="Standard 37 2 3" xfId="19545"/>
    <cellStyle name="Standard 37 2 2 2" xfId="19546"/>
    <cellStyle name="Standard 37 3 2" xfId="19547"/>
    <cellStyle name="Standard 38 4" xfId="19548"/>
    <cellStyle name="Standard 38 2 3" xfId="19549"/>
    <cellStyle name="Standard 38 2 2 2" xfId="19550"/>
    <cellStyle name="Standard 38 3 2" xfId="19551"/>
    <cellStyle name="Standard 39 4" xfId="19552"/>
    <cellStyle name="Standard 39 2 3" xfId="19553"/>
    <cellStyle name="Standard 39 2 2 2" xfId="19554"/>
    <cellStyle name="Standard 39 3 2" xfId="19555"/>
    <cellStyle name="Standard 4 6" xfId="19556"/>
    <cellStyle name="Standard 4 2 2" xfId="19557"/>
    <cellStyle name="Standard 4 3 2" xfId="19558"/>
    <cellStyle name="Standard 4 4 3" xfId="19559"/>
    <cellStyle name="Standard 4 4 2 2" xfId="19560"/>
    <cellStyle name="Standard 4 5 2" xfId="19561"/>
    <cellStyle name="Standard 40 4" xfId="19562"/>
    <cellStyle name="Standard 40 2 3" xfId="19563"/>
    <cellStyle name="Standard 40 2 2 2" xfId="19564"/>
    <cellStyle name="Standard 40 3 2" xfId="19565"/>
    <cellStyle name="Standard 41 4" xfId="19566"/>
    <cellStyle name="Standard 41 2 3" xfId="19567"/>
    <cellStyle name="Standard 41 2 2 2" xfId="19568"/>
    <cellStyle name="Standard 41 3 2" xfId="19569"/>
    <cellStyle name="Standard 42 4" xfId="19570"/>
    <cellStyle name="Standard 42 2 3" xfId="19571"/>
    <cellStyle name="Standard 42 2 2 2" xfId="19572"/>
    <cellStyle name="Standard 42 3 2" xfId="19573"/>
    <cellStyle name="Standard 43 4" xfId="19574"/>
    <cellStyle name="Standard 43 2 3" xfId="19575"/>
    <cellStyle name="Standard 43 2 2 2" xfId="19576"/>
    <cellStyle name="Standard 43 3 2" xfId="19577"/>
    <cellStyle name="Standard 44 4" xfId="19578"/>
    <cellStyle name="Standard 44 2 3" xfId="19579"/>
    <cellStyle name="Standard 44 2 2 2" xfId="19580"/>
    <cellStyle name="Standard 44 3 2" xfId="19581"/>
    <cellStyle name="Standard 45 4" xfId="19582"/>
    <cellStyle name="Standard 45 2 3" xfId="19583"/>
    <cellStyle name="Standard 45 2 2 2" xfId="19584"/>
    <cellStyle name="Standard 45 3 2" xfId="19585"/>
    <cellStyle name="Standard 46 4" xfId="19586"/>
    <cellStyle name="Standard 46 2 3" xfId="19587"/>
    <cellStyle name="Standard 46 2 2 2" xfId="19588"/>
    <cellStyle name="Standard 46 3 2" xfId="19589"/>
    <cellStyle name="Standard 47 4" xfId="19590"/>
    <cellStyle name="Standard 47 2 3" xfId="19591"/>
    <cellStyle name="Standard 47 2 2 2" xfId="19592"/>
    <cellStyle name="Standard 47 3 2" xfId="19593"/>
    <cellStyle name="Standard 48 4" xfId="19594"/>
    <cellStyle name="Standard 48 2 3" xfId="19595"/>
    <cellStyle name="Standard 48 2 2 2" xfId="19596"/>
    <cellStyle name="Standard 48 3 2" xfId="19597"/>
    <cellStyle name="Standard 49 4" xfId="19598"/>
    <cellStyle name="Standard 49 2 3" xfId="19599"/>
    <cellStyle name="Standard 49 2 2 2" xfId="19600"/>
    <cellStyle name="Standard 49 3 2" xfId="19601"/>
    <cellStyle name="Standard 5 6" xfId="19602"/>
    <cellStyle name="Standard 5 2 2" xfId="19603"/>
    <cellStyle name="Standard 5 3 2" xfId="19604"/>
    <cellStyle name="Standard 5 4 3" xfId="19605"/>
    <cellStyle name="Standard 5 4 2 2" xfId="19606"/>
    <cellStyle name="Standard 5 5 2" xfId="19607"/>
    <cellStyle name="Standard 50 4" xfId="19608"/>
    <cellStyle name="Standard 50 2 3" xfId="19609"/>
    <cellStyle name="Standard 50 2 2 2" xfId="19610"/>
    <cellStyle name="Standard 50 3 2" xfId="19611"/>
    <cellStyle name="Standard 51 4" xfId="19612"/>
    <cellStyle name="Standard 51 2 3" xfId="19613"/>
    <cellStyle name="Standard 51 2 2 2" xfId="19614"/>
    <cellStyle name="Standard 51 3 2" xfId="19615"/>
    <cellStyle name="Standard 52 4" xfId="19616"/>
    <cellStyle name="Standard 52 2 3" xfId="19617"/>
    <cellStyle name="Standard 52 2 2 2" xfId="19618"/>
    <cellStyle name="Standard 52 3 2" xfId="19619"/>
    <cellStyle name="Standard 53 4" xfId="19620"/>
    <cellStyle name="Standard 53 2 3" xfId="19621"/>
    <cellStyle name="Standard 53 2 2 2" xfId="19622"/>
    <cellStyle name="Standard 53 3 2" xfId="19623"/>
    <cellStyle name="Standard 54 4" xfId="19624"/>
    <cellStyle name="Standard 54 2 3" xfId="19625"/>
    <cellStyle name="Standard 54 2 2 2" xfId="19626"/>
    <cellStyle name="Standard 54 3 2" xfId="19627"/>
    <cellStyle name="Standard 55 2" xfId="19628"/>
    <cellStyle name="Standard 56 4" xfId="19629"/>
    <cellStyle name="Standard 56 2 3" xfId="19630"/>
    <cellStyle name="Standard 56 2 2 2" xfId="19631"/>
    <cellStyle name="Standard 56 3 2" xfId="19632"/>
    <cellStyle name="Standard 57 4" xfId="19633"/>
    <cellStyle name="Standard 57 2 3" xfId="19634"/>
    <cellStyle name="Standard 57 2 2 2" xfId="19635"/>
    <cellStyle name="Standard 57 3 2" xfId="19636"/>
    <cellStyle name="Standard 58 4" xfId="19637"/>
    <cellStyle name="Standard 58 2 3" xfId="19638"/>
    <cellStyle name="Standard 58 2 2 2" xfId="19639"/>
    <cellStyle name="Standard 58 3 2" xfId="19640"/>
    <cellStyle name="Standard 59 4" xfId="19641"/>
    <cellStyle name="Standard 59 2 3" xfId="19642"/>
    <cellStyle name="Standard 59 2 2 2" xfId="19643"/>
    <cellStyle name="Standard 59 3 2" xfId="19644"/>
    <cellStyle name="Standard 6 6" xfId="19645"/>
    <cellStyle name="Standard 6 2 2" xfId="19646"/>
    <cellStyle name="Standard 6 3 2" xfId="19647"/>
    <cellStyle name="Standard 6 4 3" xfId="19648"/>
    <cellStyle name="Standard 6 4 2 2" xfId="19649"/>
    <cellStyle name="Standard 6 5 2" xfId="19650"/>
    <cellStyle name="Standard 60 4" xfId="19651"/>
    <cellStyle name="Standard 60 2 3" xfId="19652"/>
    <cellStyle name="Standard 60 2 2 2" xfId="19653"/>
    <cellStyle name="Standard 60 3 2" xfId="19654"/>
    <cellStyle name="Standard 61 4" xfId="19655"/>
    <cellStyle name="Standard 61 2 3" xfId="19656"/>
    <cellStyle name="Standard 61 2 2 2" xfId="19657"/>
    <cellStyle name="Standard 61 3 2" xfId="19658"/>
    <cellStyle name="Standard 62 4" xfId="19659"/>
    <cellStyle name="Standard 62 2 3" xfId="19660"/>
    <cellStyle name="Standard 62 2 2 2" xfId="19661"/>
    <cellStyle name="Standard 62 3 2" xfId="19662"/>
    <cellStyle name="Standard 63 4" xfId="19663"/>
    <cellStyle name="Standard 63 2 3" xfId="19664"/>
    <cellStyle name="Standard 63 2 2 2" xfId="19665"/>
    <cellStyle name="Standard 63 3 2" xfId="19666"/>
    <cellStyle name="Standard 64 4" xfId="19667"/>
    <cellStyle name="Standard 64 2 3" xfId="19668"/>
    <cellStyle name="Standard 64 2 2 2" xfId="19669"/>
    <cellStyle name="Standard 64 3 2" xfId="19670"/>
    <cellStyle name="Standard 65 4" xfId="19671"/>
    <cellStyle name="Standard 65 2 3" xfId="19672"/>
    <cellStyle name="Standard 65 2 2 2" xfId="19673"/>
    <cellStyle name="Standard 65 3 2" xfId="19674"/>
    <cellStyle name="Standard 66 4" xfId="19675"/>
    <cellStyle name="Standard 66 2 3" xfId="19676"/>
    <cellStyle name="Standard 66 2 2 2" xfId="19677"/>
    <cellStyle name="Standard 66 3 2" xfId="19678"/>
    <cellStyle name="Standard 67 4" xfId="19679"/>
    <cellStyle name="Standard 67 2 3" xfId="19680"/>
    <cellStyle name="Standard 67 2 2 2" xfId="19681"/>
    <cellStyle name="Standard 67 3 2" xfId="19682"/>
    <cellStyle name="Standard 68 4" xfId="19683"/>
    <cellStyle name="Standard 68 2 3" xfId="19684"/>
    <cellStyle name="Standard 68 2 2 2" xfId="19685"/>
    <cellStyle name="Standard 68 3 2" xfId="19686"/>
    <cellStyle name="Standard 69 2" xfId="19687"/>
    <cellStyle name="Standard 7 6" xfId="19688"/>
    <cellStyle name="Standard 7 2 2" xfId="19689"/>
    <cellStyle name="Standard 7 3 2" xfId="19690"/>
    <cellStyle name="Standard 7 4 3" xfId="19691"/>
    <cellStyle name="Standard 7 4 2 2" xfId="19692"/>
    <cellStyle name="Standard 7 5 2" xfId="19693"/>
    <cellStyle name="Standard 70 4" xfId="19694"/>
    <cellStyle name="Standard 70 2 3" xfId="19695"/>
    <cellStyle name="Standard 70 2 2 2" xfId="19696"/>
    <cellStyle name="Standard 70 3 2" xfId="19697"/>
    <cellStyle name="Standard 71 4" xfId="19698"/>
    <cellStyle name="Standard 71 2 3" xfId="19699"/>
    <cellStyle name="Standard 71 2 2 2" xfId="19700"/>
    <cellStyle name="Standard 71 3 2" xfId="19701"/>
    <cellStyle name="Standard 72 4" xfId="19702"/>
    <cellStyle name="Standard 72 2 3" xfId="19703"/>
    <cellStyle name="Standard 72 2 2 2" xfId="19704"/>
    <cellStyle name="Standard 72 3 2" xfId="19705"/>
    <cellStyle name="Standard 73 4" xfId="19706"/>
    <cellStyle name="Standard 73 2 3" xfId="19707"/>
    <cellStyle name="Standard 73 2 2 2" xfId="19708"/>
    <cellStyle name="Standard 73 3 2" xfId="19709"/>
    <cellStyle name="Standard 74 4" xfId="19710"/>
    <cellStyle name="Standard 74 2 3" xfId="19711"/>
    <cellStyle name="Standard 74 2 2 2" xfId="19712"/>
    <cellStyle name="Standard 74 3 2" xfId="19713"/>
    <cellStyle name="Standard 75 4" xfId="19714"/>
    <cellStyle name="Standard 75 2 3" xfId="19715"/>
    <cellStyle name="Standard 75 2 2 2" xfId="19716"/>
    <cellStyle name="Standard 75 3 2" xfId="19717"/>
    <cellStyle name="Standard 76 4" xfId="19718"/>
    <cellStyle name="Standard 76 2 3" xfId="19719"/>
    <cellStyle name="Standard 76 2 2 2" xfId="19720"/>
    <cellStyle name="Standard 76 3 2" xfId="19721"/>
    <cellStyle name="Standard 77 4" xfId="19722"/>
    <cellStyle name="Standard 77 2 3" xfId="19723"/>
    <cellStyle name="Standard 77 2 2 2" xfId="19724"/>
    <cellStyle name="Standard 77 3 2" xfId="19725"/>
    <cellStyle name="Standard 78 4" xfId="19726"/>
    <cellStyle name="Standard 78 2 3" xfId="19727"/>
    <cellStyle name="Standard 78 2 2 2" xfId="19728"/>
    <cellStyle name="Standard 78 3 2" xfId="19729"/>
    <cellStyle name="Standard 79 4" xfId="19730"/>
    <cellStyle name="Standard 79 2 3" xfId="19731"/>
    <cellStyle name="Standard 79 2 2 2" xfId="19732"/>
    <cellStyle name="Standard 79 3 2" xfId="19733"/>
    <cellStyle name="Standard 8 7" xfId="19734"/>
    <cellStyle name="Standard 8 2 2" xfId="19735"/>
    <cellStyle name="Standard 8 3 2" xfId="19736"/>
    <cellStyle name="Standard 8 4 3" xfId="19737"/>
    <cellStyle name="Standard 8 4 2 2" xfId="19738"/>
    <cellStyle name="Standard 8 5 2" xfId="19739"/>
    <cellStyle name="Standard 8 6 2" xfId="19740"/>
    <cellStyle name="Standard 80 4" xfId="19741"/>
    <cellStyle name="Standard 80 2 3" xfId="19742"/>
    <cellStyle name="Standard 80 2 2 2" xfId="19743"/>
    <cellStyle name="Standard 80 3 2" xfId="19744"/>
    <cellStyle name="Standard 81 4" xfId="19745"/>
    <cellStyle name="Standard 81 2 3" xfId="19746"/>
    <cellStyle name="Standard 81 2 2 2" xfId="19747"/>
    <cellStyle name="Standard 81 3 2" xfId="19748"/>
    <cellStyle name="Standard 82 4" xfId="19749"/>
    <cellStyle name="Standard 82 2 3" xfId="19750"/>
    <cellStyle name="Standard 82 2 2 2" xfId="19751"/>
    <cellStyle name="Standard 82 3 2" xfId="19752"/>
    <cellStyle name="Standard 83 4" xfId="19753"/>
    <cellStyle name="Standard 83 2 3" xfId="19754"/>
    <cellStyle name="Standard 83 2 2 2" xfId="19755"/>
    <cellStyle name="Standard 83 3 2" xfId="19756"/>
    <cellStyle name="Standard 84 4" xfId="19757"/>
    <cellStyle name="Standard 84 2 3" xfId="19758"/>
    <cellStyle name="Standard 84 2 2 2" xfId="19759"/>
    <cellStyle name="Standard 84 3 2" xfId="19760"/>
    <cellStyle name="Standard 85 4" xfId="19761"/>
    <cellStyle name="Standard 85 2 3" xfId="19762"/>
    <cellStyle name="Standard 85 2 2 2" xfId="19763"/>
    <cellStyle name="Standard 85 3 2" xfId="19764"/>
    <cellStyle name="Standard 86 4" xfId="19765"/>
    <cellStyle name="Standard 86 2 3" xfId="19766"/>
    <cellStyle name="Standard 86 2 2 2" xfId="19767"/>
    <cellStyle name="Standard 86 3 2" xfId="19768"/>
    <cellStyle name="Standard 87 4" xfId="19769"/>
    <cellStyle name="Standard 87 2 3" xfId="19770"/>
    <cellStyle name="Standard 87 2 2 2" xfId="19771"/>
    <cellStyle name="Standard 87 3 2" xfId="19772"/>
    <cellStyle name="Standard 88 4" xfId="19773"/>
    <cellStyle name="Standard 88 2 3" xfId="19774"/>
    <cellStyle name="Standard 88 2 2 2" xfId="19775"/>
    <cellStyle name="Standard 88 3 2" xfId="19776"/>
    <cellStyle name="Standard 89 4" xfId="19777"/>
    <cellStyle name="Standard 89 2 3" xfId="19778"/>
    <cellStyle name="Standard 89 2 2 2" xfId="19779"/>
    <cellStyle name="Standard 89 3 2" xfId="19780"/>
    <cellStyle name="Standard 9 6" xfId="19781"/>
    <cellStyle name="Standard 9 2 2" xfId="19782"/>
    <cellStyle name="Standard 9 3 2" xfId="19783"/>
    <cellStyle name="Standard 9 4 3" xfId="19784"/>
    <cellStyle name="Standard 9 4 2 2" xfId="19785"/>
    <cellStyle name="Standard 9 5 2" xfId="19786"/>
    <cellStyle name="Standard 90 4" xfId="19787"/>
    <cellStyle name="Standard 90 2 3" xfId="19788"/>
    <cellStyle name="Standard 90 2 2 2" xfId="19789"/>
    <cellStyle name="Standard 90 3 2" xfId="19790"/>
    <cellStyle name="Standard 91 2" xfId="19791"/>
    <cellStyle name="Standard 92 2" xfId="19792"/>
    <cellStyle name="Standard 93 3" xfId="19793"/>
    <cellStyle name="Standard 93 2 2" xfId="19794"/>
    <cellStyle name="Standard 94 2" xfId="19795"/>
    <cellStyle name="Standard 95 2" xfId="19796"/>
    <cellStyle name="Standard 96 2" xfId="19797"/>
    <cellStyle name="Standard 97 2" xfId="19798"/>
    <cellStyle name="Standard 98 2" xfId="19799"/>
    <cellStyle name="Standard 99 2" xfId="19800"/>
    <cellStyle name="Stil 1 2" xfId="19801"/>
    <cellStyle name="Tabelle Text 10 2" xfId="19802"/>
    <cellStyle name="Tabelle Text 10 Z 2" xfId="19803"/>
    <cellStyle name="Tabelle Text 11 2" xfId="19804"/>
    <cellStyle name="Tabelle Text 11 Z 2" xfId="19805"/>
    <cellStyle name="Tabelle Text 12 2" xfId="19806"/>
    <cellStyle name="Tabelle Text 12 Z 2" xfId="19807"/>
    <cellStyle name="Tabelle Text 8 2" xfId="19808"/>
    <cellStyle name="Tabelle Text 8 Z 2" xfId="19809"/>
    <cellStyle name="Tabelle Text 9 2" xfId="19810"/>
    <cellStyle name="Tabelle Text 9 Z 2" xfId="19811"/>
    <cellStyle name="Tabelle Überschrift 10 2" xfId="19812"/>
    <cellStyle name="Tabelle Überschrift 11 2" xfId="19813"/>
    <cellStyle name="Tabelle Überschrift 12 2" xfId="19814"/>
    <cellStyle name="Tabelle Überschrift 8 2" xfId="19815"/>
    <cellStyle name="Tabelle Überschrift 9 2" xfId="19816"/>
    <cellStyle name="Tabelle Zahl 0 10 2" xfId="19817"/>
    <cellStyle name="Tabelle Zahl 0 11 2" xfId="19818"/>
    <cellStyle name="Tabelle Zahl 0 12 2" xfId="19819"/>
    <cellStyle name="Tabelle Zahl 0 8 2" xfId="19820"/>
    <cellStyle name="Tabelle Zahl 0 9 2" xfId="19821"/>
    <cellStyle name="Tabelle Zahl 1 10 2" xfId="19822"/>
    <cellStyle name="Tabelle Zahl 1 11 2" xfId="19823"/>
    <cellStyle name="Tabelle Zahl 1 12 2" xfId="19824"/>
    <cellStyle name="Tabelle Zahl 1 8 2" xfId="19825"/>
    <cellStyle name="Tabelle Zahl 1 9 2" xfId="19826"/>
    <cellStyle name="Tabelle Zahl 2 10 3" xfId="19827"/>
    <cellStyle name="Tabelle Zahl 2 10 2 2" xfId="19828"/>
    <cellStyle name="Tabelle Zahl 2 11 2" xfId="19829"/>
    <cellStyle name="Tabelle Zahl 2 12 2" xfId="19830"/>
    <cellStyle name="Tabelle Zahl 2 8 2" xfId="19831"/>
    <cellStyle name="Tabelle Zahl 2 9 2" xfId="19832"/>
    <cellStyle name="Tonne (0) 2" xfId="19833"/>
    <cellStyle name="Tonne (0,00) 2" xfId="19834"/>
    <cellStyle name="Total 2 2" xfId="19835"/>
    <cellStyle name="Überschr.12f 2" xfId="19836"/>
    <cellStyle name="Überschr.14f 2" xfId="19837"/>
    <cellStyle name="Überschrift 155" xfId="19838"/>
    <cellStyle name="Überschrift 1 152" xfId="19839"/>
    <cellStyle name="Überschrift 1 10 3" xfId="19840"/>
    <cellStyle name="Überschrift 1 10 2 2" xfId="19841"/>
    <cellStyle name="Überschrift 1 100 2" xfId="19842"/>
    <cellStyle name="Überschrift 1 101 2" xfId="19843"/>
    <cellStyle name="Überschrift 1 102 2" xfId="19844"/>
    <cellStyle name="Überschrift 1 103 2" xfId="19845"/>
    <cellStyle name="Überschrift 1 104 2" xfId="19846"/>
    <cellStyle name="Überschrift 1 105 2" xfId="19847"/>
    <cellStyle name="Überschrift 1 106 2" xfId="19848"/>
    <cellStyle name="Überschrift 1 107 2" xfId="19849"/>
    <cellStyle name="Überschrift 1 108 2" xfId="19850"/>
    <cellStyle name="Überschrift 1 109 2" xfId="19851"/>
    <cellStyle name="Überschrift 1 11 3" xfId="19852"/>
    <cellStyle name="Überschrift 1 11 2 2" xfId="19853"/>
    <cellStyle name="Überschrift 1 110 2" xfId="19854"/>
    <cellStyle name="Überschrift 1 111 2" xfId="19855"/>
    <cellStyle name="Überschrift 1 112 2" xfId="19856"/>
    <cellStyle name="Überschrift 1 113 2" xfId="19857"/>
    <cellStyle name="Überschrift 1 114 2" xfId="19858"/>
    <cellStyle name="Überschrift 1 115 2" xfId="19859"/>
    <cellStyle name="Überschrift 1 116 2" xfId="19860"/>
    <cellStyle name="Überschrift 1 117 2" xfId="19861"/>
    <cellStyle name="Überschrift 1 118 2" xfId="19862"/>
    <cellStyle name="Überschrift 1 119 2" xfId="19863"/>
    <cellStyle name="Überschrift 1 12 3" xfId="19864"/>
    <cellStyle name="Überschrift 1 12 2 2" xfId="19865"/>
    <cellStyle name="Überschrift 1 120 2" xfId="19866"/>
    <cellStyle name="Überschrift 1 121 2" xfId="19867"/>
    <cellStyle name="Überschrift 1 122 2" xfId="19868"/>
    <cellStyle name="Überschrift 1 123 2" xfId="19869"/>
    <cellStyle name="Überschrift 1 124 2" xfId="19870"/>
    <cellStyle name="Überschrift 1 125 2" xfId="19871"/>
    <cellStyle name="Überschrift 1 126 2" xfId="19872"/>
    <cellStyle name="Überschrift 1 127 2" xfId="19873"/>
    <cellStyle name="Überschrift 1 128 2" xfId="19874"/>
    <cellStyle name="Überschrift 1 129 2" xfId="19875"/>
    <cellStyle name="Überschrift 1 13 3" xfId="19876"/>
    <cellStyle name="Überschrift 1 13 2 2" xfId="19877"/>
    <cellStyle name="Überschrift 1 130 2" xfId="19878"/>
    <cellStyle name="Überschrift 1 131 2" xfId="19879"/>
    <cellStyle name="Überschrift 1 132 2" xfId="19880"/>
    <cellStyle name="Überschrift 1 133 2" xfId="19881"/>
    <cellStyle name="Überschrift 1 134 2" xfId="19882"/>
    <cellStyle name="Überschrift 1 135 2" xfId="19883"/>
    <cellStyle name="Überschrift 1 136 2" xfId="19884"/>
    <cellStyle name="Überschrift 1 137 2" xfId="19885"/>
    <cellStyle name="Überschrift 1 138 2" xfId="19886"/>
    <cellStyle name="Überschrift 1 139 2" xfId="19887"/>
    <cellStyle name="Überschrift 1 14 3" xfId="19888"/>
    <cellStyle name="Überschrift 1 14 2 2" xfId="19889"/>
    <cellStyle name="Überschrift 1 140 2" xfId="19890"/>
    <cellStyle name="Überschrift 1 141 2" xfId="19891"/>
    <cellStyle name="Überschrift 1 142 2" xfId="19892"/>
    <cellStyle name="Überschrift 1 143 2" xfId="19893"/>
    <cellStyle name="Überschrift 1 144 2" xfId="19894"/>
    <cellStyle name="Überschrift 1 145 2" xfId="19895"/>
    <cellStyle name="Überschrift 1 146 2" xfId="19896"/>
    <cellStyle name="Überschrift 1 147 2" xfId="19897"/>
    <cellStyle name="Überschrift 1 148 2" xfId="19898"/>
    <cellStyle name="Überschrift 1 149 2" xfId="19899"/>
    <cellStyle name="Überschrift 1 15 2" xfId="19900"/>
    <cellStyle name="Überschrift 1 150 2" xfId="19901"/>
    <cellStyle name="Überschrift 1 151 2" xfId="19902"/>
    <cellStyle name="Überschrift 1 16 2" xfId="19903"/>
    <cellStyle name="Überschrift 1 17 2" xfId="19904"/>
    <cellStyle name="Überschrift 1 18 2" xfId="19905"/>
    <cellStyle name="Überschrift 1 19 2" xfId="19906"/>
    <cellStyle name="Überschrift 1 2 3" xfId="19907"/>
    <cellStyle name="Überschrift 1 2 2 2" xfId="19908"/>
    <cellStyle name="Überschrift 1 20 2" xfId="19909"/>
    <cellStyle name="Überschrift 1 21 2" xfId="19910"/>
    <cellStyle name="Überschrift 1 22 2" xfId="19911"/>
    <cellStyle name="Überschrift 1 23 2" xfId="19912"/>
    <cellStyle name="Überschrift 1 24 2" xfId="19913"/>
    <cellStyle name="Überschrift 1 25 2" xfId="19914"/>
    <cellStyle name="Überschrift 1 26 2" xfId="19915"/>
    <cellStyle name="Überschrift 1 27 2" xfId="19916"/>
    <cellStyle name="Überschrift 1 28 2" xfId="19917"/>
    <cellStyle name="Überschrift 1 29 2" xfId="19918"/>
    <cellStyle name="Überschrift 1 3 3" xfId="19919"/>
    <cellStyle name="Überschrift 1 3 2 2" xfId="19920"/>
    <cellStyle name="Überschrift 1 30 2" xfId="19921"/>
    <cellStyle name="Überschrift 1 31 2" xfId="19922"/>
    <cellStyle name="Überschrift 1 32 2" xfId="19923"/>
    <cellStyle name="Überschrift 1 33 2" xfId="19924"/>
    <cellStyle name="Überschrift 1 34 2" xfId="19925"/>
    <cellStyle name="Überschrift 1 35 2" xfId="19926"/>
    <cellStyle name="Überschrift 1 36 2" xfId="19927"/>
    <cellStyle name="Überschrift 1 37 2" xfId="19928"/>
    <cellStyle name="Überschrift 1 38 2" xfId="19929"/>
    <cellStyle name="Überschrift 1 39 2" xfId="19930"/>
    <cellStyle name="Überschrift 1 4 3" xfId="19931"/>
    <cellStyle name="Überschrift 1 4 2 2" xfId="19932"/>
    <cellStyle name="Überschrift 1 40 2" xfId="19933"/>
    <cellStyle name="Überschrift 1 41 2" xfId="19934"/>
    <cellStyle name="Überschrift 1 42 2" xfId="19935"/>
    <cellStyle name="Überschrift 1 43 2" xfId="19936"/>
    <cellStyle name="Überschrift 1 44 2" xfId="19937"/>
    <cellStyle name="Überschrift 1 45 2" xfId="19938"/>
    <cellStyle name="Überschrift 1 46 2" xfId="19939"/>
    <cellStyle name="Überschrift 1 47 2" xfId="19940"/>
    <cellStyle name="Überschrift 1 48 2" xfId="19941"/>
    <cellStyle name="Überschrift 1 49 2" xfId="19942"/>
    <cellStyle name="Überschrift 1 5 3" xfId="19943"/>
    <cellStyle name="Überschrift 1 5 2 2" xfId="19944"/>
    <cellStyle name="Überschrift 1 50 2" xfId="19945"/>
    <cellStyle name="Überschrift 1 51 2" xfId="19946"/>
    <cellStyle name="Überschrift 1 52 2" xfId="19947"/>
    <cellStyle name="Überschrift 1 53 2" xfId="19948"/>
    <cellStyle name="Überschrift 1 54 2" xfId="19949"/>
    <cellStyle name="Überschrift 1 55 2" xfId="19950"/>
    <cellStyle name="Überschrift 1 56 2" xfId="19951"/>
    <cellStyle name="Überschrift 1 57 2" xfId="19952"/>
    <cellStyle name="Überschrift 1 58 2" xfId="19953"/>
    <cellStyle name="Überschrift 1 59 2" xfId="19954"/>
    <cellStyle name="Überschrift 1 6 3" xfId="19955"/>
    <cellStyle name="Überschrift 1 6 2 2" xfId="19956"/>
    <cellStyle name="Überschrift 1 60 2" xfId="19957"/>
    <cellStyle name="Überschrift 1 61 2" xfId="19958"/>
    <cellStyle name="Überschrift 1 62 2" xfId="19959"/>
    <cellStyle name="Überschrift 1 63 2" xfId="19960"/>
    <cellStyle name="Überschrift 1 64 2" xfId="19961"/>
    <cellStyle name="Überschrift 1 65 2" xfId="19962"/>
    <cellStyle name="Überschrift 1 66 2" xfId="19963"/>
    <cellStyle name="Überschrift 1 67 2" xfId="19964"/>
    <cellStyle name="Überschrift 1 68 2" xfId="19965"/>
    <cellStyle name="Überschrift 1 69 2" xfId="19966"/>
    <cellStyle name="Überschrift 1 7 3" xfId="19967"/>
    <cellStyle name="Überschrift 1 7 2 2" xfId="19968"/>
    <cellStyle name="Überschrift 1 70 2" xfId="19969"/>
    <cellStyle name="Überschrift 1 71 2" xfId="19970"/>
    <cellStyle name="Überschrift 1 72 2" xfId="19971"/>
    <cellStyle name="Überschrift 1 73 2" xfId="19972"/>
    <cellStyle name="Überschrift 1 74 2" xfId="19973"/>
    <cellStyle name="Überschrift 1 75 2" xfId="19974"/>
    <cellStyle name="Überschrift 1 76 2" xfId="19975"/>
    <cellStyle name="Überschrift 1 77 2" xfId="19976"/>
    <cellStyle name="Überschrift 1 78 2" xfId="19977"/>
    <cellStyle name="Überschrift 1 79 2" xfId="19978"/>
    <cellStyle name="Überschrift 1 8 3" xfId="19979"/>
    <cellStyle name="Überschrift 1 8 2 2" xfId="19980"/>
    <cellStyle name="Überschrift 1 80 2" xfId="19981"/>
    <cellStyle name="Überschrift 1 81 2" xfId="19982"/>
    <cellStyle name="Überschrift 1 82 2" xfId="19983"/>
    <cellStyle name="Überschrift 1 83 2" xfId="19984"/>
    <cellStyle name="Überschrift 1 84 2" xfId="19985"/>
    <cellStyle name="Überschrift 1 85 2" xfId="19986"/>
    <cellStyle name="Überschrift 1 86 2" xfId="19987"/>
    <cellStyle name="Überschrift 1 87 2" xfId="19988"/>
    <cellStyle name="Überschrift 1 88 2" xfId="19989"/>
    <cellStyle name="Überschrift 1 89 2" xfId="19990"/>
    <cellStyle name="Überschrift 1 9 3" xfId="19991"/>
    <cellStyle name="Überschrift 1 9 2 2" xfId="19992"/>
    <cellStyle name="Überschrift 1 90 2" xfId="19993"/>
    <cellStyle name="Überschrift 1 91 2" xfId="19994"/>
    <cellStyle name="Überschrift 1 92 2" xfId="19995"/>
    <cellStyle name="Überschrift 1 93 2" xfId="19996"/>
    <cellStyle name="Überschrift 1 94 2" xfId="19997"/>
    <cellStyle name="Überschrift 1 95 2" xfId="19998"/>
    <cellStyle name="Überschrift 1 96 2" xfId="19999"/>
    <cellStyle name="Überschrift 1 97 2" xfId="20000"/>
    <cellStyle name="Überschrift 1 98 2" xfId="20001"/>
    <cellStyle name="Überschrift 1 99 2" xfId="20002"/>
    <cellStyle name="Überschrift 10 3" xfId="20003"/>
    <cellStyle name="Überschrift 10 2 2" xfId="20004"/>
    <cellStyle name="Überschrift 100 2" xfId="20005"/>
    <cellStyle name="Überschrift 101 2" xfId="20006"/>
    <cellStyle name="Überschrift 102 2" xfId="20007"/>
    <cellStyle name="Überschrift 103 2" xfId="20008"/>
    <cellStyle name="Überschrift 104 2" xfId="20009"/>
    <cellStyle name="Überschrift 105 2" xfId="20010"/>
    <cellStyle name="Überschrift 106 2" xfId="20011"/>
    <cellStyle name="Überschrift 107 2" xfId="20012"/>
    <cellStyle name="Überschrift 108 2" xfId="20013"/>
    <cellStyle name="Überschrift 109 2" xfId="20014"/>
    <cellStyle name="Überschrift 11 3" xfId="20015"/>
    <cellStyle name="Überschrift 11 2 2" xfId="20016"/>
    <cellStyle name="Überschrift 110 2" xfId="20017"/>
    <cellStyle name="Überschrift 111 2" xfId="20018"/>
    <cellStyle name="Überschrift 112 2" xfId="20019"/>
    <cellStyle name="Überschrift 113 2" xfId="20020"/>
    <cellStyle name="Überschrift 114 2" xfId="20021"/>
    <cellStyle name="Überschrift 115 2" xfId="20022"/>
    <cellStyle name="Überschrift 116 2" xfId="20023"/>
    <cellStyle name="Überschrift 117 2" xfId="20024"/>
    <cellStyle name="Überschrift 118 2" xfId="20025"/>
    <cellStyle name="Überschrift 119 2" xfId="20026"/>
    <cellStyle name="Überschrift 12 3" xfId="20027"/>
    <cellStyle name="Überschrift 12 2 2" xfId="20028"/>
    <cellStyle name="Überschrift 120 2" xfId="20029"/>
    <cellStyle name="Überschrift 121 2" xfId="20030"/>
    <cellStyle name="Überschrift 122 2" xfId="20031"/>
    <cellStyle name="Überschrift 123 2" xfId="20032"/>
    <cellStyle name="Überschrift 124 2" xfId="20033"/>
    <cellStyle name="Überschrift 125 2" xfId="20034"/>
    <cellStyle name="Überschrift 126 2" xfId="20035"/>
    <cellStyle name="Überschrift 127 2" xfId="20036"/>
    <cellStyle name="Überschrift 128 2" xfId="20037"/>
    <cellStyle name="Überschrift 129 2" xfId="20038"/>
    <cellStyle name="Überschrift 13 3" xfId="20039"/>
    <cellStyle name="Überschrift 13 2 2" xfId="20040"/>
    <cellStyle name="Überschrift 130 2" xfId="20041"/>
    <cellStyle name="Überschrift 131 2" xfId="20042"/>
    <cellStyle name="Überschrift 132 2" xfId="20043"/>
    <cellStyle name="Überschrift 133 2" xfId="20044"/>
    <cellStyle name="Überschrift 134 2" xfId="20045"/>
    <cellStyle name="Überschrift 135 2" xfId="20046"/>
    <cellStyle name="Überschrift 136 2" xfId="20047"/>
    <cellStyle name="Überschrift 137 2" xfId="20048"/>
    <cellStyle name="Überschrift 138 2" xfId="20049"/>
    <cellStyle name="Überschrift 139 2" xfId="20050"/>
    <cellStyle name="Überschrift 14 3" xfId="20051"/>
    <cellStyle name="Überschrift 14 2 2" xfId="20052"/>
    <cellStyle name="Überschrift 140 2" xfId="20053"/>
    <cellStyle name="Überschrift 141 2" xfId="20054"/>
    <cellStyle name="Überschrift 142 2" xfId="20055"/>
    <cellStyle name="Überschrift 143 2" xfId="20056"/>
    <cellStyle name="Überschrift 144 2" xfId="20057"/>
    <cellStyle name="Überschrift 145 2" xfId="20058"/>
    <cellStyle name="Überschrift 146 2" xfId="20059"/>
    <cellStyle name="Überschrift 147 2" xfId="20060"/>
    <cellStyle name="Überschrift 148 2" xfId="20061"/>
    <cellStyle name="Überschrift 149 2" xfId="20062"/>
    <cellStyle name="Überschrift 15 3" xfId="20063"/>
    <cellStyle name="Überschrift 15 2 2" xfId="20064"/>
    <cellStyle name="Überschrift 150 2" xfId="20065"/>
    <cellStyle name="Überschrift 151 2" xfId="20066"/>
    <cellStyle name="Überschrift 152 2" xfId="20067"/>
    <cellStyle name="Überschrift 153 2" xfId="20068"/>
    <cellStyle name="Überschrift 154 2" xfId="20069"/>
    <cellStyle name="Überschrift 16 3" xfId="20070"/>
    <cellStyle name="Überschrift 16 2 2" xfId="20071"/>
    <cellStyle name="Überschrift 17 3" xfId="20072"/>
    <cellStyle name="Überschrift 17 2 2" xfId="20073"/>
    <cellStyle name="Überschrift 18 2" xfId="20074"/>
    <cellStyle name="Überschrift 19 2" xfId="20075"/>
    <cellStyle name="Überschrift 2 152" xfId="20076"/>
    <cellStyle name="Überschrift 2 10 3" xfId="20077"/>
    <cellStyle name="Überschrift 2 10 2 2" xfId="20078"/>
    <cellStyle name="Überschrift 2 100 2" xfId="20079"/>
    <cellStyle name="Überschrift 2 101 2" xfId="20080"/>
    <cellStyle name="Überschrift 2 102 2" xfId="20081"/>
    <cellStyle name="Überschrift 2 103 2" xfId="20082"/>
    <cellStyle name="Überschrift 2 104 2" xfId="20083"/>
    <cellStyle name="Überschrift 2 105 2" xfId="20084"/>
    <cellStyle name="Überschrift 2 106 2" xfId="20085"/>
    <cellStyle name="Überschrift 2 107 2" xfId="20086"/>
    <cellStyle name="Überschrift 2 108 2" xfId="20087"/>
    <cellStyle name="Überschrift 2 109 2" xfId="20088"/>
    <cellStyle name="Überschrift 2 11 3" xfId="20089"/>
    <cellStyle name="Überschrift 2 11 2 2" xfId="20090"/>
    <cellStyle name="Überschrift 2 110 2" xfId="20091"/>
    <cellStyle name="Überschrift 2 111 2" xfId="20092"/>
    <cellStyle name="Überschrift 2 112 2" xfId="20093"/>
    <cellStyle name="Überschrift 2 113 2" xfId="20094"/>
    <cellStyle name="Überschrift 2 114 2" xfId="20095"/>
    <cellStyle name="Überschrift 2 115 2" xfId="20096"/>
    <cellStyle name="Überschrift 2 116 2" xfId="20097"/>
    <cellStyle name="Überschrift 2 117 2" xfId="20098"/>
    <cellStyle name="Überschrift 2 118 2" xfId="20099"/>
    <cellStyle name="Überschrift 2 119 2" xfId="20100"/>
    <cellStyle name="Überschrift 2 12 3" xfId="20101"/>
    <cellStyle name="Überschrift 2 12 2 2" xfId="20102"/>
    <cellStyle name="Überschrift 2 120 2" xfId="20103"/>
    <cellStyle name="Überschrift 2 121 2" xfId="20104"/>
    <cellStyle name="Überschrift 2 122 2" xfId="20105"/>
    <cellStyle name="Überschrift 2 123 2" xfId="20106"/>
    <cellStyle name="Überschrift 2 124 2" xfId="20107"/>
    <cellStyle name="Überschrift 2 125 2" xfId="20108"/>
    <cellStyle name="Überschrift 2 126 2" xfId="20109"/>
    <cellStyle name="Überschrift 2 127 2" xfId="20110"/>
    <cellStyle name="Überschrift 2 128 2" xfId="20111"/>
    <cellStyle name="Überschrift 2 129 2" xfId="20112"/>
    <cellStyle name="Überschrift 2 13 3" xfId="20113"/>
    <cellStyle name="Überschrift 2 13 2 2" xfId="20114"/>
    <cellStyle name="Überschrift 2 130 2" xfId="20115"/>
    <cellStyle name="Überschrift 2 131 2" xfId="20116"/>
    <cellStyle name="Überschrift 2 132 2" xfId="20117"/>
    <cellStyle name="Überschrift 2 133 2" xfId="20118"/>
    <cellStyle name="Überschrift 2 134 2" xfId="20119"/>
    <cellStyle name="Überschrift 2 135 2" xfId="20120"/>
    <cellStyle name="Überschrift 2 136 2" xfId="20121"/>
    <cellStyle name="Überschrift 2 137 2" xfId="20122"/>
    <cellStyle name="Überschrift 2 138 2" xfId="20123"/>
    <cellStyle name="Überschrift 2 139 2" xfId="20124"/>
    <cellStyle name="Überschrift 2 14 3" xfId="20125"/>
    <cellStyle name="Überschrift 2 14 2 2" xfId="20126"/>
    <cellStyle name="Überschrift 2 140 2" xfId="20127"/>
    <cellStyle name="Überschrift 2 141 2" xfId="20128"/>
    <cellStyle name="Überschrift 2 142 2" xfId="20129"/>
    <cellStyle name="Überschrift 2 143 2" xfId="20130"/>
    <cellStyle name="Überschrift 2 144 2" xfId="20131"/>
    <cellStyle name="Überschrift 2 145 2" xfId="20132"/>
    <cellStyle name="Überschrift 2 146 2" xfId="20133"/>
    <cellStyle name="Überschrift 2 147 2" xfId="20134"/>
    <cellStyle name="Überschrift 2 148 2" xfId="20135"/>
    <cellStyle name="Überschrift 2 149 2" xfId="20136"/>
    <cellStyle name="Überschrift 2 15 2" xfId="20137"/>
    <cellStyle name="Überschrift 2 150 2" xfId="20138"/>
    <cellStyle name="Überschrift 2 151 2" xfId="20139"/>
    <cellStyle name="Überschrift 2 16 2" xfId="20140"/>
    <cellStyle name="Überschrift 2 17 2" xfId="20141"/>
    <cellStyle name="Überschrift 2 18 2" xfId="20142"/>
    <cellStyle name="Überschrift 2 19 2" xfId="20143"/>
    <cellStyle name="Überschrift 2 2 3" xfId="20144"/>
    <cellStyle name="Überschrift 2 2 2 2" xfId="20145"/>
    <cellStyle name="Überschrift 2 20 2" xfId="20146"/>
    <cellStyle name="Überschrift 2 21 2" xfId="20147"/>
    <cellStyle name="Überschrift 2 22 2" xfId="20148"/>
    <cellStyle name="Überschrift 2 23 2" xfId="20149"/>
    <cellStyle name="Überschrift 2 24 2" xfId="20150"/>
    <cellStyle name="Überschrift 2 25 2" xfId="20151"/>
    <cellStyle name="Überschrift 2 26 2" xfId="20152"/>
    <cellStyle name="Überschrift 2 27 2" xfId="20153"/>
    <cellStyle name="Überschrift 2 28 2" xfId="20154"/>
    <cellStyle name="Überschrift 2 29 2" xfId="20155"/>
    <cellStyle name="Überschrift 2 3 3" xfId="20156"/>
    <cellStyle name="Überschrift 2 3 2 2" xfId="20157"/>
    <cellStyle name="Überschrift 2 30 2" xfId="20158"/>
    <cellStyle name="Überschrift 2 31 2" xfId="20159"/>
    <cellStyle name="Überschrift 2 32 2" xfId="20160"/>
    <cellStyle name="Überschrift 2 33 2" xfId="20161"/>
    <cellStyle name="Überschrift 2 34 2" xfId="20162"/>
    <cellStyle name="Überschrift 2 35 2" xfId="20163"/>
    <cellStyle name="Überschrift 2 36 2" xfId="20164"/>
    <cellStyle name="Überschrift 2 37 2" xfId="20165"/>
    <cellStyle name="Überschrift 2 38 2" xfId="20166"/>
    <cellStyle name="Überschrift 2 39 2" xfId="20167"/>
    <cellStyle name="Überschrift 2 4 3" xfId="20168"/>
    <cellStyle name="Überschrift 2 4 2 2" xfId="20169"/>
    <cellStyle name="Überschrift 2 40 2" xfId="20170"/>
    <cellStyle name="Überschrift 2 41 2" xfId="20171"/>
    <cellStyle name="Überschrift 2 42 2" xfId="20172"/>
    <cellStyle name="Überschrift 2 43 2" xfId="20173"/>
    <cellStyle name="Überschrift 2 44 2" xfId="20174"/>
    <cellStyle name="Überschrift 2 45 2" xfId="20175"/>
    <cellStyle name="Überschrift 2 46 2" xfId="20176"/>
    <cellStyle name="Überschrift 2 47 2" xfId="20177"/>
    <cellStyle name="Überschrift 2 48 2" xfId="20178"/>
    <cellStyle name="Überschrift 2 49 2" xfId="20179"/>
    <cellStyle name="Überschrift 2 5 3" xfId="20180"/>
    <cellStyle name="Überschrift 2 5 2 2" xfId="20181"/>
    <cellStyle name="Überschrift 2 50 2" xfId="20182"/>
    <cellStyle name="Überschrift 2 51 2" xfId="20183"/>
    <cellStyle name="Überschrift 2 52 2" xfId="20184"/>
    <cellStyle name="Überschrift 2 53 2" xfId="20185"/>
    <cellStyle name="Überschrift 2 54 2" xfId="20186"/>
    <cellStyle name="Überschrift 2 55 2" xfId="20187"/>
    <cellStyle name="Überschrift 2 56 2" xfId="20188"/>
    <cellStyle name="Überschrift 2 57 2" xfId="20189"/>
    <cellStyle name="Überschrift 2 58 2" xfId="20190"/>
    <cellStyle name="Überschrift 2 59 2" xfId="20191"/>
    <cellStyle name="Überschrift 2 6 3" xfId="20192"/>
    <cellStyle name="Überschrift 2 6 2 2" xfId="20193"/>
    <cellStyle name="Überschrift 2 60 2" xfId="20194"/>
    <cellStyle name="Überschrift 2 61 2" xfId="20195"/>
    <cellStyle name="Überschrift 2 62 2" xfId="20196"/>
    <cellStyle name="Überschrift 2 63 2" xfId="20197"/>
    <cellStyle name="Überschrift 2 64 2" xfId="20198"/>
    <cellStyle name="Überschrift 2 65 2" xfId="20199"/>
    <cellStyle name="Überschrift 2 66 2" xfId="20200"/>
    <cellStyle name="Überschrift 2 67 2" xfId="20201"/>
    <cellStyle name="Überschrift 2 68 2" xfId="20202"/>
    <cellStyle name="Überschrift 2 69 2" xfId="20203"/>
    <cellStyle name="Überschrift 2 7 3" xfId="20204"/>
    <cellStyle name="Überschrift 2 7 2 2" xfId="20205"/>
    <cellStyle name="Überschrift 2 70 2" xfId="20206"/>
    <cellStyle name="Überschrift 2 71 2" xfId="20207"/>
    <cellStyle name="Überschrift 2 72 2" xfId="20208"/>
    <cellStyle name="Überschrift 2 73 2" xfId="20209"/>
    <cellStyle name="Überschrift 2 74 2" xfId="20210"/>
    <cellStyle name="Überschrift 2 75 2" xfId="20211"/>
    <cellStyle name="Überschrift 2 76 2" xfId="20212"/>
    <cellStyle name="Überschrift 2 77 2" xfId="20213"/>
    <cellStyle name="Überschrift 2 78 2" xfId="20214"/>
    <cellStyle name="Überschrift 2 79 2" xfId="20215"/>
    <cellStyle name="Überschrift 2 8 3" xfId="20216"/>
    <cellStyle name="Überschrift 2 8 2 2" xfId="20217"/>
    <cellStyle name="Überschrift 2 80 2" xfId="20218"/>
    <cellStyle name="Überschrift 2 81 2" xfId="20219"/>
    <cellStyle name="Überschrift 2 82 2" xfId="20220"/>
    <cellStyle name="Überschrift 2 83 2" xfId="20221"/>
    <cellStyle name="Überschrift 2 84 2" xfId="20222"/>
    <cellStyle name="Überschrift 2 85 2" xfId="20223"/>
    <cellStyle name="Überschrift 2 86 2" xfId="20224"/>
    <cellStyle name="Überschrift 2 87 2" xfId="20225"/>
    <cellStyle name="Überschrift 2 88 2" xfId="20226"/>
    <cellStyle name="Überschrift 2 89 2" xfId="20227"/>
    <cellStyle name="Überschrift 2 9 3" xfId="20228"/>
    <cellStyle name="Überschrift 2 9 2 2" xfId="20229"/>
    <cellStyle name="Überschrift 2 90 2" xfId="20230"/>
    <cellStyle name="Überschrift 2 91 2" xfId="20231"/>
    <cellStyle name="Überschrift 2 92 2" xfId="20232"/>
    <cellStyle name="Überschrift 2 93 2" xfId="20233"/>
    <cellStyle name="Überschrift 2 94 2" xfId="20234"/>
    <cellStyle name="Überschrift 2 95 2" xfId="20235"/>
    <cellStyle name="Überschrift 2 96 2" xfId="20236"/>
    <cellStyle name="Überschrift 2 97 2" xfId="20237"/>
    <cellStyle name="Überschrift 2 98 2" xfId="20238"/>
    <cellStyle name="Überschrift 2 99 2" xfId="20239"/>
    <cellStyle name="Überschrift 20 2" xfId="20240"/>
    <cellStyle name="Überschrift 21 2" xfId="20241"/>
    <cellStyle name="Überschrift 22 2" xfId="20242"/>
    <cellStyle name="Überschrift 23 2" xfId="20243"/>
    <cellStyle name="Überschrift 24 2" xfId="20244"/>
    <cellStyle name="Überschrift 25 2" xfId="20245"/>
    <cellStyle name="Überschrift 26 2" xfId="20246"/>
    <cellStyle name="Überschrift 27 2" xfId="20247"/>
    <cellStyle name="Überschrift 28 2" xfId="20248"/>
    <cellStyle name="Überschrift 29 2" xfId="20249"/>
    <cellStyle name="Überschrift 3 152" xfId="20250"/>
    <cellStyle name="Überschrift 3 10 3" xfId="20251"/>
    <cellStyle name="Überschrift 3 10 2 2" xfId="20252"/>
    <cellStyle name="Überschrift 3 100 2" xfId="20253"/>
    <cellStyle name="Überschrift 3 101 2" xfId="20254"/>
    <cellStyle name="Überschrift 3 102 2" xfId="20255"/>
    <cellStyle name="Überschrift 3 103 2" xfId="20256"/>
    <cellStyle name="Überschrift 3 104 2" xfId="20257"/>
    <cellStyle name="Überschrift 3 105 2" xfId="20258"/>
    <cellStyle name="Überschrift 3 106 2" xfId="20259"/>
    <cellStyle name="Überschrift 3 107 2" xfId="20260"/>
    <cellStyle name="Überschrift 3 108 2" xfId="20261"/>
    <cellStyle name="Überschrift 3 109 2" xfId="20262"/>
    <cellStyle name="Überschrift 3 11 3" xfId="20263"/>
    <cellStyle name="Überschrift 3 11 2 2" xfId="20264"/>
    <cellStyle name="Überschrift 3 110 2" xfId="20265"/>
    <cellStyle name="Überschrift 3 111 2" xfId="20266"/>
    <cellStyle name="Überschrift 3 112 2" xfId="20267"/>
    <cellStyle name="Überschrift 3 113 2" xfId="20268"/>
    <cellStyle name="Überschrift 3 114 2" xfId="20269"/>
    <cellStyle name="Überschrift 3 115 2" xfId="20270"/>
    <cellStyle name="Überschrift 3 116 2" xfId="20271"/>
    <cellStyle name="Überschrift 3 117 2" xfId="20272"/>
    <cellStyle name="Überschrift 3 118 2" xfId="20273"/>
    <cellStyle name="Überschrift 3 119 2" xfId="20274"/>
    <cellStyle name="Überschrift 3 12 3" xfId="20275"/>
    <cellStyle name="Überschrift 3 12 2 2" xfId="20276"/>
    <cellStyle name="Überschrift 3 120 2" xfId="20277"/>
    <cellStyle name="Überschrift 3 121 2" xfId="20278"/>
    <cellStyle name="Überschrift 3 122 2" xfId="20279"/>
    <cellStyle name="Überschrift 3 123 2" xfId="20280"/>
    <cellStyle name="Überschrift 3 124 2" xfId="20281"/>
    <cellStyle name="Überschrift 3 125 2" xfId="20282"/>
    <cellStyle name="Überschrift 3 126 2" xfId="20283"/>
    <cellStyle name="Überschrift 3 127 2" xfId="20284"/>
    <cellStyle name="Überschrift 3 128 2" xfId="20285"/>
    <cellStyle name="Überschrift 3 129 2" xfId="20286"/>
    <cellStyle name="Überschrift 3 13 3" xfId="20287"/>
    <cellStyle name="Überschrift 3 13 2 2" xfId="20288"/>
    <cellStyle name="Überschrift 3 130 2" xfId="20289"/>
    <cellStyle name="Überschrift 3 131 2" xfId="20290"/>
    <cellStyle name="Überschrift 3 132 2" xfId="20291"/>
    <cellStyle name="Überschrift 3 133 2" xfId="20292"/>
    <cellStyle name="Überschrift 3 134 2" xfId="20293"/>
    <cellStyle name="Überschrift 3 135 2" xfId="20294"/>
    <cellStyle name="Überschrift 3 136 2" xfId="20295"/>
    <cellStyle name="Überschrift 3 137 2" xfId="20296"/>
    <cellStyle name="Überschrift 3 138 2" xfId="20297"/>
    <cellStyle name="Überschrift 3 139 2" xfId="20298"/>
    <cellStyle name="Überschrift 3 14 3" xfId="20299"/>
    <cellStyle name="Überschrift 3 14 2 2" xfId="20300"/>
    <cellStyle name="Überschrift 3 140 2" xfId="20301"/>
    <cellStyle name="Überschrift 3 141 2" xfId="20302"/>
    <cellStyle name="Überschrift 3 142 2" xfId="20303"/>
    <cellStyle name="Überschrift 3 143 2" xfId="20304"/>
    <cellStyle name="Überschrift 3 144 2" xfId="20305"/>
    <cellStyle name="Überschrift 3 145 2" xfId="20306"/>
    <cellStyle name="Überschrift 3 146 2" xfId="20307"/>
    <cellStyle name="Überschrift 3 147 2" xfId="20308"/>
    <cellStyle name="Überschrift 3 148 2" xfId="20309"/>
    <cellStyle name="Überschrift 3 149 2" xfId="20310"/>
    <cellStyle name="Überschrift 3 15 2" xfId="20311"/>
    <cellStyle name="Überschrift 3 150 2" xfId="20312"/>
    <cellStyle name="Überschrift 3 151 2" xfId="20313"/>
    <cellStyle name="Überschrift 3 16 2" xfId="20314"/>
    <cellStyle name="Überschrift 3 17 2" xfId="20315"/>
    <cellStyle name="Überschrift 3 18 2" xfId="20316"/>
    <cellStyle name="Überschrift 3 19 2" xfId="20317"/>
    <cellStyle name="Überschrift 3 2 3" xfId="20318"/>
    <cellStyle name="Überschrift 3 2 2 2" xfId="20319"/>
    <cellStyle name="Überschrift 3 20 2" xfId="20320"/>
    <cellStyle name="Überschrift 3 21 2" xfId="20321"/>
    <cellStyle name="Überschrift 3 22 2" xfId="20322"/>
    <cellStyle name="Überschrift 3 23 2" xfId="20323"/>
    <cellStyle name="Überschrift 3 24 2" xfId="20324"/>
    <cellStyle name="Überschrift 3 25 2" xfId="20325"/>
    <cellStyle name="Überschrift 3 26 2" xfId="20326"/>
    <cellStyle name="Überschrift 3 27 2" xfId="20327"/>
    <cellStyle name="Überschrift 3 28 2" xfId="20328"/>
    <cellStyle name="Überschrift 3 29 2" xfId="20329"/>
    <cellStyle name="Überschrift 3 3 3" xfId="20330"/>
    <cellStyle name="Überschrift 3 3 2 2" xfId="20331"/>
    <cellStyle name="Überschrift 3 30 2" xfId="20332"/>
    <cellStyle name="Überschrift 3 31 2" xfId="20333"/>
    <cellStyle name="Überschrift 3 32 2" xfId="20334"/>
    <cellStyle name="Überschrift 3 33 2" xfId="20335"/>
    <cellStyle name="Überschrift 3 34 2" xfId="20336"/>
    <cellStyle name="Überschrift 3 35 2" xfId="20337"/>
    <cellStyle name="Überschrift 3 36 2" xfId="20338"/>
    <cellStyle name="Überschrift 3 37 2" xfId="20339"/>
    <cellStyle name="Überschrift 3 38 2" xfId="20340"/>
    <cellStyle name="Überschrift 3 39 2" xfId="20341"/>
    <cellStyle name="Überschrift 3 4 3" xfId="20342"/>
    <cellStyle name="Überschrift 3 4 2 2" xfId="20343"/>
    <cellStyle name="Überschrift 3 40 2" xfId="20344"/>
    <cellStyle name="Überschrift 3 41 2" xfId="20345"/>
    <cellStyle name="Überschrift 3 42 2" xfId="20346"/>
    <cellStyle name="Überschrift 3 43 2" xfId="20347"/>
    <cellStyle name="Überschrift 3 44 2" xfId="20348"/>
    <cellStyle name="Überschrift 3 45 2" xfId="20349"/>
    <cellStyle name="Überschrift 3 46 2" xfId="20350"/>
    <cellStyle name="Überschrift 3 47 2" xfId="20351"/>
    <cellStyle name="Überschrift 3 48 2" xfId="20352"/>
    <cellStyle name="Überschrift 3 49 2" xfId="20353"/>
    <cellStyle name="Überschrift 3 5 3" xfId="20354"/>
    <cellStyle name="Überschrift 3 5 2 2" xfId="20355"/>
    <cellStyle name="Überschrift 3 50 2" xfId="20356"/>
    <cellStyle name="Überschrift 3 51 2" xfId="20357"/>
    <cellStyle name="Überschrift 3 52 2" xfId="20358"/>
    <cellStyle name="Überschrift 3 53 2" xfId="20359"/>
    <cellStyle name="Überschrift 3 54 2" xfId="20360"/>
    <cellStyle name="Überschrift 3 55 2" xfId="20361"/>
    <cellStyle name="Überschrift 3 56 2" xfId="20362"/>
    <cellStyle name="Überschrift 3 57 2" xfId="20363"/>
    <cellStyle name="Überschrift 3 58 2" xfId="20364"/>
    <cellStyle name="Überschrift 3 59 2" xfId="20365"/>
    <cellStyle name="Überschrift 3 6 3" xfId="20366"/>
    <cellStyle name="Überschrift 3 6 2 2" xfId="20367"/>
    <cellStyle name="Überschrift 3 60 2" xfId="20368"/>
    <cellStyle name="Überschrift 3 61 2" xfId="20369"/>
    <cellStyle name="Überschrift 3 62 2" xfId="20370"/>
    <cellStyle name="Überschrift 3 63 2" xfId="20371"/>
    <cellStyle name="Überschrift 3 64 2" xfId="20372"/>
    <cellStyle name="Überschrift 3 65 2" xfId="20373"/>
    <cellStyle name="Überschrift 3 66 2" xfId="20374"/>
    <cellStyle name="Überschrift 3 67 2" xfId="20375"/>
    <cellStyle name="Überschrift 3 68 2" xfId="20376"/>
    <cellStyle name="Überschrift 3 69 2" xfId="20377"/>
    <cellStyle name="Überschrift 3 7 3" xfId="20378"/>
    <cellStyle name="Überschrift 3 7 2 2" xfId="20379"/>
    <cellStyle name="Überschrift 3 70 2" xfId="20380"/>
    <cellStyle name="Überschrift 3 71 2" xfId="20381"/>
    <cellStyle name="Überschrift 3 72 2" xfId="20382"/>
    <cellStyle name="Überschrift 3 73 2" xfId="20383"/>
    <cellStyle name="Überschrift 3 74 2" xfId="20384"/>
    <cellStyle name="Überschrift 3 75 2" xfId="20385"/>
    <cellStyle name="Überschrift 3 76 2" xfId="20386"/>
    <cellStyle name="Überschrift 3 77 2" xfId="20387"/>
    <cellStyle name="Überschrift 3 78 2" xfId="20388"/>
    <cellStyle name="Überschrift 3 79 2" xfId="20389"/>
    <cellStyle name="Überschrift 3 8 3" xfId="20390"/>
    <cellStyle name="Überschrift 3 8 2 2" xfId="20391"/>
    <cellStyle name="Überschrift 3 80 2" xfId="20392"/>
    <cellStyle name="Überschrift 3 81 2" xfId="20393"/>
    <cellStyle name="Überschrift 3 82 2" xfId="20394"/>
    <cellStyle name="Überschrift 3 83 2" xfId="20395"/>
    <cellStyle name="Überschrift 3 84 2" xfId="20396"/>
    <cellStyle name="Überschrift 3 85 2" xfId="20397"/>
    <cellStyle name="Überschrift 3 86 2" xfId="20398"/>
    <cellStyle name="Überschrift 3 87 2" xfId="20399"/>
    <cellStyle name="Überschrift 3 88 2" xfId="20400"/>
    <cellStyle name="Überschrift 3 89 2" xfId="20401"/>
    <cellStyle name="Überschrift 3 9 3" xfId="20402"/>
    <cellStyle name="Überschrift 3 9 2 2" xfId="20403"/>
    <cellStyle name="Überschrift 3 90 2" xfId="20404"/>
    <cellStyle name="Überschrift 3 91 2" xfId="20405"/>
    <cellStyle name="Überschrift 3 92 2" xfId="20406"/>
    <cellStyle name="Überschrift 3 93 2" xfId="20407"/>
    <cellStyle name="Überschrift 3 94 2" xfId="20408"/>
    <cellStyle name="Überschrift 3 95 2" xfId="20409"/>
    <cellStyle name="Überschrift 3 96 2" xfId="20410"/>
    <cellStyle name="Überschrift 3 97 2" xfId="20411"/>
    <cellStyle name="Überschrift 3 98 2" xfId="20412"/>
    <cellStyle name="Überschrift 3 99 2" xfId="20413"/>
    <cellStyle name="Überschrift 30 2" xfId="20414"/>
    <cellStyle name="Überschrift 31 2" xfId="20415"/>
    <cellStyle name="Überschrift 32 2" xfId="20416"/>
    <cellStyle name="Überschrift 33 2" xfId="20417"/>
    <cellStyle name="Überschrift 34 2" xfId="20418"/>
    <cellStyle name="Überschrift 35 2" xfId="20419"/>
    <cellStyle name="Überschrift 36 2" xfId="20420"/>
    <cellStyle name="Überschrift 37 2" xfId="20421"/>
    <cellStyle name="Überschrift 38 2" xfId="20422"/>
    <cellStyle name="Überschrift 39 2" xfId="20423"/>
    <cellStyle name="Überschrift 4 152" xfId="20424"/>
    <cellStyle name="Überschrift 4 10 3" xfId="20425"/>
    <cellStyle name="Überschrift 4 10 2 2" xfId="20426"/>
    <cellStyle name="Überschrift 4 100 2" xfId="20427"/>
    <cellStyle name="Überschrift 4 101 2" xfId="20428"/>
    <cellStyle name="Überschrift 4 102 2" xfId="20429"/>
    <cellStyle name="Überschrift 4 103 2" xfId="20430"/>
    <cellStyle name="Überschrift 4 104 2" xfId="20431"/>
    <cellStyle name="Überschrift 4 105 2" xfId="20432"/>
    <cellStyle name="Überschrift 4 106 2" xfId="20433"/>
    <cellStyle name="Überschrift 4 107 2" xfId="20434"/>
    <cellStyle name="Überschrift 4 108 2" xfId="20435"/>
    <cellStyle name="Überschrift 4 109 2" xfId="20436"/>
    <cellStyle name="Überschrift 4 11 3" xfId="20437"/>
    <cellStyle name="Überschrift 4 11 2 2" xfId="20438"/>
    <cellStyle name="Überschrift 4 110 2" xfId="20439"/>
    <cellStyle name="Überschrift 4 111 2" xfId="20440"/>
    <cellStyle name="Überschrift 4 112 2" xfId="20441"/>
    <cellStyle name="Überschrift 4 113 2" xfId="20442"/>
    <cellStyle name="Überschrift 4 114 2" xfId="20443"/>
    <cellStyle name="Überschrift 4 115 2" xfId="20444"/>
    <cellStyle name="Überschrift 4 116 2" xfId="20445"/>
    <cellStyle name="Überschrift 4 117 2" xfId="20446"/>
    <cellStyle name="Überschrift 4 118 2" xfId="20447"/>
    <cellStyle name="Überschrift 4 119 2" xfId="20448"/>
    <cellStyle name="Überschrift 4 12 3" xfId="20449"/>
    <cellStyle name="Überschrift 4 12 2 2" xfId="20450"/>
    <cellStyle name="Überschrift 4 120 2" xfId="20451"/>
    <cellStyle name="Überschrift 4 121 2" xfId="20452"/>
    <cellStyle name="Überschrift 4 122 2" xfId="20453"/>
    <cellStyle name="Überschrift 4 123 2" xfId="20454"/>
    <cellStyle name="Überschrift 4 124 2" xfId="20455"/>
    <cellStyle name="Überschrift 4 125 2" xfId="20456"/>
    <cellStyle name="Überschrift 4 126 2" xfId="20457"/>
    <cellStyle name="Überschrift 4 127 2" xfId="20458"/>
    <cellStyle name="Überschrift 4 128 2" xfId="20459"/>
    <cellStyle name="Überschrift 4 129 2" xfId="20460"/>
    <cellStyle name="Überschrift 4 13 3" xfId="20461"/>
    <cellStyle name="Überschrift 4 13 2 2" xfId="20462"/>
    <cellStyle name="Überschrift 4 130 2" xfId="20463"/>
    <cellStyle name="Überschrift 4 131 2" xfId="20464"/>
    <cellStyle name="Überschrift 4 132 2" xfId="20465"/>
    <cellStyle name="Überschrift 4 133 2" xfId="20466"/>
    <cellStyle name="Überschrift 4 134 2" xfId="20467"/>
    <cellStyle name="Überschrift 4 135 2" xfId="20468"/>
    <cellStyle name="Überschrift 4 136 2" xfId="20469"/>
    <cellStyle name="Überschrift 4 137 2" xfId="20470"/>
    <cellStyle name="Überschrift 4 138 2" xfId="20471"/>
    <cellStyle name="Überschrift 4 139 2" xfId="20472"/>
    <cellStyle name="Überschrift 4 14 3" xfId="20473"/>
    <cellStyle name="Überschrift 4 14 2 2" xfId="20474"/>
    <cellStyle name="Überschrift 4 140 2" xfId="20475"/>
    <cellStyle name="Überschrift 4 141 2" xfId="20476"/>
    <cellStyle name="Überschrift 4 142 2" xfId="20477"/>
    <cellStyle name="Überschrift 4 143 2" xfId="20478"/>
    <cellStyle name="Überschrift 4 144 2" xfId="20479"/>
    <cellStyle name="Überschrift 4 145 2" xfId="20480"/>
    <cellStyle name="Überschrift 4 146 2" xfId="20481"/>
    <cellStyle name="Überschrift 4 147 2" xfId="20482"/>
    <cellStyle name="Überschrift 4 148 2" xfId="20483"/>
    <cellStyle name="Überschrift 4 149 2" xfId="20484"/>
    <cellStyle name="Überschrift 4 15 2" xfId="20485"/>
    <cellStyle name="Überschrift 4 150 2" xfId="20486"/>
    <cellStyle name="Überschrift 4 151 2" xfId="20487"/>
    <cellStyle name="Überschrift 4 16 2" xfId="20488"/>
    <cellStyle name="Überschrift 4 17 2" xfId="20489"/>
    <cellStyle name="Überschrift 4 18 2" xfId="20490"/>
    <cellStyle name="Überschrift 4 19 2" xfId="20491"/>
    <cellStyle name="Überschrift 4 2 3" xfId="20492"/>
    <cellStyle name="Überschrift 4 2 2 2" xfId="20493"/>
    <cellStyle name="Überschrift 4 20 2" xfId="20494"/>
    <cellStyle name="Überschrift 4 21 2" xfId="20495"/>
    <cellStyle name="Überschrift 4 22 2" xfId="20496"/>
    <cellStyle name="Überschrift 4 23 2" xfId="20497"/>
    <cellStyle name="Überschrift 4 24 2" xfId="20498"/>
    <cellStyle name="Überschrift 4 25 2" xfId="20499"/>
    <cellStyle name="Überschrift 4 26 2" xfId="20500"/>
    <cellStyle name="Überschrift 4 27 2" xfId="20501"/>
    <cellStyle name="Überschrift 4 28 2" xfId="20502"/>
    <cellStyle name="Überschrift 4 29 2" xfId="20503"/>
    <cellStyle name="Überschrift 4 3 3" xfId="20504"/>
    <cellStyle name="Überschrift 4 3 2 2" xfId="20505"/>
    <cellStyle name="Überschrift 4 30 2" xfId="20506"/>
    <cellStyle name="Überschrift 4 31 2" xfId="20507"/>
    <cellStyle name="Überschrift 4 32 2" xfId="20508"/>
    <cellStyle name="Überschrift 4 33 2" xfId="20509"/>
    <cellStyle name="Überschrift 4 34 2" xfId="20510"/>
    <cellStyle name="Überschrift 4 35 2" xfId="20511"/>
    <cellStyle name="Überschrift 4 36 2" xfId="20512"/>
    <cellStyle name="Überschrift 4 37 2" xfId="20513"/>
    <cellStyle name="Überschrift 4 38 2" xfId="20514"/>
    <cellStyle name="Überschrift 4 39 2" xfId="20515"/>
    <cellStyle name="Überschrift 4 4 3" xfId="20516"/>
    <cellStyle name="Überschrift 4 4 2 2" xfId="20517"/>
    <cellStyle name="Überschrift 4 40 2" xfId="20518"/>
    <cellStyle name="Überschrift 4 41 2" xfId="20519"/>
    <cellStyle name="Überschrift 4 42 2" xfId="20520"/>
    <cellStyle name="Überschrift 4 43 2" xfId="20521"/>
    <cellStyle name="Überschrift 4 44 2" xfId="20522"/>
    <cellStyle name="Überschrift 4 45 2" xfId="20523"/>
    <cellStyle name="Überschrift 4 46 2" xfId="20524"/>
    <cellStyle name="Überschrift 4 47 2" xfId="20525"/>
    <cellStyle name="Überschrift 4 48 2" xfId="20526"/>
    <cellStyle name="Überschrift 4 49 2" xfId="20527"/>
    <cellStyle name="Überschrift 4 5 3" xfId="20528"/>
    <cellStyle name="Überschrift 4 5 2 2" xfId="20529"/>
    <cellStyle name="Überschrift 4 50 2" xfId="20530"/>
    <cellStyle name="Überschrift 4 51 2" xfId="20531"/>
    <cellStyle name="Überschrift 4 52 2" xfId="20532"/>
    <cellStyle name="Überschrift 4 53 2" xfId="20533"/>
    <cellStyle name="Überschrift 4 54 2" xfId="20534"/>
    <cellStyle name="Überschrift 4 55 2" xfId="20535"/>
    <cellStyle name="Überschrift 4 56 2" xfId="20536"/>
    <cellStyle name="Überschrift 4 57 2" xfId="20537"/>
    <cellStyle name="Überschrift 4 58 2" xfId="20538"/>
    <cellStyle name="Überschrift 4 59 2" xfId="20539"/>
    <cellStyle name="Überschrift 4 6 3" xfId="20540"/>
    <cellStyle name="Überschrift 4 6 2 2" xfId="20541"/>
    <cellStyle name="Überschrift 4 60 2" xfId="20542"/>
    <cellStyle name="Überschrift 4 61 2" xfId="20543"/>
    <cellStyle name="Überschrift 4 62 2" xfId="20544"/>
    <cellStyle name="Überschrift 4 63 2" xfId="20545"/>
    <cellStyle name="Überschrift 4 64 2" xfId="20546"/>
    <cellStyle name="Überschrift 4 65 2" xfId="20547"/>
    <cellStyle name="Überschrift 4 66 2" xfId="20548"/>
    <cellStyle name="Überschrift 4 67 2" xfId="20549"/>
    <cellStyle name="Überschrift 4 68 2" xfId="20550"/>
    <cellStyle name="Überschrift 4 69 2" xfId="20551"/>
    <cellStyle name="Überschrift 4 7 3" xfId="20552"/>
    <cellStyle name="Überschrift 4 7 2 2" xfId="20553"/>
    <cellStyle name="Überschrift 4 70 2" xfId="20554"/>
    <cellStyle name="Überschrift 4 71 2" xfId="20555"/>
    <cellStyle name="Überschrift 4 72 2" xfId="20556"/>
    <cellStyle name="Überschrift 4 73 2" xfId="20557"/>
    <cellStyle name="Überschrift 4 74 2" xfId="20558"/>
    <cellStyle name="Überschrift 4 75 2" xfId="20559"/>
    <cellStyle name="Überschrift 4 76 2" xfId="20560"/>
    <cellStyle name="Überschrift 4 77 2" xfId="20561"/>
    <cellStyle name="Überschrift 4 78 2" xfId="20562"/>
    <cellStyle name="Überschrift 4 79 2" xfId="20563"/>
    <cellStyle name="Überschrift 4 8 3" xfId="20564"/>
    <cellStyle name="Überschrift 4 8 2 2" xfId="20565"/>
    <cellStyle name="Überschrift 4 80 2" xfId="20566"/>
    <cellStyle name="Überschrift 4 81 2" xfId="20567"/>
    <cellStyle name="Überschrift 4 82 2" xfId="20568"/>
    <cellStyle name="Überschrift 4 83 2" xfId="20569"/>
    <cellStyle name="Überschrift 4 84 2" xfId="20570"/>
    <cellStyle name="Überschrift 4 85 2" xfId="20571"/>
    <cellStyle name="Überschrift 4 86 2" xfId="20572"/>
    <cellStyle name="Überschrift 4 87 2" xfId="20573"/>
    <cellStyle name="Überschrift 4 88 2" xfId="20574"/>
    <cellStyle name="Überschrift 4 89 2" xfId="20575"/>
    <cellStyle name="Überschrift 4 9 3" xfId="20576"/>
    <cellStyle name="Überschrift 4 9 2 2" xfId="20577"/>
    <cellStyle name="Überschrift 4 90 2" xfId="20578"/>
    <cellStyle name="Überschrift 4 91 2" xfId="20579"/>
    <cellStyle name="Überschrift 4 92 2" xfId="20580"/>
    <cellStyle name="Überschrift 4 93 2" xfId="20581"/>
    <cellStyle name="Überschrift 4 94 2" xfId="20582"/>
    <cellStyle name="Überschrift 4 95 2" xfId="20583"/>
    <cellStyle name="Überschrift 4 96 2" xfId="20584"/>
    <cellStyle name="Überschrift 4 97 2" xfId="20585"/>
    <cellStyle name="Überschrift 4 98 2" xfId="20586"/>
    <cellStyle name="Überschrift 4 99 2" xfId="20587"/>
    <cellStyle name="Überschrift 40 2" xfId="20588"/>
    <cellStyle name="Überschrift 41 2" xfId="20589"/>
    <cellStyle name="Überschrift 42 2" xfId="20590"/>
    <cellStyle name="Überschrift 43 2" xfId="20591"/>
    <cellStyle name="Überschrift 44 2" xfId="20592"/>
    <cellStyle name="Überschrift 45 2" xfId="20593"/>
    <cellStyle name="Überschrift 46 2" xfId="20594"/>
    <cellStyle name="Überschrift 47 2" xfId="20595"/>
    <cellStyle name="Überschrift 48 2" xfId="20596"/>
    <cellStyle name="Überschrift 49 2" xfId="20597"/>
    <cellStyle name="Überschrift 5 3" xfId="20598"/>
    <cellStyle name="Überschrift 5 2 2" xfId="20599"/>
    <cellStyle name="Überschrift 50 2" xfId="20600"/>
    <cellStyle name="Überschrift 51 2" xfId="20601"/>
    <cellStyle name="Überschrift 52 2" xfId="20602"/>
    <cellStyle name="Überschrift 53 2" xfId="20603"/>
    <cellStyle name="Überschrift 54 2" xfId="20604"/>
    <cellStyle name="Überschrift 55 2" xfId="20605"/>
    <cellStyle name="Überschrift 56 2" xfId="20606"/>
    <cellStyle name="Überschrift 57 2" xfId="20607"/>
    <cellStyle name="Überschrift 58 2" xfId="20608"/>
    <cellStyle name="Überschrift 59 2" xfId="20609"/>
    <cellStyle name="Überschrift 6 3" xfId="20610"/>
    <cellStyle name="Überschrift 6 2 2" xfId="20611"/>
    <cellStyle name="Überschrift 60 2" xfId="20612"/>
    <cellStyle name="Überschrift 61 2" xfId="20613"/>
    <cellStyle name="Überschrift 62 2" xfId="20614"/>
    <cellStyle name="Überschrift 63 2" xfId="20615"/>
    <cellStyle name="Überschrift 64 2" xfId="20616"/>
    <cellStyle name="Überschrift 65 2" xfId="20617"/>
    <cellStyle name="Überschrift 66 2" xfId="20618"/>
    <cellStyle name="Überschrift 67 2" xfId="20619"/>
    <cellStyle name="Überschrift 68 2" xfId="20620"/>
    <cellStyle name="Überschrift 69 2" xfId="20621"/>
    <cellStyle name="Überschrift 7 3" xfId="20622"/>
    <cellStyle name="Überschrift 7 2 2" xfId="20623"/>
    <cellStyle name="Überschrift 70 2" xfId="20624"/>
    <cellStyle name="Überschrift 71 2" xfId="20625"/>
    <cellStyle name="Überschrift 72 2" xfId="20626"/>
    <cellStyle name="Überschrift 73 2" xfId="20627"/>
    <cellStyle name="Überschrift 74 2" xfId="20628"/>
    <cellStyle name="Überschrift 75 2" xfId="20629"/>
    <cellStyle name="Überschrift 76 2" xfId="20630"/>
    <cellStyle name="Überschrift 77 2" xfId="20631"/>
    <cellStyle name="Überschrift 78 2" xfId="20632"/>
    <cellStyle name="Überschrift 79 2" xfId="20633"/>
    <cellStyle name="Überschrift 8 3" xfId="20634"/>
    <cellStyle name="Überschrift 8 2 2" xfId="20635"/>
    <cellStyle name="Überschrift 80 2" xfId="20636"/>
    <cellStyle name="Überschrift 81 2" xfId="20637"/>
    <cellStyle name="Überschrift 82 2" xfId="20638"/>
    <cellStyle name="Überschrift 83 2" xfId="20639"/>
    <cellStyle name="Überschrift 84 2" xfId="20640"/>
    <cellStyle name="Überschrift 85 2" xfId="20641"/>
    <cellStyle name="Überschrift 86 2" xfId="20642"/>
    <cellStyle name="Überschrift 87 2" xfId="20643"/>
    <cellStyle name="Überschrift 88 2" xfId="20644"/>
    <cellStyle name="Überschrift 89 2" xfId="20645"/>
    <cellStyle name="Überschrift 9 3" xfId="20646"/>
    <cellStyle name="Überschrift 9 2 2" xfId="20647"/>
    <cellStyle name="Überschrift 90 2" xfId="20648"/>
    <cellStyle name="Überschrift 91 2" xfId="20649"/>
    <cellStyle name="Überschrift 92 2" xfId="20650"/>
    <cellStyle name="Überschrift 93 2" xfId="20651"/>
    <cellStyle name="Überschrift 94 2" xfId="20652"/>
    <cellStyle name="Überschrift 95 2" xfId="20653"/>
    <cellStyle name="Überschrift 96 2" xfId="20654"/>
    <cellStyle name="Überschrift 97 2" xfId="20655"/>
    <cellStyle name="Überschrift 98 2" xfId="20656"/>
    <cellStyle name="Überschrift 99 2" xfId="20657"/>
    <cellStyle name="Verknüpfte Zelle 152" xfId="20658"/>
    <cellStyle name="Verknüpfte Zelle 10 3" xfId="20659"/>
    <cellStyle name="Verknüpfte Zelle 10 2 2" xfId="20660"/>
    <cellStyle name="Verknüpfte Zelle 100 2" xfId="20661"/>
    <cellStyle name="Verknüpfte Zelle 101 2" xfId="20662"/>
    <cellStyle name="Verknüpfte Zelle 102 2" xfId="20663"/>
    <cellStyle name="Verknüpfte Zelle 103 2" xfId="20664"/>
    <cellStyle name="Verknüpfte Zelle 104 2" xfId="20665"/>
    <cellStyle name="Verknüpfte Zelle 105 2" xfId="20666"/>
    <cellStyle name="Verknüpfte Zelle 106 2" xfId="20667"/>
    <cellStyle name="Verknüpfte Zelle 107 2" xfId="20668"/>
    <cellStyle name="Verknüpfte Zelle 108 2" xfId="20669"/>
    <cellStyle name="Verknüpfte Zelle 109 2" xfId="20670"/>
    <cellStyle name="Verknüpfte Zelle 11 3" xfId="20671"/>
    <cellStyle name="Verknüpfte Zelle 11 2 2" xfId="20672"/>
    <cellStyle name="Verknüpfte Zelle 110 2" xfId="20673"/>
    <cellStyle name="Verknüpfte Zelle 111 2" xfId="20674"/>
    <cellStyle name="Verknüpfte Zelle 112 2" xfId="20675"/>
    <cellStyle name="Verknüpfte Zelle 113 2" xfId="20676"/>
    <cellStyle name="Verknüpfte Zelle 114 2" xfId="20677"/>
    <cellStyle name="Verknüpfte Zelle 115 2" xfId="20678"/>
    <cellStyle name="Verknüpfte Zelle 116 2" xfId="20679"/>
    <cellStyle name="Verknüpfte Zelle 117 2" xfId="20680"/>
    <cellStyle name="Verknüpfte Zelle 118 2" xfId="20681"/>
    <cellStyle name="Verknüpfte Zelle 119 2" xfId="20682"/>
    <cellStyle name="Verknüpfte Zelle 12 3" xfId="20683"/>
    <cellStyle name="Verknüpfte Zelle 12 2 2" xfId="20684"/>
    <cellStyle name="Verknüpfte Zelle 120 2" xfId="20685"/>
    <cellStyle name="Verknüpfte Zelle 121 2" xfId="20686"/>
    <cellStyle name="Verknüpfte Zelle 122 2" xfId="20687"/>
    <cellStyle name="Verknüpfte Zelle 123 2" xfId="20688"/>
    <cellStyle name="Verknüpfte Zelle 124 2" xfId="20689"/>
    <cellStyle name="Verknüpfte Zelle 125 2" xfId="20690"/>
    <cellStyle name="Verknüpfte Zelle 126 2" xfId="20691"/>
    <cellStyle name="Verknüpfte Zelle 127 2" xfId="20692"/>
    <cellStyle name="Verknüpfte Zelle 128 2" xfId="20693"/>
    <cellStyle name="Verknüpfte Zelle 129 2" xfId="20694"/>
    <cellStyle name="Verknüpfte Zelle 13 3" xfId="20695"/>
    <cellStyle name="Verknüpfte Zelle 13 2 2" xfId="20696"/>
    <cellStyle name="Verknüpfte Zelle 130 2" xfId="20697"/>
    <cellStyle name="Verknüpfte Zelle 131 2" xfId="20698"/>
    <cellStyle name="Verknüpfte Zelle 132 2" xfId="20699"/>
    <cellStyle name="Verknüpfte Zelle 133 2" xfId="20700"/>
    <cellStyle name="Verknüpfte Zelle 134 2" xfId="20701"/>
    <cellStyle name="Verknüpfte Zelle 135 2" xfId="20702"/>
    <cellStyle name="Verknüpfte Zelle 136 2" xfId="20703"/>
    <cellStyle name="Verknüpfte Zelle 137 2" xfId="20704"/>
    <cellStyle name="Verknüpfte Zelle 138 2" xfId="20705"/>
    <cellStyle name="Verknüpfte Zelle 139 2" xfId="20706"/>
    <cellStyle name="Verknüpfte Zelle 14 3" xfId="20707"/>
    <cellStyle name="Verknüpfte Zelle 14 2 2" xfId="20708"/>
    <cellStyle name="Verknüpfte Zelle 140 2" xfId="20709"/>
    <cellStyle name="Verknüpfte Zelle 141 2" xfId="20710"/>
    <cellStyle name="Verknüpfte Zelle 142 2" xfId="20711"/>
    <cellStyle name="Verknüpfte Zelle 143 2" xfId="20712"/>
    <cellStyle name="Verknüpfte Zelle 144 2" xfId="20713"/>
    <cellStyle name="Verknüpfte Zelle 145 2" xfId="20714"/>
    <cellStyle name="Verknüpfte Zelle 146 2" xfId="20715"/>
    <cellStyle name="Verknüpfte Zelle 147 2" xfId="20716"/>
    <cellStyle name="Verknüpfte Zelle 148 2" xfId="20717"/>
    <cellStyle name="Verknüpfte Zelle 149 2" xfId="20718"/>
    <cellStyle name="Verknüpfte Zelle 15 2" xfId="20719"/>
    <cellStyle name="Verknüpfte Zelle 150 2" xfId="20720"/>
    <cellStyle name="Verknüpfte Zelle 151 2" xfId="20721"/>
    <cellStyle name="Verknüpfte Zelle 16 2" xfId="20722"/>
    <cellStyle name="Verknüpfte Zelle 17 2" xfId="20723"/>
    <cellStyle name="Verknüpfte Zelle 18 2" xfId="20724"/>
    <cellStyle name="Verknüpfte Zelle 19 2" xfId="20725"/>
    <cellStyle name="Verknüpfte Zelle 2 3" xfId="20726"/>
    <cellStyle name="Verknüpfte Zelle 2 2 2" xfId="20727"/>
    <cellStyle name="Verknüpfte Zelle 20 2" xfId="20728"/>
    <cellStyle name="Verknüpfte Zelle 21 2" xfId="20729"/>
    <cellStyle name="Verknüpfte Zelle 22 2" xfId="20730"/>
    <cellStyle name="Verknüpfte Zelle 23 2" xfId="20731"/>
    <cellStyle name="Verknüpfte Zelle 24 2" xfId="20732"/>
    <cellStyle name="Verknüpfte Zelle 25 2" xfId="20733"/>
    <cellStyle name="Verknüpfte Zelle 26 2" xfId="20734"/>
    <cellStyle name="Verknüpfte Zelle 27 2" xfId="20735"/>
    <cellStyle name="Verknüpfte Zelle 28 2" xfId="20736"/>
    <cellStyle name="Verknüpfte Zelle 29 2" xfId="20737"/>
    <cellStyle name="Verknüpfte Zelle 3 3" xfId="20738"/>
    <cellStyle name="Verknüpfte Zelle 3 2 2" xfId="20739"/>
    <cellStyle name="Verknüpfte Zelle 30 2" xfId="20740"/>
    <cellStyle name="Verknüpfte Zelle 31 2" xfId="20741"/>
    <cellStyle name="Verknüpfte Zelle 32 2" xfId="20742"/>
    <cellStyle name="Verknüpfte Zelle 33 2" xfId="20743"/>
    <cellStyle name="Verknüpfte Zelle 34 2" xfId="20744"/>
    <cellStyle name="Verknüpfte Zelle 35 2" xfId="20745"/>
    <cellStyle name="Verknüpfte Zelle 36 2" xfId="20746"/>
    <cellStyle name="Verknüpfte Zelle 37 2" xfId="20747"/>
    <cellStyle name="Verknüpfte Zelle 38 2" xfId="20748"/>
    <cellStyle name="Verknüpfte Zelle 39 2" xfId="20749"/>
    <cellStyle name="Verknüpfte Zelle 4 3" xfId="20750"/>
    <cellStyle name="Verknüpfte Zelle 4 2 2" xfId="20751"/>
    <cellStyle name="Verknüpfte Zelle 40 2" xfId="20752"/>
    <cellStyle name="Verknüpfte Zelle 41 2" xfId="20753"/>
    <cellStyle name="Verknüpfte Zelle 42 2" xfId="20754"/>
    <cellStyle name="Verknüpfte Zelle 43 2" xfId="20755"/>
    <cellStyle name="Verknüpfte Zelle 44 2" xfId="20756"/>
    <cellStyle name="Verknüpfte Zelle 45 2" xfId="20757"/>
    <cellStyle name="Verknüpfte Zelle 46 2" xfId="20758"/>
    <cellStyle name="Verknüpfte Zelle 47 2" xfId="20759"/>
    <cellStyle name="Verknüpfte Zelle 48 2" xfId="20760"/>
    <cellStyle name="Verknüpfte Zelle 49 2" xfId="20761"/>
    <cellStyle name="Verknüpfte Zelle 5 3" xfId="20762"/>
    <cellStyle name="Verknüpfte Zelle 5 2 2" xfId="20763"/>
    <cellStyle name="Verknüpfte Zelle 50 2" xfId="20764"/>
    <cellStyle name="Verknüpfte Zelle 51 2" xfId="20765"/>
    <cellStyle name="Verknüpfte Zelle 52 2" xfId="20766"/>
    <cellStyle name="Verknüpfte Zelle 53 2" xfId="20767"/>
    <cellStyle name="Verknüpfte Zelle 54 2" xfId="20768"/>
    <cellStyle name="Verknüpfte Zelle 55 2" xfId="20769"/>
    <cellStyle name="Verknüpfte Zelle 56 2" xfId="20770"/>
    <cellStyle name="Verknüpfte Zelle 57 2" xfId="20771"/>
    <cellStyle name="Verknüpfte Zelle 58 2" xfId="20772"/>
    <cellStyle name="Verknüpfte Zelle 59 2" xfId="20773"/>
    <cellStyle name="Verknüpfte Zelle 6 3" xfId="20774"/>
    <cellStyle name="Verknüpfte Zelle 6 2 2" xfId="20775"/>
    <cellStyle name="Verknüpfte Zelle 60 2" xfId="20776"/>
    <cellStyle name="Verknüpfte Zelle 61 2" xfId="20777"/>
    <cellStyle name="Verknüpfte Zelle 62 2" xfId="20778"/>
    <cellStyle name="Verknüpfte Zelle 63 2" xfId="20779"/>
    <cellStyle name="Verknüpfte Zelle 64 2" xfId="20780"/>
    <cellStyle name="Verknüpfte Zelle 65 2" xfId="20781"/>
    <cellStyle name="Verknüpfte Zelle 66 2" xfId="20782"/>
    <cellStyle name="Verknüpfte Zelle 67 2" xfId="20783"/>
    <cellStyle name="Verknüpfte Zelle 68 2" xfId="20784"/>
    <cellStyle name="Verknüpfte Zelle 69 2" xfId="20785"/>
    <cellStyle name="Verknüpfte Zelle 7 3" xfId="20786"/>
    <cellStyle name="Verknüpfte Zelle 7 2 2" xfId="20787"/>
    <cellStyle name="Verknüpfte Zelle 70 2" xfId="20788"/>
    <cellStyle name="Verknüpfte Zelle 71 2" xfId="20789"/>
    <cellStyle name="Verknüpfte Zelle 72 2" xfId="20790"/>
    <cellStyle name="Verknüpfte Zelle 73 2" xfId="20791"/>
    <cellStyle name="Verknüpfte Zelle 74 2" xfId="20792"/>
    <cellStyle name="Verknüpfte Zelle 75 2" xfId="20793"/>
    <cellStyle name="Verknüpfte Zelle 76 2" xfId="20794"/>
    <cellStyle name="Verknüpfte Zelle 77 2" xfId="20795"/>
    <cellStyle name="Verknüpfte Zelle 78 2" xfId="20796"/>
    <cellStyle name="Verknüpfte Zelle 79 2" xfId="20797"/>
    <cellStyle name="Verknüpfte Zelle 8 3" xfId="20798"/>
    <cellStyle name="Verknüpfte Zelle 8 2 2" xfId="20799"/>
    <cellStyle name="Verknüpfte Zelle 80 2" xfId="20800"/>
    <cellStyle name="Verknüpfte Zelle 81 2" xfId="20801"/>
    <cellStyle name="Verknüpfte Zelle 82 2" xfId="20802"/>
    <cellStyle name="Verknüpfte Zelle 83 2" xfId="20803"/>
    <cellStyle name="Verknüpfte Zelle 84 2" xfId="20804"/>
    <cellStyle name="Verknüpfte Zelle 85 2" xfId="20805"/>
    <cellStyle name="Verknüpfte Zelle 86 2" xfId="20806"/>
    <cellStyle name="Verknüpfte Zelle 87 2" xfId="20807"/>
    <cellStyle name="Verknüpfte Zelle 88 2" xfId="20808"/>
    <cellStyle name="Verknüpfte Zelle 89 2" xfId="20809"/>
    <cellStyle name="Verknüpfte Zelle 9 3" xfId="20810"/>
    <cellStyle name="Verknüpfte Zelle 9 2 2" xfId="20811"/>
    <cellStyle name="Verknüpfte Zelle 90 2" xfId="20812"/>
    <cellStyle name="Verknüpfte Zelle 91 2" xfId="20813"/>
    <cellStyle name="Verknüpfte Zelle 92 2" xfId="20814"/>
    <cellStyle name="Verknüpfte Zelle 93 2" xfId="20815"/>
    <cellStyle name="Verknüpfte Zelle 94 2" xfId="20816"/>
    <cellStyle name="Verknüpfte Zelle 95 2" xfId="20817"/>
    <cellStyle name="Verknüpfte Zelle 96 2" xfId="20818"/>
    <cellStyle name="Verknüpfte Zelle 97 2" xfId="20819"/>
    <cellStyle name="Verknüpfte Zelle 98 2" xfId="20820"/>
    <cellStyle name="Verknüpfte Zelle 99 2" xfId="20821"/>
    <cellStyle name="Währung 2 2" xfId="20822"/>
    <cellStyle name="Währung 3 2" xfId="20823"/>
    <cellStyle name="Warnender Text 108" xfId="20824"/>
    <cellStyle name="Warnender Text 10 2" xfId="20825"/>
    <cellStyle name="Warnender Text 100 2" xfId="20826"/>
    <cellStyle name="Warnender Text 101 2" xfId="20827"/>
    <cellStyle name="Warnender Text 102 2" xfId="20828"/>
    <cellStyle name="Warnender Text 103 2" xfId="20829"/>
    <cellStyle name="Warnender Text 104 2" xfId="20830"/>
    <cellStyle name="Warnender Text 105 2" xfId="20831"/>
    <cellStyle name="Warnender Text 106 2" xfId="20832"/>
    <cellStyle name="Warnender Text 107 2" xfId="20833"/>
    <cellStyle name="Warnender Text 11 2" xfId="20834"/>
    <cellStyle name="Warnender Text 12 2" xfId="20835"/>
    <cellStyle name="Warnender Text 13 2" xfId="20836"/>
    <cellStyle name="Warnender Text 14 2" xfId="20837"/>
    <cellStyle name="Warnender Text 15 2" xfId="20838"/>
    <cellStyle name="Warnender Text 16 2" xfId="20839"/>
    <cellStyle name="Warnender Text 17 2" xfId="20840"/>
    <cellStyle name="Warnender Text 18 2" xfId="20841"/>
    <cellStyle name="Warnender Text 19 2" xfId="20842"/>
    <cellStyle name="Warnender Text 2 2" xfId="20843"/>
    <cellStyle name="Warnender Text 20 2" xfId="20844"/>
    <cellStyle name="Warnender Text 21 2" xfId="20845"/>
    <cellStyle name="Warnender Text 22 2" xfId="20846"/>
    <cellStyle name="Warnender Text 23 2" xfId="20847"/>
    <cellStyle name="Warnender Text 24 2" xfId="20848"/>
    <cellStyle name="Warnender Text 25 2" xfId="20849"/>
    <cellStyle name="Warnender Text 26 2" xfId="20850"/>
    <cellStyle name="Warnender Text 27 2" xfId="20851"/>
    <cellStyle name="Warnender Text 28 2" xfId="20852"/>
    <cellStyle name="Warnender Text 29 2" xfId="20853"/>
    <cellStyle name="Warnender Text 3 2" xfId="20854"/>
    <cellStyle name="Warnender Text 30 2" xfId="20855"/>
    <cellStyle name="Warnender Text 31 2" xfId="20856"/>
    <cellStyle name="Warnender Text 32 2" xfId="20857"/>
    <cellStyle name="Warnender Text 33 2" xfId="20858"/>
    <cellStyle name="Warnender Text 34 2" xfId="20859"/>
    <cellStyle name="Warnender Text 35 2" xfId="20860"/>
    <cellStyle name="Warnender Text 36 2" xfId="20861"/>
    <cellStyle name="Warnender Text 37 2" xfId="20862"/>
    <cellStyle name="Warnender Text 38 2" xfId="20863"/>
    <cellStyle name="Warnender Text 39 2" xfId="20864"/>
    <cellStyle name="Warnender Text 4 2" xfId="20865"/>
    <cellStyle name="Warnender Text 40 2" xfId="20866"/>
    <cellStyle name="Warnender Text 41 2" xfId="20867"/>
    <cellStyle name="Warnender Text 42 2" xfId="20868"/>
    <cellStyle name="Warnender Text 43 2" xfId="20869"/>
    <cellStyle name="Warnender Text 44 2" xfId="20870"/>
    <cellStyle name="Warnender Text 45 2" xfId="20871"/>
    <cellStyle name="Warnender Text 46 2" xfId="20872"/>
    <cellStyle name="Warnender Text 47 2" xfId="20873"/>
    <cellStyle name="Warnender Text 48 2" xfId="20874"/>
    <cellStyle name="Warnender Text 49 2" xfId="20875"/>
    <cellStyle name="Warnender Text 5 2" xfId="20876"/>
    <cellStyle name="Warnender Text 50 2" xfId="20877"/>
    <cellStyle name="Warnender Text 51 2" xfId="20878"/>
    <cellStyle name="Warnender Text 52 2" xfId="20879"/>
    <cellStyle name="Warnender Text 53 2" xfId="20880"/>
    <cellStyle name="Warnender Text 54 2" xfId="20881"/>
    <cellStyle name="Warnender Text 55 2" xfId="20882"/>
    <cellStyle name="Warnender Text 56 2" xfId="20883"/>
    <cellStyle name="Warnender Text 57 2" xfId="20884"/>
    <cellStyle name="Warnender Text 58 2" xfId="20885"/>
    <cellStyle name="Warnender Text 59 2" xfId="20886"/>
    <cellStyle name="Warnender Text 6 2" xfId="20887"/>
    <cellStyle name="Warnender Text 60 2" xfId="20888"/>
    <cellStyle name="Warnender Text 61 2" xfId="20889"/>
    <cellStyle name="Warnender Text 62 2" xfId="20890"/>
    <cellStyle name="Warnender Text 63 2" xfId="20891"/>
    <cellStyle name="Warnender Text 64 2" xfId="20892"/>
    <cellStyle name="Warnender Text 65 2" xfId="20893"/>
    <cellStyle name="Warnender Text 66 2" xfId="20894"/>
    <cellStyle name="Warnender Text 67 2" xfId="20895"/>
    <cellStyle name="Warnender Text 68 2" xfId="20896"/>
    <cellStyle name="Warnender Text 69 2" xfId="20897"/>
    <cellStyle name="Warnender Text 7 2" xfId="20898"/>
    <cellStyle name="Warnender Text 70 2" xfId="20899"/>
    <cellStyle name="Warnender Text 71 2" xfId="20900"/>
    <cellStyle name="Warnender Text 72 2" xfId="20901"/>
    <cellStyle name="Warnender Text 73 2" xfId="20902"/>
    <cellStyle name="Warnender Text 74 2" xfId="20903"/>
    <cellStyle name="Warnender Text 75 2" xfId="20904"/>
    <cellStyle name="Warnender Text 76 2" xfId="20905"/>
    <cellStyle name="Warnender Text 77 2" xfId="20906"/>
    <cellStyle name="Warnender Text 78 2" xfId="20907"/>
    <cellStyle name="Warnender Text 79 2" xfId="20908"/>
    <cellStyle name="Warnender Text 8 2" xfId="20909"/>
    <cellStyle name="Warnender Text 80 2" xfId="20910"/>
    <cellStyle name="Warnender Text 81 2" xfId="20911"/>
    <cellStyle name="Warnender Text 82 2" xfId="20912"/>
    <cellStyle name="Warnender Text 83 2" xfId="20913"/>
    <cellStyle name="Warnender Text 84 2" xfId="20914"/>
    <cellStyle name="Warnender Text 85 2" xfId="20915"/>
    <cellStyle name="Warnender Text 86 2" xfId="20916"/>
    <cellStyle name="Warnender Text 87 2" xfId="20917"/>
    <cellStyle name="Warnender Text 88 2" xfId="20918"/>
    <cellStyle name="Warnender Text 89 2" xfId="20919"/>
    <cellStyle name="Warnender Text 9 2" xfId="20920"/>
    <cellStyle name="Warnender Text 90 2" xfId="20921"/>
    <cellStyle name="Warnender Text 91 2" xfId="20922"/>
    <cellStyle name="Warnender Text 92 2" xfId="20923"/>
    <cellStyle name="Warnender Text 93 2" xfId="20924"/>
    <cellStyle name="Warnender Text 94 2" xfId="20925"/>
    <cellStyle name="Warnender Text 95 2" xfId="20926"/>
    <cellStyle name="Warnender Text 96 2" xfId="20927"/>
    <cellStyle name="Warnender Text 97 2" xfId="20928"/>
    <cellStyle name="Warnender Text 98 2" xfId="20929"/>
    <cellStyle name="Warnender Text 99 2" xfId="20930"/>
    <cellStyle name="Warning Text 2 2" xfId="20931"/>
    <cellStyle name="Zeilenbruch 2" xfId="20932"/>
    <cellStyle name="Zelle überprüfen 108" xfId="20933"/>
    <cellStyle name="Zelle überprüfen 10 2" xfId="20934"/>
    <cellStyle name="Zelle überprüfen 100 2" xfId="20935"/>
    <cellStyle name="Zelle überprüfen 101 2" xfId="20936"/>
    <cellStyle name="Zelle überprüfen 102 2" xfId="20937"/>
    <cellStyle name="Zelle überprüfen 103 2" xfId="20938"/>
    <cellStyle name="Zelle überprüfen 104 2" xfId="20939"/>
    <cellStyle name="Zelle überprüfen 105 2" xfId="20940"/>
    <cellStyle name="Zelle überprüfen 106 2" xfId="20941"/>
    <cellStyle name="Zelle überprüfen 107 2" xfId="20942"/>
    <cellStyle name="Zelle überprüfen 11 2" xfId="20943"/>
    <cellStyle name="Zelle überprüfen 12 2" xfId="20944"/>
    <cellStyle name="Zelle überprüfen 13 2" xfId="20945"/>
    <cellStyle name="Zelle überprüfen 14 2" xfId="20946"/>
    <cellStyle name="Zelle überprüfen 15 2" xfId="20947"/>
    <cellStyle name="Zelle überprüfen 16 2" xfId="20948"/>
    <cellStyle name="Zelle überprüfen 17 2" xfId="20949"/>
    <cellStyle name="Zelle überprüfen 18 2" xfId="20950"/>
    <cellStyle name="Zelle überprüfen 19 2" xfId="20951"/>
    <cellStyle name="Zelle überprüfen 2 2" xfId="20952"/>
    <cellStyle name="Zelle überprüfen 20 2" xfId="20953"/>
    <cellStyle name="Zelle überprüfen 21 2" xfId="20954"/>
    <cellStyle name="Zelle überprüfen 22 2" xfId="20955"/>
    <cellStyle name="Zelle überprüfen 23 2" xfId="20956"/>
    <cellStyle name="Zelle überprüfen 24 2" xfId="20957"/>
    <cellStyle name="Zelle überprüfen 25 2" xfId="20958"/>
    <cellStyle name="Zelle überprüfen 26 2" xfId="20959"/>
    <cellStyle name="Zelle überprüfen 27 2" xfId="20960"/>
    <cellStyle name="Zelle überprüfen 28 2" xfId="20961"/>
    <cellStyle name="Zelle überprüfen 29 2" xfId="20962"/>
    <cellStyle name="Zelle überprüfen 3 2" xfId="20963"/>
    <cellStyle name="Zelle überprüfen 30 2" xfId="20964"/>
    <cellStyle name="Zelle überprüfen 31 2" xfId="20965"/>
    <cellStyle name="Zelle überprüfen 32 2" xfId="20966"/>
    <cellStyle name="Zelle überprüfen 33 2" xfId="20967"/>
    <cellStyle name="Zelle überprüfen 34 2" xfId="20968"/>
    <cellStyle name="Zelle überprüfen 35 2" xfId="20969"/>
    <cellStyle name="Zelle überprüfen 36 2" xfId="20970"/>
    <cellStyle name="Zelle überprüfen 37 2" xfId="20971"/>
    <cellStyle name="Zelle überprüfen 38 2" xfId="20972"/>
    <cellStyle name="Zelle überprüfen 39 2" xfId="20973"/>
    <cellStyle name="Zelle überprüfen 4 2" xfId="20974"/>
    <cellStyle name="Zelle überprüfen 40 2" xfId="20975"/>
    <cellStyle name="Zelle überprüfen 41 2" xfId="20976"/>
    <cellStyle name="Zelle überprüfen 42 2" xfId="20977"/>
    <cellStyle name="Zelle überprüfen 43 2" xfId="20978"/>
    <cellStyle name="Zelle überprüfen 44 2" xfId="20979"/>
    <cellStyle name="Zelle überprüfen 45 2" xfId="20980"/>
    <cellStyle name="Zelle überprüfen 46 2" xfId="20981"/>
    <cellStyle name="Zelle überprüfen 47 2" xfId="20982"/>
    <cellStyle name="Zelle überprüfen 48 2" xfId="20983"/>
    <cellStyle name="Zelle überprüfen 49 2" xfId="20984"/>
    <cellStyle name="Zelle überprüfen 5 2" xfId="20985"/>
    <cellStyle name="Zelle überprüfen 50 2" xfId="20986"/>
    <cellStyle name="Zelle überprüfen 51 2" xfId="20987"/>
    <cellStyle name="Zelle überprüfen 52 2" xfId="20988"/>
    <cellStyle name="Zelle überprüfen 53 2" xfId="20989"/>
    <cellStyle name="Zelle überprüfen 54 2" xfId="20990"/>
    <cellStyle name="Zelle überprüfen 55 2" xfId="20991"/>
    <cellStyle name="Zelle überprüfen 56 2" xfId="20992"/>
    <cellStyle name="Zelle überprüfen 57 2" xfId="20993"/>
    <cellStyle name="Zelle überprüfen 58 2" xfId="20994"/>
    <cellStyle name="Zelle überprüfen 59 2" xfId="20995"/>
    <cellStyle name="Zelle überprüfen 6 2" xfId="20996"/>
    <cellStyle name="Zelle überprüfen 60 2" xfId="20997"/>
    <cellStyle name="Zelle überprüfen 61 2" xfId="20998"/>
    <cellStyle name="Zelle überprüfen 62 2" xfId="20999"/>
    <cellStyle name="Zelle überprüfen 63 2" xfId="21000"/>
    <cellStyle name="Zelle überprüfen 64 2" xfId="21001"/>
    <cellStyle name="Zelle überprüfen 65 2" xfId="21002"/>
    <cellStyle name="Zelle überprüfen 66 2" xfId="21003"/>
    <cellStyle name="Zelle überprüfen 67 2" xfId="21004"/>
    <cellStyle name="Zelle überprüfen 68 2" xfId="21005"/>
    <cellStyle name="Zelle überprüfen 69 2" xfId="21006"/>
    <cellStyle name="Zelle überprüfen 7 2" xfId="21007"/>
    <cellStyle name="Zelle überprüfen 70 2" xfId="21008"/>
    <cellStyle name="Zelle überprüfen 71 2" xfId="21009"/>
    <cellStyle name="Zelle überprüfen 72 2" xfId="21010"/>
    <cellStyle name="Zelle überprüfen 73 2" xfId="21011"/>
    <cellStyle name="Zelle überprüfen 74 2" xfId="21012"/>
    <cellStyle name="Zelle überprüfen 75 2" xfId="21013"/>
    <cellStyle name="Zelle überprüfen 76 2" xfId="21014"/>
    <cellStyle name="Zelle überprüfen 77 2" xfId="21015"/>
    <cellStyle name="Zelle überprüfen 78 2" xfId="21016"/>
    <cellStyle name="Zelle überprüfen 79 2" xfId="21017"/>
    <cellStyle name="Zelle überprüfen 8 2" xfId="21018"/>
    <cellStyle name="Zelle überprüfen 80 2" xfId="21019"/>
    <cellStyle name="Zelle überprüfen 81 2" xfId="21020"/>
    <cellStyle name="Zelle überprüfen 82 2" xfId="21021"/>
    <cellStyle name="Zelle überprüfen 83 2" xfId="21022"/>
    <cellStyle name="Zelle überprüfen 84 2" xfId="21023"/>
    <cellStyle name="Zelle überprüfen 85 2" xfId="21024"/>
    <cellStyle name="Zelle überprüfen 86 2" xfId="21025"/>
    <cellStyle name="Zelle überprüfen 87 2" xfId="21026"/>
    <cellStyle name="Zelle überprüfen 88 2" xfId="21027"/>
    <cellStyle name="Zelle überprüfen 89 2" xfId="21028"/>
    <cellStyle name="Zelle überprüfen 9 2" xfId="21029"/>
    <cellStyle name="Zelle überprüfen 90 2" xfId="21030"/>
    <cellStyle name="Zelle überprüfen 91 2" xfId="21031"/>
    <cellStyle name="Zelle überprüfen 92 2" xfId="21032"/>
    <cellStyle name="Zelle überprüfen 93 2" xfId="21033"/>
    <cellStyle name="Zelle überprüfen 94 2" xfId="21034"/>
    <cellStyle name="Zelle überprüfen 95 2" xfId="21035"/>
    <cellStyle name="Zelle überprüfen 96 2" xfId="21036"/>
    <cellStyle name="Zelle überprüfen 97 2" xfId="21037"/>
    <cellStyle name="Zelle überprüfen 98 2" xfId="21038"/>
    <cellStyle name="Zelle überprüfen 99 2" xfId="21039"/>
    <cellStyle name="zentr(hoch,quer) 2" xfId="21040"/>
    <cellStyle name="Normal 132 2" xfId="21041"/>
    <cellStyle name="Currency 4 2" xfId="21042"/>
    <cellStyle name="Normal 134 2" xfId="21043"/>
    <cellStyle name="Euro 4" xfId="21044"/>
    <cellStyle name="Euro 5" xfId="21045"/>
    <cellStyle name="Euro 6" xfId="21046"/>
    <cellStyle name="20% - Accent1" xfId="21047"/>
    <cellStyle name="20% - Accent2" xfId="21048"/>
    <cellStyle name="20% - Accent3" xfId="21049"/>
    <cellStyle name="20% - Accent4" xfId="21050"/>
    <cellStyle name="20% - Accent5" xfId="21051"/>
    <cellStyle name="20% - Accent6" xfId="21052"/>
    <cellStyle name="40% - Accent1" xfId="21053"/>
    <cellStyle name="40% - Accent2" xfId="21054"/>
    <cellStyle name="40% - Accent3" xfId="21055"/>
    <cellStyle name="40% - Accent4" xfId="21056"/>
    <cellStyle name="40% - Accent5" xfId="21057"/>
    <cellStyle name="40% - Accent6" xfId="21058"/>
    <cellStyle name="40% - Akzent2 70_est. MEAT" xfId="21059"/>
    <cellStyle name="40% - Akzent2 71_est. MEAT" xfId="21060"/>
    <cellStyle name="40% - Akzent2 72_est. MEAT" xfId="21061"/>
    <cellStyle name="40% - Akzent2 73_est. MEAT" xfId="21062"/>
    <cellStyle name="40% - Akzent2 74_est. MEAT" xfId="21063"/>
    <cellStyle name="40% - Akzent2 75_est. MEAT" xfId="21064"/>
    <cellStyle name="40% - Akzent2 76_est. MEAT" xfId="21065"/>
    <cellStyle name="40% - Akzent2 77_est. MEAT" xfId="21066"/>
    <cellStyle name="40% - Akzent2 78_est. MEAT" xfId="21067"/>
    <cellStyle name="40% - Akzent2 79_est. MEAT" xfId="21068"/>
    <cellStyle name="40% - Akzent2 8_est. MEAT" xfId="21069"/>
    <cellStyle name="40% - Akzent2 80_est. MEAT" xfId="21070"/>
    <cellStyle name="40% - Akzent2 81_est. MEAT" xfId="21071"/>
    <cellStyle name="40% - Akzent2 82_est. MEAT" xfId="21072"/>
    <cellStyle name="40% - Akzent2 83_est. MEAT" xfId="21073"/>
    <cellStyle name="40% - Akzent2 84_est. MEAT" xfId="21074"/>
    <cellStyle name="40% - Akzent2 85_est. MEAT" xfId="21075"/>
    <cellStyle name="40% - Akzent2 86_est. MEAT" xfId="21076"/>
    <cellStyle name="40% - Akzent2 87_est. MEAT" xfId="21077"/>
    <cellStyle name="40% - Akzent2 88_est. MEAT" xfId="21078"/>
    <cellStyle name="40% - Akzent2 89_est. MEAT" xfId="21079"/>
    <cellStyle name="40% - Akzent2 9_est. MEAT" xfId="21080"/>
    <cellStyle name="40% - Akzent2 90_est. MEAT" xfId="21081"/>
    <cellStyle name="40% - Akzent2 91_est. MEAT" xfId="21082"/>
    <cellStyle name="40% - Akzent2 92_est. MEAT" xfId="21083"/>
    <cellStyle name="40% - Akzent2 93_est. MEAT" xfId="21084"/>
    <cellStyle name="40% - Akzent2 94_est. MEAT" xfId="21085"/>
    <cellStyle name="40% - Akzent2 95_est. MEAT" xfId="21086"/>
    <cellStyle name="40% - Akzent2 96_est. MEAT" xfId="21087"/>
    <cellStyle name="40% - Akzent2 97_est. MEAT" xfId="21088"/>
    <cellStyle name="40% - Akzent2 98_est. MEAT" xfId="21089"/>
    <cellStyle name="40% - Akzent2 99_est. MEAT" xfId="21090"/>
    <cellStyle name="40% - Akzent3 10 2_est. MEAT" xfId="21091"/>
    <cellStyle name="40% - Akzent3 100 2_est. MEAT" xfId="21092"/>
    <cellStyle name="40% - Akzent3 101 2_est. MEAT" xfId="21093"/>
    <cellStyle name="40% - Akzent3 102 2_est. MEAT" xfId="21094"/>
    <cellStyle name="40% - Akzent3 103 2_est. MEAT" xfId="21095"/>
    <cellStyle name="40% - Akzent3 104 2_est. MEAT" xfId="21096"/>
    <cellStyle name="40% - Akzent3 105 2_est. MEAT" xfId="21097"/>
    <cellStyle name="40% - Akzent3 106 2_est. MEAT" xfId="21098"/>
    <cellStyle name="40% - Akzent3 107 2_est. MEAT" xfId="21099"/>
    <cellStyle name="40% - Akzent3 108 2_est. MEAT" xfId="21100"/>
    <cellStyle name="40% - Akzent3 109 2_est. MEAT" xfId="21101"/>
    <cellStyle name="40% - Akzent3 11 2_est. MEAT" xfId="21102"/>
    <cellStyle name="40% - Akzent3 110 2_est. MEAT" xfId="21103"/>
    <cellStyle name="40% - Akzent3 111 2_est. MEAT" xfId="21104"/>
    <cellStyle name="40% - Akzent3 112 2_est. MEAT" xfId="21105"/>
    <cellStyle name="40% - Akzent3 113 2_est. MEAT" xfId="21106"/>
    <cellStyle name="40% - Akzent3 114 2_est. MEAT" xfId="21107"/>
    <cellStyle name="40% - Akzent3 115 2_est. MEAT" xfId="21108"/>
    <cellStyle name="40% - Akzent3 116 2_est. MEAT" xfId="21109"/>
    <cellStyle name="40% - Akzent3 117 2_est. MEAT" xfId="21110"/>
    <cellStyle name="40% - Akzent3 118 2_est. MEAT" xfId="21111"/>
    <cellStyle name="40% - Akzent3 119 2_est. MEAT" xfId="21112"/>
    <cellStyle name="40% - Akzent3 12 2_est. MEAT" xfId="21113"/>
    <cellStyle name="40% - Akzent3 120 2_est. MEAT" xfId="21114"/>
    <cellStyle name="40% - Akzent3 121 2_est. MEAT" xfId="21115"/>
    <cellStyle name="40% - Akzent3 122 2_est. MEAT" xfId="21116"/>
    <cellStyle name="40% - Akzent3 123 2_est. MEAT" xfId="21117"/>
    <cellStyle name="40% - Akzent3 124 2_est. MEAT" xfId="21118"/>
    <cellStyle name="40% - Akzent3 125 2_est. MEAT" xfId="21119"/>
    <cellStyle name="40% - Akzent3 126 2_est. MEAT" xfId="21120"/>
    <cellStyle name="40% - Akzent3 127 2_est. MEAT" xfId="21121"/>
    <cellStyle name="40% - Akzent3 128 2_est. MEAT" xfId="21122"/>
    <cellStyle name="40% - Akzent3 129 2_est. MEAT" xfId="21123"/>
    <cellStyle name="40% - Akzent3 13 2_est. MEAT" xfId="21124"/>
    <cellStyle name="40% - Akzent3 130 2_est. MEAT" xfId="21125"/>
    <cellStyle name="40% - Akzent3 131 2_est. MEAT" xfId="21126"/>
    <cellStyle name="40% - Akzent3 132 2_est. MEAT" xfId="21127"/>
    <cellStyle name="40% - Akzent3 133 2_est. MEAT" xfId="21128"/>
    <cellStyle name="40% - Akzent3 134 2_est. MEAT" xfId="21129"/>
    <cellStyle name="40% - Akzent3 135 2_est. MEAT" xfId="21130"/>
    <cellStyle name="40% - Akzent3 136 2_est. MEAT" xfId="21131"/>
    <cellStyle name="40% - Akzent3 137 2_est. MEAT" xfId="21132"/>
    <cellStyle name="40% - Akzent3 138 2_est. MEAT" xfId="21133"/>
    <cellStyle name="40% - Akzent3 139 2_est. MEAT" xfId="21134"/>
    <cellStyle name="40% - Akzent3 14 2_est. MEAT" xfId="21135"/>
    <cellStyle name="40% - Akzent3 140 2_est. MEAT" xfId="21136"/>
    <cellStyle name="40% - Akzent3 141 2_est. MEAT" xfId="21137"/>
    <cellStyle name="40% - Akzent3 142 2_est. MEAT" xfId="21138"/>
    <cellStyle name="40% - Akzent3 143 2_est. MEAT" xfId="21139"/>
    <cellStyle name="40% - Akzent3 144 2_est. MEAT" xfId="21140"/>
    <cellStyle name="40% - Akzent3 145 2_est. MEAT" xfId="21141"/>
    <cellStyle name="40% - Akzent3 146 2_est. MEAT" xfId="21142"/>
    <cellStyle name="40% - Akzent3 147 2_est. MEAT" xfId="21143"/>
    <cellStyle name="40% - Akzent3 148 2_est. MEAT" xfId="21144"/>
    <cellStyle name="40% - Akzent3 149 2_est. MEAT" xfId="21145"/>
    <cellStyle name="40% - Akzent3 15 2_est. MEAT" xfId="21146"/>
    <cellStyle name="40% - Akzent3 150 2_est. MEAT" xfId="21147"/>
    <cellStyle name="40% - Akzent3 151 2_est. MEAT" xfId="21148"/>
    <cellStyle name="40% - Akzent3 16 2_est. MEAT" xfId="21149"/>
    <cellStyle name="40% - Akzent3 17 2_est. MEAT" xfId="21150"/>
    <cellStyle name="40% - Akzent3 18 2_est. MEAT" xfId="21151"/>
    <cellStyle name="40% - Akzent3 19 2_est. MEAT" xfId="21152"/>
    <cellStyle name="40% - Akzent3 2 2_est. MEAT" xfId="21153"/>
    <cellStyle name="40% - Akzent3 2 3_est. MEAT" xfId="21154"/>
    <cellStyle name="40% - Akzent3 2 4 2_est. MEAT" xfId="21155"/>
    <cellStyle name="40% - Akzent3 2 5_est. MEAT" xfId="21156"/>
    <cellStyle name="40% - Akzent3 20 2_est. MEAT" xfId="21157"/>
    <cellStyle name="40% - Akzent3 21 2_est. MEAT" xfId="21158"/>
    <cellStyle name="40% - Akzent3 22 2_est. MEAT" xfId="21159"/>
    <cellStyle name="40% - Akzent3 23 2_est. MEAT" xfId="21160"/>
    <cellStyle name="40% - Akzent3 24 2_est. MEAT" xfId="21161"/>
    <cellStyle name="40% - Akzent3 25 2_est. MEAT" xfId="21162"/>
    <cellStyle name="40% - Akzent3 26 2_est. MEAT" xfId="21163"/>
    <cellStyle name="40% - Akzent3 27 2_est. MEAT" xfId="21164"/>
    <cellStyle name="40% - Akzent3 28 2_est. MEAT" xfId="21165"/>
    <cellStyle name="40% - Akzent3 29 2_est. MEAT" xfId="21166"/>
    <cellStyle name="40% - Akzent3 3 2_est. MEAT" xfId="21167"/>
    <cellStyle name="40% - Akzent3 3 3_est. MEAT" xfId="21168"/>
    <cellStyle name="40% - Akzent3 3 4 2_est. MEAT" xfId="21169"/>
    <cellStyle name="40% - Akzent3 3 5_est. MEAT" xfId="21170"/>
    <cellStyle name="40% - Akzent3 30 2_est. MEAT" xfId="21171"/>
    <cellStyle name="40% - Akzent3 31 2_est. MEAT" xfId="21172"/>
    <cellStyle name="40% - Akzent3 32 2_est. MEAT" xfId="21173"/>
    <cellStyle name="40% - Akzent3 33 2_est. MEAT" xfId="21174"/>
    <cellStyle name="40% - Akzent3 34 2_est. MEAT" xfId="21175"/>
    <cellStyle name="40% - Akzent3 35 2_est. MEAT" xfId="21176"/>
    <cellStyle name="40% - Akzent3 36 2_est. MEAT" xfId="21177"/>
    <cellStyle name="40% - Akzent3 37 2_est. MEAT" xfId="21178"/>
    <cellStyle name="40% - Akzent3 38 2_est. MEAT" xfId="21179"/>
    <cellStyle name="40% - Akzent3 39 2_est. MEAT" xfId="21180"/>
    <cellStyle name="40% - Akzent3 4 2_est. MEAT" xfId="21181"/>
    <cellStyle name="40% - Akzent3 4 3_est. MEAT" xfId="21182"/>
    <cellStyle name="40% - Akzent3 4 4 2_est. MEAT" xfId="21183"/>
    <cellStyle name="40% - Akzent3 4 5_est. MEAT" xfId="21184"/>
    <cellStyle name="40% - Akzent3 40 2_est. MEAT" xfId="21185"/>
    <cellStyle name="40% - Akzent3 41 2_est. MEAT" xfId="21186"/>
    <cellStyle name="40% - Akzent3 42 2_est. MEAT" xfId="21187"/>
    <cellStyle name="40% - Akzent3 43 2_est. MEAT" xfId="21188"/>
    <cellStyle name="40% - Akzent3 44 2_est. MEAT" xfId="21189"/>
    <cellStyle name="40% - Akzent3 45 2_est. MEAT" xfId="21190"/>
    <cellStyle name="40% - Akzent3 46 2_est. MEAT" xfId="21191"/>
    <cellStyle name="40% - Akzent3 47 2_est. MEAT" xfId="21192"/>
    <cellStyle name="40% - Akzent3 48 2_est. MEAT" xfId="21193"/>
    <cellStyle name="40% - Akzent3 49 2_est. MEAT" xfId="21194"/>
    <cellStyle name="40% - Akzent3 5 2_est. MEAT" xfId="21195"/>
    <cellStyle name="40% - Akzent3 50 2_est. MEAT" xfId="21196"/>
    <cellStyle name="40% - Akzent3 51 2_est. MEAT" xfId="21197"/>
    <cellStyle name="40% - Akzent3 52 2_est. MEAT" xfId="21198"/>
    <cellStyle name="40% - Akzent3 53 2_est. MEAT" xfId="21199"/>
    <cellStyle name="40% - Akzent3 54 2_est. MEAT" xfId="21200"/>
    <cellStyle name="40% - Akzent3 55 2_est. MEAT" xfId="21201"/>
    <cellStyle name="40% - Akzent3 56 2_est. MEAT" xfId="21202"/>
    <cellStyle name="40% - Akzent3 57 2_est. MEAT" xfId="21203"/>
    <cellStyle name="40% - Akzent3 58 2_est. MEAT" xfId="21204"/>
    <cellStyle name="40% - Akzent3 59 2_est. MEAT" xfId="21205"/>
    <cellStyle name="40% - Akzent3 6 2_est. MEAT" xfId="21206"/>
    <cellStyle name="40% - Akzent3 60 2_est. MEAT" xfId="21207"/>
    <cellStyle name="40% - Akzent3 61 2_est. MEAT" xfId="21208"/>
    <cellStyle name="40% - Akzent3 62 2_est. MEAT" xfId="21209"/>
    <cellStyle name="40% - Akzent3 63 2_est. MEAT" xfId="21210"/>
    <cellStyle name="40% - Akzent3 64 2_est. MEAT" xfId="21211"/>
    <cellStyle name="40% - Akzent3 65 2_est. MEAT" xfId="21212"/>
    <cellStyle name="40% - Akzent3 66 2_est. MEAT" xfId="21213"/>
    <cellStyle name="40% - Akzent3 67 2_est. MEAT" xfId="21214"/>
    <cellStyle name="40% - Akzent3 68 2_est. MEAT" xfId="21215"/>
    <cellStyle name="40% - Akzent3 69 2_est. MEAT" xfId="21216"/>
    <cellStyle name="40% - Akzent3 7 2_est. MEAT" xfId="21217"/>
    <cellStyle name="40% - Akzent3 70 2_est. MEAT" xfId="21218"/>
    <cellStyle name="40% - Akzent3 71 2_est. MEAT" xfId="21219"/>
    <cellStyle name="40% - Akzent3 72 2_est. MEAT" xfId="21220"/>
    <cellStyle name="40% - Akzent3 73 2_est. MEAT" xfId="21221"/>
    <cellStyle name="40% - Akzent3 74 2_est. MEAT" xfId="21222"/>
    <cellStyle name="40% - Akzent3 75 2_est. MEAT" xfId="21223"/>
    <cellStyle name="40% - Akzent3 76 2_est. MEAT" xfId="21224"/>
    <cellStyle name="40% - Akzent3 77 2_est. MEAT" xfId="21225"/>
    <cellStyle name="40% - Akzent3 78 2_est. MEAT" xfId="21226"/>
    <cellStyle name="40% - Akzent3 79 2_est. MEAT" xfId="21227"/>
    <cellStyle name="40% - Akzent3 8 2_est. MEAT" xfId="21228"/>
    <cellStyle name="40% - Akzent3 80 2_est. MEAT" xfId="21229"/>
    <cellStyle name="40% - Akzent3 81 2_est. MEAT" xfId="21230"/>
    <cellStyle name="40% - Akzent3 82 2_est. MEAT" xfId="21231"/>
    <cellStyle name="40% - Akzent3 83 2_est. MEAT" xfId="21232"/>
    <cellStyle name="40% - Akzent3 84 2_est. MEAT" xfId="21233"/>
    <cellStyle name="40% - Akzent3 85 2_est. MEAT" xfId="21234"/>
    <cellStyle name="40% - Akzent3 86 2_est. MEAT" xfId="21235"/>
    <cellStyle name="40% - Akzent3 87 2_est. MEAT" xfId="21236"/>
    <cellStyle name="40% - Akzent3 88 2_est. MEAT" xfId="21237"/>
    <cellStyle name="40% - Akzent3 89 2_est. MEAT" xfId="21238"/>
    <cellStyle name="40% - Akzent3 9 2_est. MEAT" xfId="21239"/>
    <cellStyle name="40% - Akzent3 90 2_est. MEAT" xfId="21240"/>
    <cellStyle name="40% - Akzent3 91 2_est. MEAT" xfId="21241"/>
    <cellStyle name="40% - Akzent3 92 2_est. MEAT" xfId="21242"/>
    <cellStyle name="40% - Akzent3 93 2_est. MEAT" xfId="21243"/>
    <cellStyle name="40% - Akzent3 94 2_est. MEAT" xfId="21244"/>
    <cellStyle name="40% - Akzent3 95 2_est. MEAT" xfId="21245"/>
    <cellStyle name="40% - Akzent3 96 2_est. MEAT" xfId="21246"/>
    <cellStyle name="40% - Akzent3 97 2_est. MEAT" xfId="21247"/>
    <cellStyle name="40% - Akzent3 98 2_est. MEAT" xfId="21248"/>
    <cellStyle name="40% - Akzent3 99 2_est. MEAT" xfId="21249"/>
    <cellStyle name="40% - Akzent4 10 2_est. MEAT" xfId="21250"/>
    <cellStyle name="40% - Akzent4 100 2_est. MEAT" xfId="21251"/>
    <cellStyle name="40% - Akzent4 101 2_est. MEAT" xfId="21252"/>
    <cellStyle name="40% - Akzent4 102 2_est. MEAT" xfId="21253"/>
    <cellStyle name="40% - Akzent4 103 2_est. MEAT" xfId="21254"/>
    <cellStyle name="40% - Akzent4 104 2_est. MEAT" xfId="21255"/>
    <cellStyle name="40% - Akzent4 105 2_est. MEAT" xfId="21256"/>
    <cellStyle name="40% - Akzent4 106 2_est. MEAT" xfId="21257"/>
    <cellStyle name="40% - Akzent4 107 2_est. MEAT" xfId="21258"/>
    <cellStyle name="40% - Akzent4 108 2_est. MEAT" xfId="21259"/>
    <cellStyle name="40% - Akzent4 109 2_est. MEAT" xfId="21260"/>
    <cellStyle name="40% - Akzent4 11 2_est. MEAT" xfId="21261"/>
    <cellStyle name="40% - Akzent4 110 2_est. MEAT" xfId="21262"/>
    <cellStyle name="40% - Akzent4 111 2_est. MEAT" xfId="21263"/>
    <cellStyle name="40% - Akzent4 112 2_est. MEAT" xfId="21264"/>
    <cellStyle name="40% - Akzent4 113 2_est. MEAT" xfId="21265"/>
    <cellStyle name="40% - Akzent4 114 2_est. MEAT" xfId="21266"/>
    <cellStyle name="40% - Akzent4 115 2_est. MEAT" xfId="21267"/>
    <cellStyle name="40% - Akzent4 116 2_est. MEAT" xfId="21268"/>
    <cellStyle name="40% - Akzent4 117 2_est. MEAT" xfId="21269"/>
    <cellStyle name="40% - Akzent4 118 2_est. MEAT" xfId="21270"/>
    <cellStyle name="40% - Akzent4 119 2_est. MEAT" xfId="21271"/>
    <cellStyle name="40% - Akzent4 12 2_est. MEAT" xfId="21272"/>
    <cellStyle name="40% - Akzent4 120 2_est. MEAT" xfId="21273"/>
    <cellStyle name="40% - Akzent4 121 2_est. MEAT" xfId="21274"/>
    <cellStyle name="40% - Akzent4 122 2_est. MEAT" xfId="21275"/>
    <cellStyle name="40% - Akzent4 123 2_est. MEAT" xfId="21276"/>
    <cellStyle name="40% - Akzent4 124 2_est. MEAT" xfId="21277"/>
    <cellStyle name="40% - Akzent4 125 2_est. MEAT" xfId="21278"/>
    <cellStyle name="40% - Akzent4 126 2_est. MEAT" xfId="21279"/>
    <cellStyle name="40% - Akzent4 127 2_est. MEAT" xfId="21280"/>
    <cellStyle name="40% - Akzent4 128 2_est. MEAT" xfId="21281"/>
    <cellStyle name="40% - Akzent4 129 2_est. MEAT" xfId="21282"/>
    <cellStyle name="40% - Akzent4 13 2_est. MEAT" xfId="21283"/>
    <cellStyle name="40% - Akzent4 130 2_est. MEAT" xfId="21284"/>
    <cellStyle name="40% - Akzent4 131 2_est. MEAT" xfId="21285"/>
    <cellStyle name="40% - Akzent4 132 2_est. MEAT" xfId="21286"/>
    <cellStyle name="40% - Akzent4 133 2_est. MEAT" xfId="21287"/>
    <cellStyle name="40% - Akzent4 134 2_est. MEAT" xfId="21288"/>
    <cellStyle name="40% - Akzent4 135 2_est. MEAT" xfId="21289"/>
    <cellStyle name="40% - Akzent4 136 2_est. MEAT" xfId="21290"/>
    <cellStyle name="40% - Akzent4 137 2_est. MEAT" xfId="21291"/>
    <cellStyle name="40% - Akzent4 138 2_est. MEAT" xfId="21292"/>
    <cellStyle name="40% - Akzent4 139 2_est. MEAT" xfId="21293"/>
    <cellStyle name="40% - Akzent4 14 2_est. MEAT" xfId="21294"/>
    <cellStyle name="40% - Akzent4 140 2_est. MEAT" xfId="21295"/>
    <cellStyle name="40% - Akzent4 141 2_est. MEAT" xfId="21296"/>
    <cellStyle name="40% - Akzent4 142 2_est. MEAT" xfId="21297"/>
    <cellStyle name="40% - Akzent4 143 2_est. MEAT" xfId="21298"/>
    <cellStyle name="40% - Akzent4 144 2_est. MEAT" xfId="21299"/>
    <cellStyle name="40% - Akzent4 145 2_est. MEAT" xfId="21300"/>
    <cellStyle name="40% - Akzent4 146 2_est. MEAT" xfId="21301"/>
    <cellStyle name="40% - Akzent4 147 2_est. MEAT" xfId="21302"/>
    <cellStyle name="40% - Akzent4 148 2_est. MEAT" xfId="21303"/>
    <cellStyle name="40% - Akzent4 149 2_est. MEAT" xfId="21304"/>
    <cellStyle name="40% - Akzent4 15 2_est. MEAT" xfId="21305"/>
    <cellStyle name="40% - Akzent4 150 2_est. MEAT" xfId="21306"/>
    <cellStyle name="40% - Akzent4 151 2_est. MEAT" xfId="21307"/>
    <cellStyle name="40% - Akzent4 16 2_est. MEAT" xfId="21308"/>
    <cellStyle name="40% - Akzent4 17 2_est. MEAT" xfId="21309"/>
    <cellStyle name="40% - Akzent4 18 2_est. MEAT" xfId="21310"/>
    <cellStyle name="40% - Akzent4 19 2_est. MEAT" xfId="21311"/>
    <cellStyle name="40% - Akzent4 2 2_est. MEAT" xfId="21312"/>
    <cellStyle name="40% - Akzent4 2 3_est. MEAT" xfId="21313"/>
    <cellStyle name="40% - Akzent4 2 4 2_est. MEAT" xfId="21314"/>
    <cellStyle name="40% - Akzent4 2 5_est. MEAT" xfId="21315"/>
    <cellStyle name="40% - Akzent4 20 2_est. MEAT" xfId="21316"/>
    <cellStyle name="40% - Akzent4 21 2_est. MEAT" xfId="21317"/>
    <cellStyle name="40% - Akzent4 22 2_est. MEAT" xfId="21318"/>
    <cellStyle name="40% - Akzent4 23 2_est. MEAT" xfId="21319"/>
    <cellStyle name="40% - Akzent4 24 2_est. MEAT" xfId="21320"/>
    <cellStyle name="40% - Akzent4 25 2_est. MEAT" xfId="21321"/>
    <cellStyle name="40% - Akzent4 26 2_est. MEAT" xfId="21322"/>
    <cellStyle name="40% - Akzent4 27 2_est. MEAT" xfId="21323"/>
    <cellStyle name="40% - Akzent4 28 2_est. MEAT" xfId="21324"/>
    <cellStyle name="40% - Akzent4 29 2_est. MEAT" xfId="21325"/>
    <cellStyle name="40% - Akzent4 3 2_est. MEAT" xfId="21326"/>
    <cellStyle name="40% - Akzent4 3 3_est. MEAT" xfId="21327"/>
    <cellStyle name="40% - Akzent4 3 4 2_est. MEAT" xfId="21328"/>
    <cellStyle name="40% - Akzent4 3 5_est. MEAT" xfId="21329"/>
    <cellStyle name="40% - Akzent4 30 2_est. MEAT" xfId="21330"/>
    <cellStyle name="40% - Akzent4 31 2_est. MEAT" xfId="21331"/>
    <cellStyle name="40% - Akzent4 32 2_est. MEAT" xfId="21332"/>
    <cellStyle name="40% - Akzent4 33 2_est. MEAT" xfId="21333"/>
    <cellStyle name="40% - Akzent4 34 2_est. MEAT" xfId="21334"/>
    <cellStyle name="40% - Akzent4 35 2_est. MEAT" xfId="21335"/>
    <cellStyle name="40% - Akzent4 36 2_est. MEAT" xfId="21336"/>
    <cellStyle name="40% - Akzent4 37 2_est. MEAT" xfId="21337"/>
    <cellStyle name="40% - Akzent4 38 2_est. MEAT" xfId="21338"/>
    <cellStyle name="40% - Akzent4 39 2_est. MEAT" xfId="21339"/>
    <cellStyle name="40% - Akzent4 4 2_est. MEAT" xfId="21340"/>
    <cellStyle name="40% - Akzent4 4 3_est. MEAT" xfId="21341"/>
    <cellStyle name="40% - Akzent4 4 4 2_est. MEAT" xfId="21342"/>
    <cellStyle name="40% - Akzent4 4 5_est. MEAT" xfId="21343"/>
    <cellStyle name="40% - Akzent4 40 2_est. MEAT" xfId="21344"/>
    <cellStyle name="40% - Akzent4 41 2_est. MEAT" xfId="21345"/>
    <cellStyle name="40% - Akzent4 42 2_est. MEAT" xfId="21346"/>
    <cellStyle name="40% - Akzent4 43 2_est. MEAT" xfId="21347"/>
    <cellStyle name="40% - Akzent4 44 2_est. MEAT" xfId="21348"/>
    <cellStyle name="40% - Akzent4 45 2_est. MEAT" xfId="21349"/>
    <cellStyle name="40% - Akzent4 46 2_est. MEAT" xfId="21350"/>
    <cellStyle name="40% - Akzent4 47 2_est. MEAT" xfId="21351"/>
    <cellStyle name="40% - Akzent4 48 2_est. MEAT" xfId="21352"/>
    <cellStyle name="40% - Akzent4 49 2_est. MEAT" xfId="21353"/>
    <cellStyle name="40% - Akzent4 5 2_est. MEAT" xfId="21354"/>
    <cellStyle name="40% - Akzent4 50 2_est. MEAT" xfId="21355"/>
    <cellStyle name="40% - Akzent4 51 2_est. MEAT" xfId="21356"/>
    <cellStyle name="40% - Akzent4 52 2_est. MEAT" xfId="21357"/>
    <cellStyle name="40% - Akzent4 53 2_est. MEAT" xfId="21358"/>
    <cellStyle name="40% - Akzent4 54 2_est. MEAT" xfId="21359"/>
    <cellStyle name="40% - Akzent4 55 2_est. MEAT" xfId="21360"/>
    <cellStyle name="40% - Akzent4 56 2_est. MEAT" xfId="21361"/>
    <cellStyle name="40% - Akzent4 57 2_est. MEAT" xfId="21362"/>
    <cellStyle name="40% - Akzent4 58 2_est. MEAT" xfId="21363"/>
    <cellStyle name="40% - Akzent4 59 2_est. MEAT" xfId="21364"/>
    <cellStyle name="40% - Akzent4 6 2_est. MEAT" xfId="21365"/>
    <cellStyle name="40% - Akzent4 60 2_est. MEAT" xfId="21366"/>
    <cellStyle name="40% - Akzent4 61 2_est. MEAT" xfId="21367"/>
    <cellStyle name="40% - Akzent4 62 2_est. MEAT" xfId="21368"/>
    <cellStyle name="40% - Akzent4 63 2_est. MEAT" xfId="21369"/>
    <cellStyle name="40% - Akzent4 64 2_est. MEAT" xfId="21370"/>
    <cellStyle name="40% - Akzent4 65 2_est. MEAT" xfId="21371"/>
    <cellStyle name="40% - Akzent4 66 2_est. MEAT" xfId="21372"/>
    <cellStyle name="40% - Akzent4 67 2_est. MEAT" xfId="21373"/>
    <cellStyle name="40% - Akzent4 68 2_est. MEAT" xfId="21374"/>
    <cellStyle name="40% - Akzent4 69 2_est. MEAT" xfId="21375"/>
    <cellStyle name="40% - Akzent4 7 2_est. MEAT" xfId="21376"/>
    <cellStyle name="40% - Akzent4 70 2_est. MEAT" xfId="21377"/>
    <cellStyle name="40% - Akzent4 71 2_est. MEAT" xfId="21378"/>
    <cellStyle name="40% - Akzent4 72 2_est. MEAT" xfId="21379"/>
    <cellStyle name="40% - Akzent4 73 2_est. MEAT" xfId="21380"/>
    <cellStyle name="40% - Akzent4 74 2_est. MEAT" xfId="21381"/>
    <cellStyle name="40% - Akzent4 75 2_est. MEAT" xfId="21382"/>
    <cellStyle name="40% - Akzent4 76 2_est. MEAT" xfId="21383"/>
    <cellStyle name="40% - Akzent4 77 2_est. MEAT" xfId="21384"/>
    <cellStyle name="40% - Akzent4 78 2_est. MEAT" xfId="21385"/>
    <cellStyle name="40% - Akzent4 79 2_est. MEAT" xfId="21386"/>
    <cellStyle name="40% - Akzent4 8 2_est. MEAT" xfId="21387"/>
    <cellStyle name="40% - Akzent4 80 2_est. MEAT" xfId="21388"/>
    <cellStyle name="40% - Akzent4 81 2_est. MEAT" xfId="21389"/>
    <cellStyle name="40% - Akzent4 82 2_est. MEAT" xfId="21390"/>
    <cellStyle name="40% - Akzent4 83 2_est. MEAT" xfId="21391"/>
    <cellStyle name="40% - Akzent4 84 2_est. MEAT" xfId="21392"/>
    <cellStyle name="40% - Akzent4 85 2_est. MEAT" xfId="21393"/>
    <cellStyle name="40% - Akzent4 86 2_est. MEAT" xfId="21394"/>
    <cellStyle name="40% - Akzent4 87 2_est. MEAT" xfId="21395"/>
    <cellStyle name="40% - Akzent4 88 2_est. MEAT" xfId="21396"/>
    <cellStyle name="40% - Akzent4 89 2_est. MEAT" xfId="21397"/>
    <cellStyle name="40% - Akzent4 9 2_est. MEAT" xfId="21398"/>
    <cellStyle name="40% - Akzent4 90 2_est. MEAT" xfId="21399"/>
    <cellStyle name="40% - Akzent4 91 2_est. MEAT" xfId="21400"/>
    <cellStyle name="40% - Akzent4 92 2_est. MEAT" xfId="21401"/>
    <cellStyle name="40% - Akzent4 93 2_est. MEAT" xfId="21402"/>
    <cellStyle name="40% - Akzent4 94 2_est. MEAT" xfId="21403"/>
    <cellStyle name="40% - Akzent4 95 2_est. MEAT" xfId="21404"/>
    <cellStyle name="40% - Akzent4 96 2_est. MEAT" xfId="21405"/>
    <cellStyle name="40% - Akzent4 97 2_est. MEAT" xfId="21406"/>
    <cellStyle name="40% - Akzent4 98 2_est. MEAT" xfId="21407"/>
    <cellStyle name="40% - Akzent4 99 2_est. MEAT" xfId="21408"/>
    <cellStyle name="40% - Akzent5 10 2_est. MEAT" xfId="21409"/>
    <cellStyle name="40% - Akzent5 100 2_est. MEAT" xfId="21410"/>
    <cellStyle name="40% - Akzent5 101 2_est. MEAT" xfId="21411"/>
    <cellStyle name="40% - Akzent5 102 2_est. MEAT" xfId="21412"/>
    <cellStyle name="40% - Akzent5 103 2_est. MEAT" xfId="21413"/>
    <cellStyle name="40% - Akzent5 104 2_est. MEAT" xfId="21414"/>
    <cellStyle name="40% - Akzent5 105 2_est. MEAT" xfId="21415"/>
    <cellStyle name="40% - Akzent5 106 2_est. MEAT" xfId="21416"/>
    <cellStyle name="40% - Akzent5 107 2_est. MEAT" xfId="21417"/>
    <cellStyle name="40% - Akzent5 108 2_est. MEAT" xfId="21418"/>
    <cellStyle name="40% - Akzent5 109 2_est. MEAT" xfId="21419"/>
    <cellStyle name="40% - Akzent5 11 2_est. MEAT" xfId="21420"/>
    <cellStyle name="40% - Akzent5 110 2_est. MEAT" xfId="21421"/>
    <cellStyle name="40% - Akzent5 111 2_est. MEAT" xfId="21422"/>
    <cellStyle name="40% - Akzent5 112 2_est. MEAT" xfId="21423"/>
    <cellStyle name="40% - Akzent5 113 2_est. MEAT" xfId="21424"/>
    <cellStyle name="40% - Akzent5 114 2_est. MEAT" xfId="21425"/>
    <cellStyle name="40% - Akzent5 115 2_est. MEAT" xfId="21426"/>
    <cellStyle name="40% - Akzent5 116 2_est. MEAT" xfId="21427"/>
    <cellStyle name="40% - Akzent5 117 2_est. MEAT" xfId="21428"/>
    <cellStyle name="40% - Akzent5 118 2_est. MEAT" xfId="21429"/>
    <cellStyle name="40% - Akzent5 119 2_est. MEAT" xfId="21430"/>
    <cellStyle name="40% - Akzent5 12 2_est. MEAT" xfId="21431"/>
    <cellStyle name="40% - Akzent5 120 2_est. MEAT" xfId="21432"/>
    <cellStyle name="40% - Akzent5 121 2_est. MEAT" xfId="21433"/>
    <cellStyle name="40% - Akzent5 122 2_est. MEAT" xfId="21434"/>
    <cellStyle name="40% - Akzent5 123 2_est. MEAT" xfId="21435"/>
    <cellStyle name="40% - Akzent5 124 2_est. MEAT" xfId="21436"/>
    <cellStyle name="40% - Akzent5 125 2_est. MEAT" xfId="21437"/>
    <cellStyle name="40% - Akzent5 126 2_est. MEAT" xfId="21438"/>
    <cellStyle name="40% - Akzent5 127 2_est. MEAT" xfId="21439"/>
    <cellStyle name="40% - Akzent5 128 2_est. MEAT" xfId="21440"/>
    <cellStyle name="40% - Akzent5 129 2_est. MEAT" xfId="21441"/>
    <cellStyle name="40% - Akzent5 13 2_est. MEAT" xfId="21442"/>
    <cellStyle name="40% - Akzent5 130 2_est. MEAT" xfId="21443"/>
    <cellStyle name="40% - Akzent5 131 2_est. MEAT" xfId="21444"/>
    <cellStyle name="40% - Akzent5 132 2_est. MEAT" xfId="21445"/>
    <cellStyle name="40% - Akzent5 133 2_est. MEAT" xfId="21446"/>
    <cellStyle name="40% - Akzent5 134 2_est. MEAT" xfId="21447"/>
    <cellStyle name="40% - Akzent5 135 2_est. MEAT" xfId="21448"/>
    <cellStyle name="40% - Akzent5 136 2_est. MEAT" xfId="21449"/>
    <cellStyle name="40% - Akzent5 137 2_est. MEAT" xfId="21450"/>
    <cellStyle name="40% - Akzent5 138 2_est. MEAT" xfId="21451"/>
    <cellStyle name="40% - Akzent5 139 2_est. MEAT" xfId="21452"/>
    <cellStyle name="40% - Akzent5 14 2_est. MEAT" xfId="21453"/>
    <cellStyle name="40% - Akzent5 140 2_est. MEAT" xfId="21454"/>
    <cellStyle name="40% - Akzent5 141 2_est. MEAT" xfId="21455"/>
    <cellStyle name="40% - Akzent5 142 2_est. MEAT" xfId="21456"/>
    <cellStyle name="40% - Akzent5 143 2_est. MEAT" xfId="21457"/>
    <cellStyle name="40% - Akzent5 144 2_est. MEAT" xfId="21458"/>
    <cellStyle name="40% - Akzent5 145 2_est. MEAT" xfId="21459"/>
    <cellStyle name="40% - Akzent5 146 2_est. MEAT" xfId="21460"/>
    <cellStyle name="40% - Akzent5 147 2_est. MEAT" xfId="21461"/>
    <cellStyle name="40% - Akzent5 148 2_est. MEAT" xfId="21462"/>
    <cellStyle name="40% - Akzent5 149 2_est. MEAT" xfId="21463"/>
    <cellStyle name="40% - Akzent5 15 2_est. MEAT" xfId="21464"/>
    <cellStyle name="40% - Akzent5 150 2_est. MEAT" xfId="21465"/>
    <cellStyle name="40% - Akzent5 151 2_est. MEAT" xfId="21466"/>
    <cellStyle name="40% - Akzent5 16 2_est. MEAT" xfId="21467"/>
    <cellStyle name="40% - Akzent5 17 2_est. MEAT" xfId="21468"/>
    <cellStyle name="40% - Akzent5 18 2_est. MEAT" xfId="21469"/>
    <cellStyle name="40% - Akzent5 19 2_est. MEAT" xfId="21470"/>
    <cellStyle name="40% - Akzent5 2 2_est. MEAT" xfId="21471"/>
    <cellStyle name="40% - Akzent5 2 3_est. MEAT" xfId="21472"/>
    <cellStyle name="40% - Akzent5 2 4 2_est. MEAT" xfId="21473"/>
    <cellStyle name="40% - Akzent5 2 5_est. MEAT" xfId="21474"/>
    <cellStyle name="40% - Akzent5 20 2_est. MEAT" xfId="21475"/>
    <cellStyle name="40% - Akzent5 21 2_est. MEAT" xfId="21476"/>
    <cellStyle name="40% - Akzent5 22 2_est. MEAT" xfId="21477"/>
    <cellStyle name="40% - Akzent5 23 2_est. MEAT" xfId="21478"/>
    <cellStyle name="40% - Akzent5 24 2_est. MEAT" xfId="21479"/>
    <cellStyle name="40% - Akzent5 25 2_est. MEAT" xfId="21480"/>
    <cellStyle name="40% - Akzent5 26 2_est. MEAT" xfId="21481"/>
    <cellStyle name="40% - Akzent5 27 2_est. MEAT" xfId="21482"/>
    <cellStyle name="40% - Akzent5 28 2_est. MEAT" xfId="21483"/>
    <cellStyle name="40% - Akzent5 29 2_est. MEAT" xfId="21484"/>
    <cellStyle name="40% - Akzent5 3 2_est. MEAT" xfId="21485"/>
    <cellStyle name="40% - Akzent5 3 3_est. MEAT" xfId="21486"/>
    <cellStyle name="40% - Akzent5 3 4 2_est. MEAT" xfId="21487"/>
    <cellStyle name="40% - Akzent5 3 5_est. MEAT" xfId="21488"/>
    <cellStyle name="40% - Akzent5 30 2_est. MEAT" xfId="21489"/>
    <cellStyle name="40% - Akzent5 31 2_est. MEAT" xfId="21490"/>
    <cellStyle name="40% - Akzent5 32 2_est. MEAT" xfId="21491"/>
    <cellStyle name="40% - Akzent5 33 2_est. MEAT" xfId="21492"/>
    <cellStyle name="40% - Akzent5 34 2_est. MEAT" xfId="21493"/>
    <cellStyle name="40% - Akzent5 35 2_est. MEAT" xfId="21494"/>
    <cellStyle name="40% - Akzent5 36 2_est. MEAT" xfId="21495"/>
    <cellStyle name="40% - Akzent5 37 2_est. MEAT" xfId="21496"/>
    <cellStyle name="40% - Akzent5 38 2_est. MEAT" xfId="21497"/>
    <cellStyle name="40% - Akzent5 39 2_est. MEAT" xfId="21498"/>
    <cellStyle name="40% - Akzent5 4 2_est. MEAT" xfId="21499"/>
    <cellStyle name="40% - Akzent5 4 3_est. MEAT" xfId="21500"/>
    <cellStyle name="40% - Akzent5 4 4 2_est. MEAT" xfId="21501"/>
    <cellStyle name="40% - Akzent5 4 5_est. MEAT" xfId="21502"/>
    <cellStyle name="40% - Akzent5 40 2_est. MEAT" xfId="21503"/>
    <cellStyle name="40% - Akzent5 41 2_est. MEAT" xfId="21504"/>
    <cellStyle name="40% - Akzent5 42 2_est. MEAT" xfId="21505"/>
    <cellStyle name="40% - Akzent5 43 2_est. MEAT" xfId="21506"/>
    <cellStyle name="40% - Akzent5 44 2_est. MEAT" xfId="21507"/>
    <cellStyle name="40% - Akzent5 45 2_est. MEAT" xfId="21508"/>
    <cellStyle name="40% - Akzent5 46 2_est. MEAT" xfId="21509"/>
    <cellStyle name="40% - Akzent5 47 2_est. MEAT" xfId="21510"/>
    <cellStyle name="40% - Akzent5 48 2_est. MEAT" xfId="21511"/>
    <cellStyle name="40% - Akzent5 49 2_est. MEAT" xfId="21512"/>
    <cellStyle name="40% - Akzent5 5 2_est. MEAT" xfId="21513"/>
    <cellStyle name="40% - Akzent5 50 2_est. MEAT" xfId="21514"/>
    <cellStyle name="40% - Akzent5 51 2_est. MEAT" xfId="21515"/>
    <cellStyle name="40% - Akzent5 52 2_est. MEAT" xfId="21516"/>
    <cellStyle name="40% - Akzent5 53 2_est. MEAT" xfId="21517"/>
    <cellStyle name="40% - Akzent5 54 2_est. MEAT" xfId="21518"/>
    <cellStyle name="40% - Akzent5 55 2_est. MEAT" xfId="21519"/>
    <cellStyle name="40% - Akzent5 56 2_est. MEAT" xfId="21520"/>
    <cellStyle name="40% - Akzent5 57 2_est. MEAT" xfId="21521"/>
    <cellStyle name="40% - Akzent5 58 2_est. MEAT" xfId="21522"/>
    <cellStyle name="40% - Akzent5 59 2_est. MEAT" xfId="21523"/>
    <cellStyle name="40% - Akzent5 6 2_est. MEAT" xfId="21524"/>
    <cellStyle name="40% - Akzent5 60 2_est. MEAT" xfId="21525"/>
    <cellStyle name="40% - Akzent5 61 2_est. MEAT" xfId="21526"/>
    <cellStyle name="40% - Akzent5 62 2_est. MEAT" xfId="21527"/>
    <cellStyle name="40% - Akzent5 63 2_est. MEAT" xfId="21528"/>
    <cellStyle name="40% - Akzent5 64 2_est. MEAT" xfId="21529"/>
    <cellStyle name="40% - Akzent5 65 2_est. MEAT" xfId="21530"/>
    <cellStyle name="40% - Akzent5 66 2_est. MEAT" xfId="21531"/>
    <cellStyle name="40% - Akzent5 67 2_est. MEAT" xfId="21532"/>
    <cellStyle name="40% - Akzent5 68 2_est. MEAT" xfId="21533"/>
    <cellStyle name="40% - Akzent5 69 2_est. MEAT" xfId="21534"/>
    <cellStyle name="40% - Akzent5 7 2_est. MEAT" xfId="21535"/>
    <cellStyle name="40% - Akzent5 70 2_est. MEAT" xfId="21536"/>
    <cellStyle name="40% - Akzent5 71 2_est. MEAT" xfId="21537"/>
    <cellStyle name="40% - Akzent5 72 2_est. MEAT" xfId="21538"/>
    <cellStyle name="40% - Akzent5 73 2_est. MEAT" xfId="21539"/>
    <cellStyle name="40% - Akzent5 74 2_est. MEAT" xfId="21540"/>
    <cellStyle name="40% - Akzent5 75 2_est. MEAT" xfId="21541"/>
    <cellStyle name="40% - Akzent5 76 2_est. MEAT" xfId="21542"/>
    <cellStyle name="40% - Akzent5 77 2_est. MEAT" xfId="21543"/>
    <cellStyle name="40% - Akzent5 78 2_est. MEAT" xfId="21544"/>
    <cellStyle name="40% - Akzent5 79 2_est. MEAT" xfId="21545"/>
    <cellStyle name="40% - Akzent5 8 2_est. MEAT" xfId="21546"/>
    <cellStyle name="40% - Akzent5 80 2_est. MEAT" xfId="21547"/>
    <cellStyle name="40% - Akzent5 81 2_est. MEAT" xfId="21548"/>
    <cellStyle name="40% - Akzent5 82 2_est. MEAT" xfId="21549"/>
    <cellStyle name="40% - Akzent5 83 2_est. MEAT" xfId="21550"/>
    <cellStyle name="40% - Akzent5 84 2_est. MEAT" xfId="21551"/>
    <cellStyle name="40% - Akzent5 85 2_est. MEAT" xfId="21552"/>
    <cellStyle name="40% - Akzent5 86 2_est. MEAT" xfId="21553"/>
    <cellStyle name="40% - Akzent5 87 2_est. MEAT" xfId="21554"/>
    <cellStyle name="40% - Akzent5 88 2_est. MEAT" xfId="21555"/>
    <cellStyle name="40% - Akzent5 89 2_est. MEAT" xfId="21556"/>
    <cellStyle name="40% - Akzent5 9 2_est. MEAT" xfId="21557"/>
    <cellStyle name="40% - Akzent5 90 2_est. MEAT" xfId="21558"/>
    <cellStyle name="40% - Akzent5 91 2_est. MEAT" xfId="21559"/>
    <cellStyle name="40% - Akzent5 92 2_est. MEAT" xfId="21560"/>
    <cellStyle name="40% - Akzent5 93 2_est. MEAT" xfId="21561"/>
    <cellStyle name="40% - Akzent5 94 2_est. MEAT" xfId="21562"/>
    <cellStyle name="40% - Akzent5 95 2_est. MEAT" xfId="21563"/>
    <cellStyle name="40% - Akzent5 96 2_est. MEAT" xfId="21564"/>
    <cellStyle name="40% - Akzent5 97 2_est. MEAT" xfId="21565"/>
    <cellStyle name="40% - Akzent5 98 2_est. MEAT" xfId="21566"/>
    <cellStyle name="40% - Akzent5 99 2_est. MEAT" xfId="21567"/>
    <cellStyle name="40% - Akzent6 10 2_est. MEAT" xfId="21568"/>
    <cellStyle name="40% - Akzent6 100 2_est. MEAT" xfId="21569"/>
    <cellStyle name="40% - Akzent6 101 2_est. MEAT" xfId="21570"/>
    <cellStyle name="40% - Akzent6 102 2_est. MEAT" xfId="21571"/>
    <cellStyle name="40% - Akzent6 103 2_est. MEAT" xfId="21572"/>
    <cellStyle name="40% - Akzent6 104 2_est. MEAT" xfId="21573"/>
    <cellStyle name="40% - Akzent6 105 2_est. MEAT" xfId="21574"/>
    <cellStyle name="40% - Akzent6 106 2_est. MEAT" xfId="21575"/>
    <cellStyle name="40% - Akzent6 107 2_est. MEAT" xfId="21576"/>
    <cellStyle name="40% - Akzent6 108 2_est. MEAT" xfId="21577"/>
    <cellStyle name="40% - Akzent6 109 2_est. MEAT" xfId="21578"/>
    <cellStyle name="40% - Akzent6 11 2_est. MEAT" xfId="21579"/>
    <cellStyle name="40% - Akzent6 110 2_est. MEAT" xfId="21580"/>
    <cellStyle name="40% - Akzent6 111 2_est. MEAT" xfId="21581"/>
    <cellStyle name="40% - Akzent6 112 2_est. MEAT" xfId="21582"/>
    <cellStyle name="40% - Akzent6 113 2_est. MEAT" xfId="21583"/>
    <cellStyle name="40% - Akzent6 114 2_est. MEAT" xfId="21584"/>
    <cellStyle name="40% - Akzent6 115 2_est. MEAT" xfId="21585"/>
    <cellStyle name="40% - Akzent6 116 2_est. MEAT" xfId="21586"/>
    <cellStyle name="40% - Akzent6 117 2_est. MEAT" xfId="21587"/>
    <cellStyle name="40% - Akzent6 118 2_est. MEAT" xfId="21588"/>
    <cellStyle name="40% - Akzent6 119 2_est. MEAT" xfId="21589"/>
    <cellStyle name="40% - Akzent6 12 2_est. MEAT" xfId="21590"/>
    <cellStyle name="40% - Akzent6 120 2_est. MEAT" xfId="21591"/>
    <cellStyle name="40% - Akzent6 121 2_est. MEAT" xfId="21592"/>
    <cellStyle name="40% - Akzent6 122 2_est. MEAT" xfId="21593"/>
    <cellStyle name="40% - Akzent6 123 2_est. MEAT" xfId="21594"/>
    <cellStyle name="40% - Akzent6 124 2_est. MEAT" xfId="21595"/>
    <cellStyle name="40% - Akzent6 125 2_est. MEAT" xfId="21596"/>
    <cellStyle name="40% - Akzent6 126 2_est. MEAT" xfId="21597"/>
    <cellStyle name="40% - Akzent6 127 2_est. MEAT" xfId="21598"/>
    <cellStyle name="40% - Akzent6 128 2_est. MEAT" xfId="21599"/>
    <cellStyle name="40% - Akzent6 129 2_est. MEAT" xfId="21600"/>
    <cellStyle name="40% - Akzent6 13 2_est. MEAT" xfId="21601"/>
    <cellStyle name="40% - Akzent6 130 2_est. MEAT" xfId="21602"/>
    <cellStyle name="40% - Akzent6 131 2_est. MEAT" xfId="21603"/>
    <cellStyle name="40% - Akzent6 132 2_est. MEAT" xfId="21604"/>
    <cellStyle name="40% - Akzent6 133 2_est. MEAT" xfId="21605"/>
    <cellStyle name="40% - Akzent6 134 2_est. MEAT" xfId="21606"/>
    <cellStyle name="40% - Akzent6 135 2_est. MEAT" xfId="21607"/>
    <cellStyle name="40% - Akzent6 136 2_est. MEAT" xfId="21608"/>
    <cellStyle name="40% - Akzent6 137 2_est. MEAT" xfId="21609"/>
    <cellStyle name="40% - Akzent6 138 2_est. MEAT" xfId="21610"/>
    <cellStyle name="40% - Akzent6 139 2_est. MEAT" xfId="21611"/>
    <cellStyle name="40% - Akzent6 14 2_est. MEAT" xfId="21612"/>
    <cellStyle name="40% - Akzent6 140 2_est. MEAT" xfId="21613"/>
    <cellStyle name="40% - Akzent6 141 2_est. MEAT" xfId="21614"/>
    <cellStyle name="40% - Akzent6 142 2_est. MEAT" xfId="21615"/>
    <cellStyle name="40% - Akzent6 143 2_est. MEAT" xfId="21616"/>
    <cellStyle name="40% - Akzent6 144 2_est. MEAT" xfId="21617"/>
    <cellStyle name="40% - Akzent6 145 2_est. MEAT" xfId="21618"/>
    <cellStyle name="40% - Akzent6 146 2_est. MEAT" xfId="21619"/>
    <cellStyle name="40% - Akzent6 147 2_est. MEAT" xfId="21620"/>
    <cellStyle name="40% - Akzent6 148 2_est. MEAT" xfId="21621"/>
    <cellStyle name="40% - Akzent6 149 2_est. MEAT" xfId="21622"/>
    <cellStyle name="40% - Akzent6 15 2_est. MEAT" xfId="21623"/>
    <cellStyle name="40% - Akzent6 150 2_est. MEAT" xfId="21624"/>
    <cellStyle name="40% - Akzent6 151 2_est. MEAT" xfId="21625"/>
    <cellStyle name="40% - Akzent6 16 2_est. MEAT" xfId="21626"/>
    <cellStyle name="40% - Akzent6 17 2_est. MEAT" xfId="21627"/>
    <cellStyle name="40% - Akzent6 18 2_est. MEAT" xfId="21628"/>
    <cellStyle name="40% - Akzent6 19 2_est. MEAT" xfId="21629"/>
    <cellStyle name="40% - Akzent6 2 2_est. MEAT" xfId="21630"/>
    <cellStyle name="40% - Akzent6 2 3_est. MEAT" xfId="21631"/>
    <cellStyle name="40% - Akzent6 2 4 2_est. MEAT" xfId="21632"/>
    <cellStyle name="40% - Akzent6 2 5_est. MEAT" xfId="21633"/>
    <cellStyle name="40% - Akzent6 20 2_est. MEAT" xfId="21634"/>
    <cellStyle name="40% - Akzent6 21 2_est. MEAT" xfId="21635"/>
    <cellStyle name="40% - Akzent6 22 2_est. MEAT" xfId="21636"/>
    <cellStyle name="40% - Akzent6 23 2_est. MEAT" xfId="21637"/>
    <cellStyle name="40% - Akzent6 24 2_est. MEAT" xfId="21638"/>
    <cellStyle name="40% - Akzent6 25 2_est. MEAT" xfId="21639"/>
    <cellStyle name="40% - Akzent6 26 2_est. MEAT" xfId="21640"/>
    <cellStyle name="40% - Akzent6 27 2_est. MEAT" xfId="21641"/>
    <cellStyle name="40% - Akzent6 28 2_est. MEAT" xfId="21642"/>
    <cellStyle name="40% - Akzent6 29 2_est. MEAT" xfId="21643"/>
    <cellStyle name="40% - Akzent6 3 2_est. MEAT" xfId="21644"/>
    <cellStyle name="40% - Akzent6 3 3_est. MEAT" xfId="21645"/>
    <cellStyle name="40% - Akzent6 3 4 2_est. MEAT" xfId="21646"/>
    <cellStyle name="40% - Akzent6 3 5_est. MEAT" xfId="21647"/>
    <cellStyle name="40% - Akzent6 30 2_est. MEAT" xfId="21648"/>
    <cellStyle name="40% - Akzent6 31 2_est. MEAT" xfId="21649"/>
    <cellStyle name="40% - Akzent6 32 2_est. MEAT" xfId="21650"/>
    <cellStyle name="40% - Akzent6 33 2_est. MEAT" xfId="21651"/>
    <cellStyle name="40% - Akzent6 34 2_est. MEAT" xfId="21652"/>
    <cellStyle name="40% - Akzent6 35 2_est. MEAT" xfId="21653"/>
    <cellStyle name="40% - Akzent6 36 2_est. MEAT" xfId="21654"/>
    <cellStyle name="40% - Akzent6 37 2_est. MEAT" xfId="21655"/>
    <cellStyle name="40% - Akzent6 38 2_est. MEAT" xfId="21656"/>
    <cellStyle name="40% - Akzent6 39 2_est. MEAT" xfId="21657"/>
    <cellStyle name="40% - Akzent6 4 2_est. MEAT" xfId="21658"/>
    <cellStyle name="40% - Akzent6 4 3_est. MEAT" xfId="21659"/>
    <cellStyle name="40% - Akzent6 4 4 2_est. MEAT" xfId="21660"/>
    <cellStyle name="40% - Akzent6 4 5_est. MEAT" xfId="21661"/>
    <cellStyle name="40% - Akzent6 40 2_est. MEAT" xfId="21662"/>
    <cellStyle name="40% - Akzent6 41 2_est. MEAT" xfId="21663"/>
    <cellStyle name="40% - Akzent6 42 2_est. MEAT" xfId="21664"/>
    <cellStyle name="40% - Akzent6 43 2_est. MEAT" xfId="21665"/>
    <cellStyle name="40% - Akzent6 44 2_est. MEAT" xfId="21666"/>
    <cellStyle name="40% - Akzent6 45 2_est. MEAT" xfId="21667"/>
    <cellStyle name="40% - Akzent6 46 2_est. MEAT" xfId="21668"/>
    <cellStyle name="40% - Akzent6 47 2_est. MEAT" xfId="21669"/>
    <cellStyle name="40% - Akzent6 48 2_est. MEAT" xfId="21670"/>
    <cellStyle name="40% - Akzent6 49 2_est. MEAT" xfId="21671"/>
    <cellStyle name="40% - Akzent6 5 2_est. MEAT" xfId="21672"/>
    <cellStyle name="40% - Akzent6 50 2_est. MEAT" xfId="21673"/>
    <cellStyle name="40% - Akzent6 51 2_est. MEAT" xfId="21674"/>
    <cellStyle name="40% - Akzent6 52 2_est. MEAT" xfId="21675"/>
    <cellStyle name="40% - Akzent6 53 2_est. MEAT" xfId="21676"/>
    <cellStyle name="40% - Akzent6 54 2_est. MEAT" xfId="21677"/>
    <cellStyle name="40% - Akzent6 55 2_est. MEAT" xfId="21678"/>
    <cellStyle name="40% - Akzent6 56 2_est. MEAT" xfId="21679"/>
    <cellStyle name="40% - Akzent6 57 2_est. MEAT" xfId="21680"/>
    <cellStyle name="40% - Akzent6 58 2_est. MEAT" xfId="21681"/>
    <cellStyle name="40% - Akzent6 59 2_est. MEAT" xfId="21682"/>
    <cellStyle name="40% - Akzent6 6 2_est. MEAT" xfId="21683"/>
    <cellStyle name="40% - Akzent6 60 2_est. MEAT" xfId="21684"/>
    <cellStyle name="40% - Akzent6 61 2_est. MEAT" xfId="21685"/>
    <cellStyle name="40% - Akzent6 62 2_est. MEAT" xfId="21686"/>
    <cellStyle name="40% - Akzent6 63 2_est. MEAT" xfId="21687"/>
    <cellStyle name="40% - Akzent6 64 2_est. MEAT" xfId="21688"/>
    <cellStyle name="40% - Akzent6 65 2_est. MEAT" xfId="21689"/>
    <cellStyle name="40% - Akzent6 66 2_est. MEAT" xfId="21690"/>
    <cellStyle name="40% - Akzent6 67 2_est. MEAT" xfId="21691"/>
    <cellStyle name="40% - Akzent6 68 2_est. MEAT" xfId="21692"/>
    <cellStyle name="40% - Akzent6 69 2_est. MEAT" xfId="21693"/>
    <cellStyle name="40% - Akzent6 7 2_est. MEAT" xfId="21694"/>
    <cellStyle name="40% - Akzent6 70 2_est. MEAT" xfId="21695"/>
    <cellStyle name="40% - Akzent6 71 2_est. MEAT" xfId="21696"/>
    <cellStyle name="40% - Akzent6 72 2_est. MEAT" xfId="21697"/>
    <cellStyle name="40% - Akzent6 73 2_est. MEAT" xfId="21698"/>
    <cellStyle name="40% - Akzent6 74 2_est. MEAT" xfId="21699"/>
    <cellStyle name="40% - Akzent6 75 2_est. MEAT" xfId="21700"/>
    <cellStyle name="40% - Akzent6 76 2_est. MEAT" xfId="21701"/>
    <cellStyle name="40% - Akzent6 77 2_est. MEAT" xfId="21702"/>
    <cellStyle name="40% - Akzent6 78 2_est. MEAT" xfId="21703"/>
    <cellStyle name="40% - Akzent6 79 2_est. MEAT" xfId="21704"/>
    <cellStyle name="40% - Akzent6 8 2_est. MEAT" xfId="21705"/>
    <cellStyle name="40% - Akzent6 80 2_est. MEAT" xfId="21706"/>
    <cellStyle name="40% - Akzent6 81 2_est. MEAT" xfId="21707"/>
    <cellStyle name="40% - Akzent6 82 2_est. MEAT" xfId="21708"/>
    <cellStyle name="40% - Akzent6 83 2_est. MEAT" xfId="21709"/>
    <cellStyle name="40% - Akzent6 84 2_est. MEAT" xfId="21710"/>
    <cellStyle name="40% - Akzent6 85 2_est. MEAT" xfId="21711"/>
    <cellStyle name="40% - Akzent6 86 2_est. MEAT" xfId="21712"/>
    <cellStyle name="40% - Akzent6 87 2_est. MEAT" xfId="21713"/>
    <cellStyle name="40% - Akzent6 88 2_est. MEAT" xfId="21714"/>
    <cellStyle name="40% - Akzent6 89 2_est. MEAT" xfId="21715"/>
    <cellStyle name="40% - Akzent6 9 2_est. MEAT" xfId="21716"/>
    <cellStyle name="40% - Akzent6 90 2_est. MEAT" xfId="21717"/>
    <cellStyle name="40% - Akzent6 91 2_est. MEAT" xfId="21718"/>
    <cellStyle name="40% - Akzent6 92 2_est. MEAT" xfId="21719"/>
    <cellStyle name="40% - Akzent6 93 2_est. MEAT" xfId="21720"/>
    <cellStyle name="40% - Akzent6 94 2_est. MEAT" xfId="21721"/>
    <cellStyle name="40% - Akzent6 95 2_est. MEAT" xfId="21722"/>
    <cellStyle name="40% - Akzent6 96 2_est. MEAT" xfId="21723"/>
    <cellStyle name="40% - Akzent6 97 2_est. MEAT" xfId="21724"/>
    <cellStyle name="40% - Akzent6 98 2_est. MEAT" xfId="21725"/>
    <cellStyle name="40% - Akzent6 99 2_est. MEAT" xfId="21726"/>
    <cellStyle name="60 % - Akzent1_est. MEAT" xfId="21727"/>
    <cellStyle name="60 % - Akzent2_est. MEAT" xfId="21728"/>
    <cellStyle name="60 % - Akzent3_est. MEAT" xfId="21729"/>
    <cellStyle name="60 % - Akzent4_est. MEAT" xfId="21730"/>
    <cellStyle name="60 % - Akzent5_est. MEAT" xfId="21731"/>
    <cellStyle name="60 % - Akzent6_est. MEAT" xfId="21732"/>
    <cellStyle name="60% - Accent1" xfId="21733"/>
    <cellStyle name="60% - Accent1 2_est. MEAT" xfId="21734"/>
    <cellStyle name="60% - Accent2" xfId="21735"/>
    <cellStyle name="60% - Accent2 2_est. MEAT" xfId="21736"/>
    <cellStyle name="60% - Accent3" xfId="21737"/>
    <cellStyle name="60% - Accent3 2_est. MEAT" xfId="21738"/>
    <cellStyle name="60% - Accent3 3_est. MEAT" xfId="21739"/>
    <cellStyle name="60% - Accent4" xfId="21740"/>
    <cellStyle name="60% - Accent4 2_est. MEAT" xfId="21741"/>
    <cellStyle name="60% - Accent4 3_est. MEAT" xfId="21742"/>
    <cellStyle name="60% - Accent5" xfId="21743"/>
    <cellStyle name="60% - Accent5 2_est. MEAT" xfId="21744"/>
    <cellStyle name="60% - Accent6" xfId="21745"/>
    <cellStyle name="60% - Accent6 2_est. MEAT" xfId="21746"/>
    <cellStyle name="60% - Accent6 3_est. MEAT" xfId="21747"/>
    <cellStyle name="60% - Akzent1 10 2_est. MEAT" xfId="21748"/>
    <cellStyle name="60% - Akzent1 100_est. MEAT" xfId="21749"/>
    <cellStyle name="60% - Akzent1 101_est. MEAT" xfId="21750"/>
    <cellStyle name="60% - Akzent1 102_est. MEAT" xfId="21751"/>
    <cellStyle name="60% - Akzent1 103_est. MEAT" xfId="21752"/>
    <cellStyle name="60% - Akzent1 104_est. MEAT" xfId="21753"/>
    <cellStyle name="60% - Akzent1 105_est. MEAT" xfId="21754"/>
    <cellStyle name="60% - Akzent1 106_est. MEAT" xfId="21755"/>
    <cellStyle name="60% - Akzent1 107_est. MEAT" xfId="21756"/>
    <cellStyle name="60% - Akzent1 108_est. MEAT" xfId="21757"/>
    <cellStyle name="60% - Akzent1 109_est. MEAT" xfId="21758"/>
    <cellStyle name="60% - Akzent1 11 2_est. MEAT" xfId="21759"/>
    <cellStyle name="60% - Akzent1 110_est. MEAT" xfId="21760"/>
    <cellStyle name="60% - Akzent1 111_est. MEAT" xfId="21761"/>
    <cellStyle name="60% - Akzent1 112_est. MEAT" xfId="21762"/>
    <cellStyle name="60% - Akzent1 113_est. MEAT" xfId="21763"/>
    <cellStyle name="60% - Akzent1 114_est. MEAT" xfId="21764"/>
    <cellStyle name="60% - Akzent1 115_est. MEAT" xfId="21765"/>
    <cellStyle name="60% - Akzent1 116_est. MEAT" xfId="21766"/>
    <cellStyle name="60% - Akzent1 117_est. MEAT" xfId="21767"/>
    <cellStyle name="60% - Akzent1 118_est. MEAT" xfId="21768"/>
    <cellStyle name="60% - Akzent1 119_est. MEAT" xfId="21769"/>
    <cellStyle name="60% - Akzent1 12 2_est. MEAT" xfId="21770"/>
    <cellStyle name="60% - Akzent1 120_est. MEAT" xfId="21771"/>
    <cellStyle name="60% - Akzent1 121_est. MEAT" xfId="21772"/>
    <cellStyle name="60% - Akzent1 122_est. MEAT" xfId="21773"/>
    <cellStyle name="60% - Akzent1 123_est. MEAT" xfId="21774"/>
    <cellStyle name="60% - Akzent1 124_est. MEAT" xfId="21775"/>
    <cellStyle name="60% - Akzent1 125_est. MEAT" xfId="21776"/>
    <cellStyle name="60% - Akzent1 126_est. MEAT" xfId="21777"/>
    <cellStyle name="60% - Akzent1 127_est. MEAT" xfId="21778"/>
    <cellStyle name="60% - Akzent1 128_est. MEAT" xfId="21779"/>
    <cellStyle name="60% - Akzent1 129_est. MEAT" xfId="21780"/>
    <cellStyle name="60% - Akzent1 13 2_est. MEAT" xfId="21781"/>
    <cellStyle name="60% - Akzent1 130_est. MEAT" xfId="21782"/>
    <cellStyle name="60% - Akzent1 131_est. MEAT" xfId="21783"/>
    <cellStyle name="60% - Akzent1 132_est. MEAT" xfId="21784"/>
    <cellStyle name="60% - Akzent1 133_est. MEAT" xfId="21785"/>
    <cellStyle name="60% - Akzent1 134_est. MEAT" xfId="21786"/>
    <cellStyle name="60% - Akzent1 135_est. MEAT" xfId="21787"/>
    <cellStyle name="60% - Akzent1 136_est. MEAT" xfId="21788"/>
    <cellStyle name="60% - Akzent1 137_est. MEAT" xfId="21789"/>
    <cellStyle name="60% - Akzent1 138_est. MEAT" xfId="21790"/>
    <cellStyle name="60% - Akzent1 139_est. MEAT" xfId="21791"/>
    <cellStyle name="60% - Akzent1 14 2_est. MEAT" xfId="21792"/>
    <cellStyle name="60% - Akzent1 140_est. MEAT" xfId="21793"/>
    <cellStyle name="60% - Akzent1 141_est. MEAT" xfId="21794"/>
    <cellStyle name="60% - Akzent1 142_est. MEAT" xfId="21795"/>
    <cellStyle name="60% - Akzent1 143_est. MEAT" xfId="21796"/>
    <cellStyle name="60% - Akzent1 144_est. MEAT" xfId="21797"/>
    <cellStyle name="60% - Akzent1 145_est. MEAT" xfId="21798"/>
    <cellStyle name="60% - Akzent1 146_est. MEAT" xfId="21799"/>
    <cellStyle name="60% - Akzent1 147_est. MEAT" xfId="21800"/>
    <cellStyle name="60% - Akzent1 148_est. MEAT" xfId="21801"/>
    <cellStyle name="60% - Akzent1 149_est. MEAT" xfId="21802"/>
    <cellStyle name="60% - Akzent1 15_est. MEAT" xfId="21803"/>
    <cellStyle name="60% - Akzent1 150_est. MEAT" xfId="21804"/>
    <cellStyle name="60% - Akzent1 151_est. MEAT" xfId="21805"/>
    <cellStyle name="60% - Akzent1 16_est. MEAT" xfId="21806"/>
    <cellStyle name="60% - Akzent1 17_est. MEAT" xfId="21807"/>
    <cellStyle name="60% - Akzent1 18_est. MEAT" xfId="21808"/>
    <cellStyle name="60% - Akzent1 19_est. MEAT" xfId="21809"/>
    <cellStyle name="60% - Akzent1 2 2_est. MEAT" xfId="21810"/>
    <cellStyle name="60% - Akzent1 20_est. MEAT" xfId="21811"/>
    <cellStyle name="60% - Akzent1 21_est. MEAT" xfId="21812"/>
    <cellStyle name="60% - Akzent1 22_est. MEAT" xfId="21813"/>
    <cellStyle name="60% - Akzent1 23_est. MEAT" xfId="21814"/>
    <cellStyle name="60% - Akzent1 24_est. MEAT" xfId="21815"/>
    <cellStyle name="60% - Akzent1 25_est. MEAT" xfId="21816"/>
    <cellStyle name="60% - Akzent1 26_est. MEAT" xfId="21817"/>
    <cellStyle name="60% - Akzent1 27_est. MEAT" xfId="21818"/>
    <cellStyle name="60% - Akzent1 28_est. MEAT" xfId="21819"/>
    <cellStyle name="60% - Akzent1 29_est. MEAT" xfId="21820"/>
    <cellStyle name="60% - Akzent1 3 2_est. MEAT" xfId="21821"/>
    <cellStyle name="60% - Akzent1 30_est. MEAT" xfId="21822"/>
    <cellStyle name="60% - Akzent1 31_est. MEAT" xfId="21823"/>
    <cellStyle name="60% - Akzent1 32_est. MEAT" xfId="21824"/>
    <cellStyle name="60% - Akzent1 33_est. MEAT" xfId="21825"/>
    <cellStyle name="60% - Akzent1 34_est. MEAT" xfId="21826"/>
    <cellStyle name="60% - Akzent1 35_est. MEAT" xfId="21827"/>
    <cellStyle name="60% - Akzent1 36_est. MEAT" xfId="21828"/>
    <cellStyle name="60% - Akzent1 37_est. MEAT" xfId="21829"/>
    <cellStyle name="60% - Akzent1 38_est. MEAT" xfId="21830"/>
    <cellStyle name="60% - Akzent1 39_est. MEAT" xfId="21831"/>
    <cellStyle name="60% - Akzent1 4 2_est. MEAT" xfId="21832"/>
    <cellStyle name="60% - Akzent1 40_est. MEAT" xfId="21833"/>
    <cellStyle name="60% - Akzent1 41_est. MEAT" xfId="21834"/>
    <cellStyle name="60% - Akzent1 42_est. MEAT" xfId="21835"/>
    <cellStyle name="60% - Akzent1 43_est. MEAT" xfId="21836"/>
    <cellStyle name="60% - Akzent1 44_est. MEAT" xfId="21837"/>
    <cellStyle name="60% - Akzent1 45_est. MEAT" xfId="21838"/>
    <cellStyle name="60% - Akzent1 46_est. MEAT" xfId="21839"/>
    <cellStyle name="60% - Akzent1 47_est. MEAT" xfId="21840"/>
    <cellStyle name="60% - Akzent1 48_est. MEAT" xfId="21841"/>
    <cellStyle name="60% - Akzent1 49_est. MEAT" xfId="21842"/>
    <cellStyle name="60% - Akzent1 5 2_est. MEAT" xfId="21843"/>
    <cellStyle name="60% - Akzent1 50_est. MEAT" xfId="21844"/>
    <cellStyle name="60% - Akzent1 51_est. MEAT" xfId="21845"/>
    <cellStyle name="60% - Akzent1 52_est. MEAT" xfId="21846"/>
    <cellStyle name="60% - Akzent1 53_est. MEAT" xfId="21847"/>
    <cellStyle name="60% - Akzent1 54_est. MEAT" xfId="21848"/>
    <cellStyle name="60% - Akzent1 55_est. MEAT" xfId="21849"/>
    <cellStyle name="60% - Akzent1 56_est. MEAT" xfId="21850"/>
    <cellStyle name="60% - Akzent1 57_est. MEAT" xfId="21851"/>
    <cellStyle name="60% - Akzent1 58_est. MEAT" xfId="21852"/>
    <cellStyle name="60% - Akzent1 59_est. MEAT" xfId="21853"/>
    <cellStyle name="60% - Akzent1 6 2_est. MEAT" xfId="21854"/>
    <cellStyle name="60% - Akzent1 60_est. MEAT" xfId="21855"/>
    <cellStyle name="60% - Akzent1 61_est. MEAT" xfId="21856"/>
    <cellStyle name="60% - Akzent1 62_est. MEAT" xfId="21857"/>
    <cellStyle name="60% - Akzent1 63_est. MEAT" xfId="21858"/>
    <cellStyle name="60% - Akzent1 64_est. MEAT" xfId="21859"/>
    <cellStyle name="60% - Akzent1 65_est. MEAT" xfId="21860"/>
    <cellStyle name="60% - Akzent1 66_est. MEAT" xfId="21861"/>
    <cellStyle name="60% - Akzent1 67_est. MEAT" xfId="21862"/>
    <cellStyle name="60% - Akzent1 68_est. MEAT" xfId="21863"/>
    <cellStyle name="60% - Akzent1 69_est. MEAT" xfId="21864"/>
    <cellStyle name="60% - Akzent1 7 2_est. MEAT" xfId="21865"/>
    <cellStyle name="60% - Akzent1 70_est. MEAT" xfId="21866"/>
    <cellStyle name="60% - Akzent1 71_est. MEAT" xfId="21867"/>
    <cellStyle name="60% - Akzent1 72_est. MEAT" xfId="21868"/>
    <cellStyle name="60% - Akzent1 73_est. MEAT" xfId="21869"/>
    <cellStyle name="60% - Akzent1 74_est. MEAT" xfId="21870"/>
    <cellStyle name="60% - Akzent1 75_est. MEAT" xfId="21871"/>
    <cellStyle name="60% - Akzent1 76_est. MEAT" xfId="21872"/>
    <cellStyle name="60% - Akzent1 77_est. MEAT" xfId="21873"/>
    <cellStyle name="60% - Akzent1 78_est. MEAT" xfId="21874"/>
    <cellStyle name="60% - Akzent1 79_est. MEAT" xfId="21875"/>
    <cellStyle name="60% - Akzent1 8 2_est. MEAT" xfId="21876"/>
    <cellStyle name="60% - Akzent1 80_est. MEAT" xfId="21877"/>
    <cellStyle name="60% - Akzent1 81_est. MEAT" xfId="21878"/>
    <cellStyle name="60% - Akzent1 82_est. MEAT" xfId="21879"/>
    <cellStyle name="60% - Akzent1 83_est. MEAT" xfId="21880"/>
    <cellStyle name="60% - Akzent1 84_est. MEAT" xfId="21881"/>
    <cellStyle name="60% - Akzent1 85_est. MEAT" xfId="21882"/>
    <cellStyle name="60% - Akzent1 86_est. MEAT" xfId="21883"/>
    <cellStyle name="60% - Akzent1 87_est. MEAT" xfId="21884"/>
    <cellStyle name="60% - Akzent1 88_est. MEAT" xfId="21885"/>
    <cellStyle name="60% - Akzent1 89_est. MEAT" xfId="21886"/>
    <cellStyle name="60% - Akzent1 9 2_est. MEAT" xfId="21887"/>
    <cellStyle name="60% - Akzent1 90_est. MEAT" xfId="21888"/>
    <cellStyle name="60% - Akzent1 91_est. MEAT" xfId="21889"/>
    <cellStyle name="60% - Akzent1 92_est. MEAT" xfId="21890"/>
    <cellStyle name="60% - Akzent1 93_est. MEAT" xfId="21891"/>
    <cellStyle name="60% - Akzent1 94_est. MEAT" xfId="21892"/>
    <cellStyle name="60% - Akzent1 95_est. MEAT" xfId="21893"/>
    <cellStyle name="60% - Akzent1 96_est. MEAT" xfId="21894"/>
    <cellStyle name="60% - Akzent1 97_est. MEAT" xfId="21895"/>
    <cellStyle name="60% - Akzent1 98_est. MEAT" xfId="21896"/>
    <cellStyle name="60% - Akzent1 99_est. MEAT" xfId="21897"/>
    <cellStyle name="60% - Akzent2 10 2_est. MEAT" xfId="21898"/>
    <cellStyle name="60% - Akzent2 100_est. MEAT" xfId="21899"/>
    <cellStyle name="60% - Akzent2 101_est. MEAT" xfId="21900"/>
    <cellStyle name="60% - Akzent2 102_est. MEAT" xfId="21901"/>
    <cellStyle name="60% - Akzent2 103_est. MEAT" xfId="21902"/>
    <cellStyle name="60% - Akzent2 104_est. MEAT" xfId="21903"/>
    <cellStyle name="60% - Akzent2 105_est. MEAT" xfId="21904"/>
    <cellStyle name="60% - Akzent2 106_est. MEAT" xfId="21905"/>
    <cellStyle name="60% - Akzent2 107_est. MEAT" xfId="21906"/>
    <cellStyle name="60% - Akzent2 108_est. MEAT" xfId="21907"/>
    <cellStyle name="60% - Akzent2 109_est. MEAT" xfId="21908"/>
    <cellStyle name="60% - Akzent2 11 2_est. MEAT" xfId="21909"/>
    <cellStyle name="60% - Akzent2 110_est. MEAT" xfId="21910"/>
    <cellStyle name="60% - Akzent2 111_est. MEAT" xfId="21911"/>
    <cellStyle name="60% - Akzent2 112_est. MEAT" xfId="21912"/>
    <cellStyle name="60% - Akzent2 113_est. MEAT" xfId="21913"/>
    <cellStyle name="60% - Akzent2 114_est. MEAT" xfId="21914"/>
    <cellStyle name="60% - Akzent2 115_est. MEAT" xfId="21915"/>
    <cellStyle name="60% - Akzent2 116_est. MEAT" xfId="21916"/>
    <cellStyle name="60% - Akzent2 117_est. MEAT" xfId="21917"/>
    <cellStyle name="60% - Akzent2 118_est. MEAT" xfId="21918"/>
    <cellStyle name="60% - Akzent2 119_est. MEAT" xfId="21919"/>
    <cellStyle name="60% - Akzent2 12 2_est. MEAT" xfId="21920"/>
    <cellStyle name="60% - Akzent2 120_est. MEAT" xfId="21921"/>
    <cellStyle name="60% - Akzent2 121_est. MEAT" xfId="21922"/>
    <cellStyle name="60% - Akzent2 122_est. MEAT" xfId="21923"/>
    <cellStyle name="60% - Akzent2 123_est. MEAT" xfId="21924"/>
    <cellStyle name="60% - Akzent2 124_est. MEAT" xfId="21925"/>
    <cellStyle name="60% - Akzent2 125_est. MEAT" xfId="21926"/>
    <cellStyle name="60% - Akzent2 126_est. MEAT" xfId="21927"/>
    <cellStyle name="60% - Akzent2 127_est. MEAT" xfId="21928"/>
    <cellStyle name="60% - Akzent2 128_est. MEAT" xfId="21929"/>
    <cellStyle name="60% - Akzent2 129_est. MEAT" xfId="21930"/>
    <cellStyle name="60% - Akzent2 13 2_est. MEAT" xfId="21931"/>
    <cellStyle name="60% - Akzent2 130_est. MEAT" xfId="21932"/>
    <cellStyle name="60% - Akzent2 131_est. MEAT" xfId="21933"/>
    <cellStyle name="60% - Akzent2 132_est. MEAT" xfId="21934"/>
    <cellStyle name="60% - Akzent2 133_est. MEAT" xfId="21935"/>
    <cellStyle name="60% - Akzent2 134_est. MEAT" xfId="21936"/>
    <cellStyle name="60% - Akzent2 135_est. MEAT" xfId="21937"/>
    <cellStyle name="60% - Akzent2 136_est. MEAT" xfId="21938"/>
    <cellStyle name="60% - Akzent2 137_est. MEAT" xfId="21939"/>
    <cellStyle name="60% - Akzent2 138_est. MEAT" xfId="21940"/>
    <cellStyle name="60% - Akzent2 139_est. MEAT" xfId="21941"/>
    <cellStyle name="60% - Akzent2 14 2_est. MEAT" xfId="21942"/>
    <cellStyle name="60% - Akzent2 140_est. MEAT" xfId="21943"/>
    <cellStyle name="60% - Akzent2 141_est. MEAT" xfId="21944"/>
    <cellStyle name="60% - Akzent2 142_est. MEAT" xfId="21945"/>
    <cellStyle name="60% - Akzent2 143_est. MEAT" xfId="21946"/>
    <cellStyle name="60% - Akzent2 144_est. MEAT" xfId="21947"/>
    <cellStyle name="60% - Akzent2 145_est. MEAT" xfId="21948"/>
    <cellStyle name="60% - Akzent2 146_est. MEAT" xfId="21949"/>
    <cellStyle name="60% - Akzent2 147_est. MEAT" xfId="21950"/>
    <cellStyle name="60% - Akzent2 148_est. MEAT" xfId="21951"/>
    <cellStyle name="60% - Akzent2 149_est. MEAT" xfId="21952"/>
    <cellStyle name="60% - Akzent2 15_est. MEAT" xfId="21953"/>
    <cellStyle name="60% - Akzent2 150_est. MEAT" xfId="21954"/>
    <cellStyle name="60% - Akzent2 151_est. MEAT" xfId="21955"/>
    <cellStyle name="60% - Akzent2 16_est. MEAT" xfId="21956"/>
    <cellStyle name="60% - Akzent2 17_est. MEAT" xfId="21957"/>
    <cellStyle name="60% - Akzent2 18_est. MEAT" xfId="21958"/>
    <cellStyle name="60% - Akzent2 19_est. MEAT" xfId="21959"/>
    <cellStyle name="60% - Akzent2 2 2_est. MEAT" xfId="21960"/>
    <cellStyle name="60% - Akzent2 20_est. MEAT" xfId="21961"/>
    <cellStyle name="60% - Akzent2 21_est. MEAT" xfId="21962"/>
    <cellStyle name="60% - Akzent2 22_est. MEAT" xfId="21963"/>
    <cellStyle name="60% - Akzent2 23_est. MEAT" xfId="21964"/>
    <cellStyle name="60% - Akzent2 24_est. MEAT" xfId="21965"/>
    <cellStyle name="60% - Akzent2 25_est. MEAT" xfId="21966"/>
    <cellStyle name="60% - Akzent2 26_est. MEAT" xfId="21967"/>
    <cellStyle name="60% - Akzent2 27_est. MEAT" xfId="21968"/>
    <cellStyle name="60% - Akzent2 28_est. MEAT" xfId="21969"/>
    <cellStyle name="60% - Akzent2 29_est. MEAT" xfId="21970"/>
    <cellStyle name="60% - Akzent2 3 2_est. MEAT" xfId="21971"/>
    <cellStyle name="60% - Akzent2 30_est. MEAT" xfId="21972"/>
    <cellStyle name="60% - Akzent2 31_est. MEAT" xfId="21973"/>
    <cellStyle name="60% - Akzent2 32_est. MEAT" xfId="21974"/>
    <cellStyle name="60% - Akzent2 33_est. MEAT" xfId="21975"/>
    <cellStyle name="60% - Akzent2 34_est. MEAT" xfId="21976"/>
    <cellStyle name="60% - Akzent2 35_est. MEAT" xfId="21977"/>
    <cellStyle name="60% - Akzent2 36_est. MEAT" xfId="21978"/>
    <cellStyle name="60% - Akzent2 37_est. MEAT" xfId="21979"/>
    <cellStyle name="60% - Akzent2 38_est. MEAT" xfId="21980"/>
    <cellStyle name="60% - Akzent2 39_est. MEAT" xfId="21981"/>
    <cellStyle name="60% - Akzent2 4 2_est. MEAT" xfId="21982"/>
    <cellStyle name="60% - Akzent2 40_est. MEAT" xfId="21983"/>
    <cellStyle name="60% - Akzent2 41_est. MEAT" xfId="21984"/>
    <cellStyle name="60% - Akzent2 42_est. MEAT" xfId="21985"/>
    <cellStyle name="60% - Akzent2 43_est. MEAT" xfId="21986"/>
    <cellStyle name="60% - Akzent2 44_est. MEAT" xfId="21987"/>
    <cellStyle name="60% - Akzent2 45_est. MEAT" xfId="21988"/>
    <cellStyle name="60% - Akzent2 46_est. MEAT" xfId="21989"/>
    <cellStyle name="60% - Akzent2 47_est. MEAT" xfId="21990"/>
    <cellStyle name="60% - Akzent2 48_est. MEAT" xfId="21991"/>
    <cellStyle name="60% - Akzent2 49_est. MEAT" xfId="21992"/>
    <cellStyle name="60% - Akzent2 5 2_est. MEAT" xfId="21993"/>
    <cellStyle name="60% - Akzent2 50_est. MEAT" xfId="21994"/>
    <cellStyle name="60% - Akzent2 51_est. MEAT" xfId="21995"/>
    <cellStyle name="60% - Akzent2 52_est. MEAT" xfId="21996"/>
    <cellStyle name="60% - Akzent2 53_est. MEAT" xfId="21997"/>
    <cellStyle name="60% - Akzent2 54_est. MEAT" xfId="21998"/>
    <cellStyle name="60% - Akzent2 55_est. MEAT" xfId="21999"/>
    <cellStyle name="60% - Akzent2 56_est. MEAT" xfId="22000"/>
    <cellStyle name="60% - Akzent2 57_est. MEAT" xfId="22001"/>
    <cellStyle name="60% - Akzent2 58_est. MEAT" xfId="22002"/>
    <cellStyle name="60% - Akzent2 59_est. MEAT" xfId="22003"/>
    <cellStyle name="60% - Akzent2 6 2_est. MEAT" xfId="22004"/>
    <cellStyle name="60% - Akzent2 60_est. MEAT" xfId="22005"/>
    <cellStyle name="60% - Akzent2 61_est. MEAT" xfId="22006"/>
    <cellStyle name="60% - Akzent2 62_est. MEAT" xfId="22007"/>
    <cellStyle name="60% - Akzent2 63_est. MEAT" xfId="22008"/>
    <cellStyle name="60% - Akzent2 64_est. MEAT" xfId="22009"/>
    <cellStyle name="60% - Akzent2 65_est. MEAT" xfId="22010"/>
    <cellStyle name="60% - Akzent2 66_est. MEAT" xfId="22011"/>
    <cellStyle name="60% - Akzent2 67_est. MEAT" xfId="22012"/>
    <cellStyle name="60% - Akzent2 68_est. MEAT" xfId="22013"/>
    <cellStyle name="60% - Akzent2 69_est. MEAT" xfId="22014"/>
    <cellStyle name="60% - Akzent2 7 2_est. MEAT" xfId="22015"/>
    <cellStyle name="60% - Akzent2 70_est. MEAT" xfId="22016"/>
    <cellStyle name="60% - Akzent2 71_est. MEAT" xfId="22017"/>
    <cellStyle name="60% - Akzent2 72_est. MEAT" xfId="22018"/>
    <cellStyle name="60% - Akzent2 73_est. MEAT" xfId="22019"/>
    <cellStyle name="60% - Akzent2 74_est. MEAT" xfId="22020"/>
    <cellStyle name="60% - Akzent2 75_est. MEAT" xfId="22021"/>
    <cellStyle name="60% - Akzent2 76_est. MEAT" xfId="22022"/>
    <cellStyle name="60% - Akzent2 77_est. MEAT" xfId="22023"/>
    <cellStyle name="60% - Akzent2 78_est. MEAT" xfId="22024"/>
    <cellStyle name="60% - Akzent2 79_est. MEAT" xfId="22025"/>
    <cellStyle name="60% - Akzent2 8 2_est. MEAT" xfId="22026"/>
    <cellStyle name="60% - Akzent2 80_est. MEAT" xfId="22027"/>
    <cellStyle name="60% - Akzent2 81_est. MEAT" xfId="22028"/>
    <cellStyle name="60% - Akzent2 82_est. MEAT" xfId="22029"/>
    <cellStyle name="60% - Akzent2 83_est. MEAT" xfId="22030"/>
    <cellStyle name="60% - Akzent2 84_est. MEAT" xfId="22031"/>
    <cellStyle name="60% - Akzent2 85_est. MEAT" xfId="22032"/>
    <cellStyle name="60% - Akzent2 86_est. MEAT" xfId="22033"/>
    <cellStyle name="60% - Akzent2 87_est. MEAT" xfId="22034"/>
    <cellStyle name="60% - Akzent2 88_est. MEAT" xfId="22035"/>
    <cellStyle name="60% - Akzent2 89_est. MEAT" xfId="22036"/>
    <cellStyle name="60% - Akzent2 9 2_est. MEAT" xfId="22037"/>
    <cellStyle name="60% - Akzent2 90_est. MEAT" xfId="22038"/>
    <cellStyle name="60% - Akzent2 91_est. MEAT" xfId="22039"/>
    <cellStyle name="60% - Akzent2 92_est. MEAT" xfId="22040"/>
    <cellStyle name="60% - Akzent2 93_est. MEAT" xfId="22041"/>
    <cellStyle name="60% - Akzent2 94_est. MEAT" xfId="22042"/>
    <cellStyle name="60% - Akzent2 95_est. MEAT" xfId="22043"/>
    <cellStyle name="60% - Akzent2 96_est. MEAT" xfId="22044"/>
    <cellStyle name="60% - Akzent2 97_est. MEAT" xfId="22045"/>
    <cellStyle name="60% - Akzent2 98_est. MEAT" xfId="22046"/>
    <cellStyle name="60% - Akzent2 99_est. MEAT" xfId="22047"/>
    <cellStyle name="60% - Akzent3 10 2_est. MEAT" xfId="22048"/>
    <cellStyle name="60% - Akzent3 100_est. MEAT" xfId="22049"/>
    <cellStyle name="60% - Akzent3 101_est. MEAT" xfId="22050"/>
    <cellStyle name="60% - Akzent3 102_est. MEAT" xfId="22051"/>
    <cellStyle name="60% - Akzent3 103_est. MEAT" xfId="22052"/>
    <cellStyle name="60% - Akzent3 104_est. MEAT" xfId="22053"/>
    <cellStyle name="60% - Akzent3 105_est. MEAT" xfId="22054"/>
    <cellStyle name="60% - Akzent3 106_est. MEAT" xfId="22055"/>
    <cellStyle name="60% - Akzent3 107_est. MEAT" xfId="22056"/>
    <cellStyle name="60% - Akzent3 108_est. MEAT" xfId="22057"/>
    <cellStyle name="60% - Akzent3 109_est. MEAT" xfId="22058"/>
    <cellStyle name="60% - Akzent3 11 2_est. MEAT" xfId="22059"/>
    <cellStyle name="60% - Akzent3 110_est. MEAT" xfId="22060"/>
    <cellStyle name="60% - Akzent3 111_est. MEAT" xfId="22061"/>
    <cellStyle name="60% - Akzent3 112_est. MEAT" xfId="22062"/>
    <cellStyle name="60% - Akzent3 113_est. MEAT" xfId="22063"/>
    <cellStyle name="60% - Akzent3 114_est. MEAT" xfId="22064"/>
    <cellStyle name="60% - Akzent3 115_est. MEAT" xfId="22065"/>
    <cellStyle name="60% - Akzent3 116_est. MEAT" xfId="22066"/>
    <cellStyle name="60% - Akzent3 117_est. MEAT" xfId="22067"/>
    <cellStyle name="60% - Akzent3 118_est. MEAT" xfId="22068"/>
    <cellStyle name="60% - Akzent3 119_est. MEAT" xfId="22069"/>
    <cellStyle name="60% - Akzent3 12 2_est. MEAT" xfId="22070"/>
    <cellStyle name="60% - Akzent3 120_est. MEAT" xfId="22071"/>
    <cellStyle name="60% - Akzent3 121_est. MEAT" xfId="22072"/>
    <cellStyle name="60% - Akzent3 122_est. MEAT" xfId="22073"/>
    <cellStyle name="60% - Akzent3 123_est. MEAT" xfId="22074"/>
    <cellStyle name="60% - Akzent3 124_est. MEAT" xfId="22075"/>
    <cellStyle name="60% - Akzent3 125_est. MEAT" xfId="22076"/>
    <cellStyle name="60% - Akzent3 126_est. MEAT" xfId="22077"/>
    <cellStyle name="60% - Akzent3 127_est. MEAT" xfId="22078"/>
    <cellStyle name="60% - Akzent3 128_est. MEAT" xfId="22079"/>
    <cellStyle name="60% - Akzent3 129_est. MEAT" xfId="22080"/>
    <cellStyle name="60% - Akzent3 13 2_est. MEAT" xfId="22081"/>
    <cellStyle name="60% - Akzent3 130_est. MEAT" xfId="22082"/>
    <cellStyle name="60% - Akzent3 131_est. MEAT" xfId="22083"/>
    <cellStyle name="60% - Akzent3 132_est. MEAT" xfId="22084"/>
    <cellStyle name="60% - Akzent3 133_est. MEAT" xfId="22085"/>
    <cellStyle name="60% - Akzent3 134_est. MEAT" xfId="22086"/>
    <cellStyle name="60% - Akzent3 135_est. MEAT" xfId="22087"/>
    <cellStyle name="60% - Akzent3 136_est. MEAT" xfId="22088"/>
    <cellStyle name="60% - Akzent3 137_est. MEAT" xfId="22089"/>
    <cellStyle name="60% - Akzent3 138_est. MEAT" xfId="22090"/>
    <cellStyle name="60% - Akzent3 139_est. MEAT" xfId="22091"/>
    <cellStyle name="60% - Akzent3 14 2_est. MEAT" xfId="22092"/>
    <cellStyle name="60% - Akzent3 140_est. MEAT" xfId="22093"/>
    <cellStyle name="60% - Akzent3 141_est. MEAT" xfId="22094"/>
    <cellStyle name="60% - Akzent3 142_est. MEAT" xfId="22095"/>
    <cellStyle name="60% - Akzent3 143_est. MEAT" xfId="22096"/>
    <cellStyle name="60% - Akzent3 144_est. MEAT" xfId="22097"/>
    <cellStyle name="60% - Akzent3 145_est. MEAT" xfId="22098"/>
    <cellStyle name="60% - Akzent3 146_est. MEAT" xfId="22099"/>
    <cellStyle name="60% - Akzent3 147_est. MEAT" xfId="22100"/>
    <cellStyle name="60% - Akzent3 148_est. MEAT" xfId="22101"/>
    <cellStyle name="60% - Akzent3 149_est. MEAT" xfId="22102"/>
    <cellStyle name="60% - Akzent3 15_est. MEAT" xfId="22103"/>
    <cellStyle name="60% - Akzent3 150_est. MEAT" xfId="22104"/>
    <cellStyle name="60% - Akzent3 151_est. MEAT" xfId="22105"/>
    <cellStyle name="60% - Akzent3 16_est. MEAT" xfId="22106"/>
    <cellStyle name="60% - Akzent3 17_est. MEAT" xfId="22107"/>
    <cellStyle name="60% - Akzent3 18_est. MEAT" xfId="22108"/>
    <cellStyle name="60% - Akzent3 19_est. MEAT" xfId="22109"/>
    <cellStyle name="60% - Akzent3 2 2_est. MEAT" xfId="22110"/>
    <cellStyle name="60% - Akzent3 20_est. MEAT" xfId="22111"/>
    <cellStyle name="60% - Akzent3 21_est. MEAT" xfId="22112"/>
    <cellStyle name="60% - Akzent3 22_est. MEAT" xfId="22113"/>
    <cellStyle name="60% - Akzent3 23_est. MEAT" xfId="22114"/>
    <cellStyle name="60% - Akzent3 24_est. MEAT" xfId="22115"/>
    <cellStyle name="60% - Akzent3 25_est. MEAT" xfId="22116"/>
    <cellStyle name="60% - Akzent3 26_est. MEAT" xfId="22117"/>
    <cellStyle name="60% - Akzent3 27_est. MEAT" xfId="22118"/>
    <cellStyle name="60% - Akzent3 28_est. MEAT" xfId="22119"/>
    <cellStyle name="60% - Akzent3 29_est. MEAT" xfId="22120"/>
    <cellStyle name="60% - Akzent3 3 2_est. MEAT" xfId="22121"/>
    <cellStyle name="60% - Akzent3 30_est. MEAT" xfId="22122"/>
    <cellStyle name="60% - Akzent3 31_est. MEAT" xfId="22123"/>
    <cellStyle name="60% - Akzent3 32_est. MEAT" xfId="22124"/>
    <cellStyle name="60% - Akzent3 33_est. MEAT" xfId="22125"/>
    <cellStyle name="60% - Akzent3 34_est. MEAT" xfId="22126"/>
    <cellStyle name="60% - Akzent3 35_est. MEAT" xfId="22127"/>
    <cellStyle name="60% - Akzent3 36_est. MEAT" xfId="22128"/>
    <cellStyle name="60% - Akzent3 37_est. MEAT" xfId="22129"/>
    <cellStyle name="60% - Akzent3 38_est. MEAT" xfId="22130"/>
    <cellStyle name="60% - Akzent3 39_est. MEAT" xfId="22131"/>
    <cellStyle name="60% - Akzent3 4 2_est. MEAT" xfId="22132"/>
    <cellStyle name="60% - Akzent3 40_est. MEAT" xfId="22133"/>
    <cellStyle name="60% - Akzent3 41_est. MEAT" xfId="22134"/>
    <cellStyle name="60% - Akzent3 42_est. MEAT" xfId="22135"/>
    <cellStyle name="60% - Akzent3 43_est. MEAT" xfId="22136"/>
    <cellStyle name="60% - Akzent3 44_est. MEAT" xfId="22137"/>
    <cellStyle name="60% - Akzent3 45_est. MEAT" xfId="22138"/>
    <cellStyle name="60% - Akzent3 46_est. MEAT" xfId="22139"/>
    <cellStyle name="60% - Akzent3 47_est. MEAT" xfId="22140"/>
    <cellStyle name="60% - Akzent3 48_est. MEAT" xfId="22141"/>
    <cellStyle name="60% - Akzent3 49_est. MEAT" xfId="22142"/>
    <cellStyle name="60% - Akzent3 5 2_est. MEAT" xfId="22143"/>
    <cellStyle name="60% - Akzent3 50_est. MEAT" xfId="22144"/>
    <cellStyle name="60% - Akzent3 51_est. MEAT" xfId="22145"/>
    <cellStyle name="60% - Akzent3 52_est. MEAT" xfId="22146"/>
    <cellStyle name="60% - Akzent3 53_est. MEAT" xfId="22147"/>
    <cellStyle name="60% - Akzent3 54_est. MEAT" xfId="22148"/>
    <cellStyle name="60% - Akzent3 55_est. MEAT" xfId="22149"/>
    <cellStyle name="60% - Akzent3 56_est. MEAT" xfId="22150"/>
    <cellStyle name="60% - Akzent3 57_est. MEAT" xfId="22151"/>
    <cellStyle name="60% - Akzent3 58_est. MEAT" xfId="22152"/>
    <cellStyle name="60% - Akzent3 59_est. MEAT" xfId="22153"/>
    <cellStyle name="60% - Akzent3 6 2_est. MEAT" xfId="22154"/>
    <cellStyle name="60% - Akzent3 60_est. MEAT" xfId="22155"/>
    <cellStyle name="60% - Akzent3 61_est. MEAT" xfId="22156"/>
    <cellStyle name="60% - Akzent3 62_est. MEAT" xfId="22157"/>
    <cellStyle name="60% - Akzent3 63_est. MEAT" xfId="22158"/>
    <cellStyle name="60% - Akzent3 64_est. MEAT" xfId="22159"/>
    <cellStyle name="60% - Akzent3 65_est. MEAT" xfId="22160"/>
    <cellStyle name="60% - Akzent3 66_est. MEAT" xfId="22161"/>
    <cellStyle name="60% - Akzent3 67_est. MEAT" xfId="22162"/>
    <cellStyle name="60% - Akzent3 68_est. MEAT" xfId="22163"/>
    <cellStyle name="60% - Akzent3 69_est. MEAT" xfId="22164"/>
    <cellStyle name="60% - Akzent3 7 2_est. MEAT" xfId="22165"/>
    <cellStyle name="60% - Akzent3 70_est. MEAT" xfId="22166"/>
    <cellStyle name="60% - Akzent3 71_est. MEAT" xfId="22167"/>
    <cellStyle name="60% - Akzent3 72_est. MEAT" xfId="22168"/>
    <cellStyle name="60% - Akzent3 73_est. MEAT" xfId="22169"/>
    <cellStyle name="60% - Akzent3 74_est. MEAT" xfId="22170"/>
    <cellStyle name="60% - Akzent3 75_est. MEAT" xfId="22171"/>
    <cellStyle name="60% - Akzent3 76_est. MEAT" xfId="22172"/>
    <cellStyle name="60% - Akzent3 77_est. MEAT" xfId="22173"/>
    <cellStyle name="60% - Akzent3 78_est. MEAT" xfId="22174"/>
    <cellStyle name="60% - Akzent3 79_est. MEAT" xfId="22175"/>
    <cellStyle name="60% - Akzent3 8 2_est. MEAT" xfId="22176"/>
    <cellStyle name="60% - Akzent3 80_est. MEAT" xfId="22177"/>
    <cellStyle name="60% - Akzent3 81_est. MEAT" xfId="22178"/>
    <cellStyle name="60% - Akzent3 82_est. MEAT" xfId="22179"/>
    <cellStyle name="60% - Akzent3 83_est. MEAT" xfId="22180"/>
    <cellStyle name="60% - Akzent3 84_est. MEAT" xfId="22181"/>
    <cellStyle name="60% - Akzent3 85_est. MEAT" xfId="22182"/>
    <cellStyle name="60% - Akzent3 86_est. MEAT" xfId="22183"/>
    <cellStyle name="60% - Akzent3 87_est. MEAT" xfId="22184"/>
    <cellStyle name="60% - Akzent3 88_est. MEAT" xfId="22185"/>
    <cellStyle name="60% - Akzent3 89_est. MEAT" xfId="22186"/>
    <cellStyle name="60% - Akzent3 9 2_est. MEAT" xfId="22187"/>
    <cellStyle name="60% - Akzent3 90_est. MEAT" xfId="22188"/>
    <cellStyle name="60% - Akzent3 91_est. MEAT" xfId="22189"/>
    <cellStyle name="60% - Akzent3 92_est. MEAT" xfId="22190"/>
    <cellStyle name="60% - Akzent3 93_est. MEAT" xfId="22191"/>
    <cellStyle name="60% - Akzent3 94_est. MEAT" xfId="22192"/>
    <cellStyle name="60% - Akzent3 95_est. MEAT" xfId="22193"/>
    <cellStyle name="60% - Akzent3 96_est. MEAT" xfId="22194"/>
    <cellStyle name="60% - Akzent3 97_est. MEAT" xfId="22195"/>
    <cellStyle name="60% - Akzent3 98_est. MEAT" xfId="22196"/>
    <cellStyle name="60% - Akzent3 99_est. MEAT" xfId="22197"/>
    <cellStyle name="60% - Akzent4 10 2_est. MEAT" xfId="22198"/>
    <cellStyle name="60% - Akzent4 100_est. MEAT" xfId="22199"/>
    <cellStyle name="60% - Akzent4 101_est. MEAT" xfId="22200"/>
    <cellStyle name="60% - Akzent4 102_est. MEAT" xfId="22201"/>
    <cellStyle name="60% - Akzent4 103_est. MEAT" xfId="22202"/>
    <cellStyle name="60% - Akzent4 104_est. MEAT" xfId="22203"/>
    <cellStyle name="60% - Akzent4 105_est. MEAT" xfId="22204"/>
    <cellStyle name="60% - Akzent4 106_est. MEAT" xfId="22205"/>
    <cellStyle name="60% - Akzent4 107_est. MEAT" xfId="22206"/>
    <cellStyle name="60% - Akzent4 108_est. MEAT" xfId="22207"/>
    <cellStyle name="60% - Akzent4 109_est. MEAT" xfId="22208"/>
    <cellStyle name="60% - Akzent4 11 2_est. MEAT" xfId="22209"/>
    <cellStyle name="60% - Akzent4 110_est. MEAT" xfId="22210"/>
    <cellStyle name="60% - Akzent4 111_est. MEAT" xfId="22211"/>
    <cellStyle name="60% - Akzent4 112_est. MEAT" xfId="22212"/>
    <cellStyle name="60% - Akzent4 113_est. MEAT" xfId="22213"/>
    <cellStyle name="60% - Akzent4 114_est. MEAT" xfId="22214"/>
    <cellStyle name="60% - Akzent4 115_est. MEAT" xfId="22215"/>
    <cellStyle name="60% - Akzent4 116_est. MEAT" xfId="22216"/>
    <cellStyle name="60% - Akzent4 117_est. MEAT" xfId="22217"/>
    <cellStyle name="60% - Akzent4 118_est. MEAT" xfId="22218"/>
    <cellStyle name="60% - Akzent4 119_est. MEAT" xfId="22219"/>
    <cellStyle name="60% - Akzent4 12 2_est. MEAT" xfId="22220"/>
    <cellStyle name="60% - Akzent4 120_est. MEAT" xfId="22221"/>
    <cellStyle name="60% - Akzent4 121_est. MEAT" xfId="22222"/>
    <cellStyle name="60% - Akzent4 122_est. MEAT" xfId="22223"/>
    <cellStyle name="60% - Akzent4 123_est. MEAT" xfId="22224"/>
    <cellStyle name="60% - Akzent4 124_est. MEAT" xfId="22225"/>
    <cellStyle name="60% - Akzent4 125_est. MEAT" xfId="22226"/>
    <cellStyle name="60% - Akzent4 126_est. MEAT" xfId="22227"/>
    <cellStyle name="60% - Akzent4 127_est. MEAT" xfId="22228"/>
    <cellStyle name="60% - Akzent4 128_est. MEAT" xfId="22229"/>
    <cellStyle name="60% - Akzent4 129_est. MEAT" xfId="22230"/>
    <cellStyle name="60% - Akzent4 13 2_est. MEAT" xfId="22231"/>
    <cellStyle name="60% - Akzent4 130_est. MEAT" xfId="22232"/>
    <cellStyle name="60% - Akzent4 131_est. MEAT" xfId="22233"/>
    <cellStyle name="60% - Akzent4 132_est. MEAT" xfId="22234"/>
    <cellStyle name="60% - Akzent4 133_est. MEAT" xfId="22235"/>
    <cellStyle name="60% - Akzent4 134_est. MEAT" xfId="22236"/>
    <cellStyle name="60% - Akzent4 135_est. MEAT" xfId="22237"/>
    <cellStyle name="60% - Akzent4 136_est. MEAT" xfId="22238"/>
    <cellStyle name="60% - Akzent4 137_est. MEAT" xfId="22239"/>
    <cellStyle name="60% - Akzent4 138_est. MEAT" xfId="22240"/>
    <cellStyle name="60% - Akzent4 139_est. MEAT" xfId="22241"/>
    <cellStyle name="60% - Akzent4 14 2_est. MEAT" xfId="22242"/>
    <cellStyle name="60% - Akzent4 140_est. MEAT" xfId="22243"/>
    <cellStyle name="60% - Akzent4 141_est. MEAT" xfId="22244"/>
    <cellStyle name="60% - Akzent4 142_est. MEAT" xfId="22245"/>
    <cellStyle name="60% - Akzent4 143_est. MEAT" xfId="22246"/>
    <cellStyle name="60% - Akzent4 144_est. MEAT" xfId="22247"/>
    <cellStyle name="60% - Akzent4 145_est. MEAT" xfId="22248"/>
    <cellStyle name="60% - Akzent4 146_est. MEAT" xfId="22249"/>
    <cellStyle name="60% - Akzent4 147_est. MEAT" xfId="22250"/>
    <cellStyle name="60% - Akzent4 148_est. MEAT" xfId="22251"/>
    <cellStyle name="60% - Akzent4 149_est. MEAT" xfId="22252"/>
    <cellStyle name="60% - Akzent4 15_est. MEAT" xfId="22253"/>
    <cellStyle name="60% - Akzent4 150_est. MEAT" xfId="22254"/>
    <cellStyle name="60% - Akzent4 151_est. MEAT" xfId="22255"/>
    <cellStyle name="60% - Akzent4 16_est. MEAT" xfId="22256"/>
    <cellStyle name="60% - Akzent4 17_est. MEAT" xfId="22257"/>
    <cellStyle name="60% - Akzent4 18_est. MEAT" xfId="22258"/>
    <cellStyle name="60% - Akzent4 19_est. MEAT" xfId="22259"/>
    <cellStyle name="60% - Akzent4 2 2_est. MEAT" xfId="22260"/>
    <cellStyle name="60% - Akzent4 20_est. MEAT" xfId="22261"/>
    <cellStyle name="60% - Akzent4 21_est. MEAT" xfId="22262"/>
    <cellStyle name="60% - Akzent4 22_est. MEAT" xfId="22263"/>
    <cellStyle name="60% - Akzent4 23_est. MEAT" xfId="22264"/>
    <cellStyle name="60% - Akzent4 24_est. MEAT" xfId="22265"/>
    <cellStyle name="60% - Akzent4 25_est. MEAT" xfId="22266"/>
    <cellStyle name="60% - Akzent4 26_est. MEAT" xfId="22267"/>
    <cellStyle name="60% - Akzent4 27_est. MEAT" xfId="22268"/>
    <cellStyle name="60% - Akzent4 28_est. MEAT" xfId="22269"/>
    <cellStyle name="60% - Akzent4 29_est. MEAT" xfId="22270"/>
    <cellStyle name="60% - Akzent4 3 2_est. MEAT" xfId="22271"/>
    <cellStyle name="60% - Akzent4 30_est. MEAT" xfId="22272"/>
    <cellStyle name="60% - Akzent4 31_est. MEAT" xfId="22273"/>
    <cellStyle name="60% - Akzent4 32_est. MEAT" xfId="22274"/>
    <cellStyle name="60% - Akzent4 33_est. MEAT" xfId="22275"/>
    <cellStyle name="60% - Akzent4 34_est. MEAT" xfId="22276"/>
    <cellStyle name="60% - Akzent4 35_est. MEAT" xfId="22277"/>
    <cellStyle name="60% - Akzent4 36_est. MEAT" xfId="22278"/>
    <cellStyle name="60% - Akzent4 37_est. MEAT" xfId="22279"/>
    <cellStyle name="60% - Akzent4 38_est. MEAT" xfId="22280"/>
    <cellStyle name="60% - Akzent4 39_est. MEAT" xfId="22281"/>
    <cellStyle name="60% - Akzent4 4 2_est. MEAT" xfId="22282"/>
    <cellStyle name="60% - Akzent4 40_est. MEAT" xfId="22283"/>
    <cellStyle name="60% - Akzent4 41_est. MEAT" xfId="22284"/>
    <cellStyle name="60% - Akzent4 42_est. MEAT" xfId="22285"/>
    <cellStyle name="60% - Akzent4 43_est. MEAT" xfId="22286"/>
    <cellStyle name="60% - Akzent4 44_est. MEAT" xfId="22287"/>
    <cellStyle name="60% - Akzent4 45_est. MEAT" xfId="22288"/>
    <cellStyle name="60% - Akzent4 46_est. MEAT" xfId="22289"/>
    <cellStyle name="60% - Akzent4 47_est. MEAT" xfId="22290"/>
    <cellStyle name="60% - Akzent4 48_est. MEAT" xfId="22291"/>
    <cellStyle name="60% - Akzent4 49_est. MEAT" xfId="22292"/>
    <cellStyle name="60% - Akzent4 5 2_est. MEAT" xfId="22293"/>
    <cellStyle name="60% - Akzent4 50_est. MEAT" xfId="22294"/>
    <cellStyle name="60% - Akzent4 51_est. MEAT" xfId="22295"/>
    <cellStyle name="60% - Akzent4 52_est. MEAT" xfId="22296"/>
    <cellStyle name="60% - Akzent4 53_est. MEAT" xfId="22297"/>
    <cellStyle name="60% - Akzent4 54_est. MEAT" xfId="22298"/>
    <cellStyle name="60% - Akzent4 55_est. MEAT" xfId="22299"/>
    <cellStyle name="60% - Akzent4 56_est. MEAT" xfId="22300"/>
    <cellStyle name="60% - Akzent4 57_est. MEAT" xfId="22301"/>
    <cellStyle name="60% - Akzent4 58_est. MEAT" xfId="22302"/>
    <cellStyle name="60% - Akzent4 59_est. MEAT" xfId="22303"/>
    <cellStyle name="60% - Akzent4 6 2_est. MEAT" xfId="22304"/>
    <cellStyle name="60% - Akzent4 60_est. MEAT" xfId="22305"/>
    <cellStyle name="60% - Akzent4 61_est. MEAT" xfId="22306"/>
    <cellStyle name="60% - Akzent4 62_est. MEAT" xfId="22307"/>
    <cellStyle name="60% - Akzent4 63_est. MEAT" xfId="22308"/>
    <cellStyle name="60% - Akzent4 64_est. MEAT" xfId="22309"/>
    <cellStyle name="60% - Akzent4 65_est. MEAT" xfId="22310"/>
    <cellStyle name="60% - Akzent4 66_est. MEAT" xfId="22311"/>
    <cellStyle name="60% - Akzent4 67_est. MEAT" xfId="22312"/>
    <cellStyle name="60% - Akzent4 68_est. MEAT" xfId="22313"/>
    <cellStyle name="60% - Akzent4 69_est. MEAT" xfId="22314"/>
    <cellStyle name="60% - Akzent4 7 2_est. MEAT" xfId="22315"/>
    <cellStyle name="60% - Akzent4 70_est. MEAT" xfId="22316"/>
    <cellStyle name="60% - Akzent4 71_est. MEAT" xfId="22317"/>
    <cellStyle name="60% - Akzent4 72_est. MEAT" xfId="22318"/>
    <cellStyle name="60% - Akzent4 73_est. MEAT" xfId="22319"/>
    <cellStyle name="60% - Akzent4 74_est. MEAT" xfId="22320"/>
    <cellStyle name="60% - Akzent4 75_est. MEAT" xfId="22321"/>
    <cellStyle name="60% - Akzent4 76_est. MEAT" xfId="22322"/>
    <cellStyle name="60% - Akzent4 77_est. MEAT" xfId="22323"/>
    <cellStyle name="60% - Akzent4 78_est. MEAT" xfId="22324"/>
    <cellStyle name="60% - Akzent4 79_est. MEAT" xfId="22325"/>
    <cellStyle name="60% - Akzent4 8 2_est. MEAT" xfId="22326"/>
    <cellStyle name="60% - Akzent4 80_est. MEAT" xfId="22327"/>
    <cellStyle name="60% - Akzent4 81_est. MEAT" xfId="22328"/>
    <cellStyle name="60% - Akzent4 82_est. MEAT" xfId="22329"/>
    <cellStyle name="60% - Akzent4 83_est. MEAT" xfId="22330"/>
    <cellStyle name="60% - Akzent4 84_est. MEAT" xfId="22331"/>
    <cellStyle name="60% - Akzent4 85_est. MEAT" xfId="22332"/>
    <cellStyle name="60% - Akzent4 86_est. MEAT" xfId="22333"/>
    <cellStyle name="60% - Akzent4 87_est. MEAT" xfId="22334"/>
    <cellStyle name="60% - Akzent4 88_est. MEAT" xfId="22335"/>
    <cellStyle name="60% - Akzent4 89_est. MEAT" xfId="22336"/>
    <cellStyle name="60% - Akzent4 9 2_est. MEAT" xfId="22337"/>
    <cellStyle name="60% - Akzent4 90_est. MEAT" xfId="22338"/>
    <cellStyle name="60% - Akzent4 91_est. MEAT" xfId="22339"/>
    <cellStyle name="60% - Akzent4 92_est. MEAT" xfId="22340"/>
    <cellStyle name="60% - Akzent4 93_est. MEAT" xfId="22341"/>
    <cellStyle name="60% - Akzent4 94_est. MEAT" xfId="22342"/>
    <cellStyle name="60% - Akzent4 95_est. MEAT" xfId="22343"/>
    <cellStyle name="60% - Akzent4 96_est. MEAT" xfId="22344"/>
    <cellStyle name="60% - Akzent4 97_est. MEAT" xfId="22345"/>
    <cellStyle name="60% - Akzent4 98_est. MEAT" xfId="22346"/>
    <cellStyle name="60% - Akzent4 99_est. MEAT" xfId="22347"/>
    <cellStyle name="60% - Akzent5 10 2_est. MEAT" xfId="22348"/>
    <cellStyle name="60% - Akzent5 100_est. MEAT" xfId="22349"/>
    <cellStyle name="60% - Akzent5 101_est. MEAT" xfId="22350"/>
    <cellStyle name="60% - Akzent5 102_est. MEAT" xfId="22351"/>
    <cellStyle name="60% - Akzent5 103_est. MEAT" xfId="22352"/>
    <cellStyle name="60% - Akzent5 104_est. MEAT" xfId="22353"/>
    <cellStyle name="60% - Akzent5 105_est. MEAT" xfId="22354"/>
    <cellStyle name="60% - Akzent5 106_est. MEAT" xfId="22355"/>
    <cellStyle name="60% - Akzent5 107_est. MEAT" xfId="22356"/>
    <cellStyle name="60% - Akzent5 108_est. MEAT" xfId="22357"/>
    <cellStyle name="60% - Akzent5 109_est. MEAT" xfId="22358"/>
    <cellStyle name="60% - Akzent5 11 2_est. MEAT" xfId="22359"/>
    <cellStyle name="60% - Akzent5 110_est. MEAT" xfId="22360"/>
    <cellStyle name="60% - Akzent5 111_est. MEAT" xfId="22361"/>
    <cellStyle name="60% - Akzent5 112_est. MEAT" xfId="22362"/>
    <cellStyle name="60% - Akzent5 113_est. MEAT" xfId="22363"/>
    <cellStyle name="60% - Akzent5 114_est. MEAT" xfId="22364"/>
    <cellStyle name="60% - Akzent5 115_est. MEAT" xfId="22365"/>
    <cellStyle name="60% - Akzent5 116_est. MEAT" xfId="22366"/>
    <cellStyle name="60% - Akzent5 117_est. MEAT" xfId="22367"/>
    <cellStyle name="60% - Akzent5 118_est. MEAT" xfId="22368"/>
    <cellStyle name="60% - Akzent5 119_est. MEAT" xfId="22369"/>
    <cellStyle name="60% - Akzent5 12 2_est. MEAT" xfId="22370"/>
    <cellStyle name="60% - Akzent5 120_est. MEAT" xfId="22371"/>
    <cellStyle name="60% - Akzent5 121_est. MEAT" xfId="22372"/>
    <cellStyle name="60% - Akzent5 122_est. MEAT" xfId="22373"/>
    <cellStyle name="60% - Akzent5 123_est. MEAT" xfId="22374"/>
    <cellStyle name="60% - Akzent5 124_est. MEAT" xfId="22375"/>
    <cellStyle name="60% - Akzent5 125_est. MEAT" xfId="22376"/>
    <cellStyle name="60% - Akzent5 126_est. MEAT" xfId="22377"/>
    <cellStyle name="60% - Akzent5 127_est. MEAT" xfId="22378"/>
    <cellStyle name="60% - Akzent5 128_est. MEAT" xfId="22379"/>
    <cellStyle name="60% - Akzent5 129_est. MEAT" xfId="22380"/>
    <cellStyle name="60% - Akzent5 13 2_est. MEAT" xfId="22381"/>
    <cellStyle name="60% - Akzent5 130_est. MEAT" xfId="22382"/>
    <cellStyle name="60% - Akzent5 131_est. MEAT" xfId="22383"/>
    <cellStyle name="60% - Akzent5 132_est. MEAT" xfId="22384"/>
    <cellStyle name="60% - Akzent5 133_est. MEAT" xfId="22385"/>
    <cellStyle name="60% - Akzent5 134_est. MEAT" xfId="22386"/>
    <cellStyle name="60% - Akzent5 135_est. MEAT" xfId="22387"/>
    <cellStyle name="60% - Akzent5 136_est. MEAT" xfId="22388"/>
    <cellStyle name="60% - Akzent5 137_est. MEAT" xfId="22389"/>
    <cellStyle name="60% - Akzent5 138_est. MEAT" xfId="22390"/>
    <cellStyle name="60% - Akzent5 139_est. MEAT" xfId="22391"/>
    <cellStyle name="60% - Akzent5 14 2_est. MEAT" xfId="22392"/>
    <cellStyle name="60% - Akzent5 140_est. MEAT" xfId="22393"/>
    <cellStyle name="60% - Akzent5 141_est. MEAT" xfId="22394"/>
    <cellStyle name="60% - Akzent5 142_est. MEAT" xfId="22395"/>
    <cellStyle name="60% - Akzent5 143_est. MEAT" xfId="22396"/>
    <cellStyle name="60% - Akzent5 144_est. MEAT" xfId="22397"/>
    <cellStyle name="60% - Akzent5 145_est. MEAT" xfId="22398"/>
    <cellStyle name="60% - Akzent5 146_est. MEAT" xfId="22399"/>
    <cellStyle name="60% - Akzent5 147_est. MEAT" xfId="22400"/>
    <cellStyle name="60% - Akzent5 148_est. MEAT" xfId="22401"/>
    <cellStyle name="60% - Akzent5 149_est. MEAT" xfId="22402"/>
    <cellStyle name="60% - Akzent5 15_est. MEAT" xfId="22403"/>
    <cellStyle name="60% - Akzent5 150_est. MEAT" xfId="22404"/>
    <cellStyle name="60% - Akzent5 151_est. MEAT" xfId="22405"/>
    <cellStyle name="60% - Akzent5 16_est. MEAT" xfId="22406"/>
    <cellStyle name="60% - Akzent5 17_est. MEAT" xfId="22407"/>
    <cellStyle name="60% - Akzent5 18_est. MEAT" xfId="22408"/>
    <cellStyle name="60% - Akzent5 19_est. MEAT" xfId="22409"/>
    <cellStyle name="60% - Akzent5 2 2_est. MEAT" xfId="22410"/>
    <cellStyle name="60% - Akzent5 20_est. MEAT" xfId="22411"/>
    <cellStyle name="60% - Akzent5 21_est. MEAT" xfId="22412"/>
    <cellStyle name="60% - Akzent5 22_est. MEAT" xfId="22413"/>
    <cellStyle name="60% - Akzent5 23_est. MEAT" xfId="22414"/>
    <cellStyle name="60% - Akzent5 24_est. MEAT" xfId="22415"/>
    <cellStyle name="60% - Akzent5 25_est. MEAT" xfId="22416"/>
    <cellStyle name="60% - Akzent5 26_est. MEAT" xfId="22417"/>
    <cellStyle name="60% - Akzent5 27_est. MEAT" xfId="22418"/>
    <cellStyle name="60% - Akzent5 28_est. MEAT" xfId="22419"/>
    <cellStyle name="60% - Akzent5 29_est. MEAT" xfId="22420"/>
    <cellStyle name="60% - Akzent5 3 2_est. MEAT" xfId="22421"/>
    <cellStyle name="60% - Akzent5 30_est. MEAT" xfId="22422"/>
    <cellStyle name="60% - Akzent5 31_est. MEAT" xfId="22423"/>
    <cellStyle name="60% - Akzent5 32_est. MEAT" xfId="22424"/>
    <cellStyle name="60% - Akzent5 33_est. MEAT" xfId="22425"/>
    <cellStyle name="60% - Akzent5 34_est. MEAT" xfId="22426"/>
    <cellStyle name="60% - Akzent5 35_est. MEAT" xfId="22427"/>
    <cellStyle name="60% - Akzent5 36_est. MEAT" xfId="22428"/>
    <cellStyle name="60% - Akzent5 37_est. MEAT" xfId="22429"/>
    <cellStyle name="60% - Akzent5 38_est. MEAT" xfId="22430"/>
    <cellStyle name="60% - Akzent5 39_est. MEAT" xfId="22431"/>
    <cellStyle name="60% - Akzent5 4 2_est. MEAT" xfId="22432"/>
    <cellStyle name="60% - Akzent5 40_est. MEAT" xfId="22433"/>
    <cellStyle name="60% - Akzent5 41_est. MEAT" xfId="22434"/>
    <cellStyle name="60% - Akzent5 42_est. MEAT" xfId="22435"/>
    <cellStyle name="60% - Akzent5 43_est. MEAT" xfId="22436"/>
    <cellStyle name="60% - Akzent5 44_est. MEAT" xfId="22437"/>
    <cellStyle name="60% - Akzent5 45_est. MEAT" xfId="22438"/>
    <cellStyle name="60% - Akzent5 46_est. MEAT" xfId="22439"/>
    <cellStyle name="60% - Akzent5 47_est. MEAT" xfId="22440"/>
    <cellStyle name="60% - Akzent5 48_est. MEAT" xfId="22441"/>
    <cellStyle name="60% - Akzent5 49_est. MEAT" xfId="22442"/>
    <cellStyle name="60% - Akzent5 5 2_est. MEAT" xfId="22443"/>
    <cellStyle name="60% - Akzent5 50_est. MEAT" xfId="22444"/>
    <cellStyle name="60% - Akzent5 51_est. MEAT" xfId="22445"/>
    <cellStyle name="60% - Akzent5 52_est. MEAT" xfId="22446"/>
    <cellStyle name="60% - Akzent5 53_est. MEAT" xfId="22447"/>
    <cellStyle name="60% - Akzent5 54_est. MEAT" xfId="22448"/>
    <cellStyle name="60% - Akzent5 55_est. MEAT" xfId="22449"/>
    <cellStyle name="60% - Akzent5 56_est. MEAT" xfId="22450"/>
    <cellStyle name="60% - Akzent5 57_est. MEAT" xfId="22451"/>
    <cellStyle name="60% - Akzent5 58_est. MEAT" xfId="22452"/>
    <cellStyle name="60% - Akzent5 59_est. MEAT" xfId="22453"/>
    <cellStyle name="60% - Akzent5 6 2_est. MEAT" xfId="22454"/>
    <cellStyle name="60% - Akzent5 60_est. MEAT" xfId="22455"/>
    <cellStyle name="60% - Akzent5 61_est. MEAT" xfId="22456"/>
    <cellStyle name="60% - Akzent5 62_est. MEAT" xfId="22457"/>
    <cellStyle name="60% - Akzent5 63_est. MEAT" xfId="22458"/>
    <cellStyle name="60% - Akzent5 64_est. MEAT" xfId="22459"/>
    <cellStyle name="60% - Akzent5 65_est. MEAT" xfId="22460"/>
    <cellStyle name="60% - Akzent5 66_est. MEAT" xfId="22461"/>
    <cellStyle name="60% - Akzent5 67_est. MEAT" xfId="22462"/>
    <cellStyle name="60% - Akzent5 68_est. MEAT" xfId="22463"/>
    <cellStyle name="60% - Akzent5 69_est. MEAT" xfId="22464"/>
    <cellStyle name="60% - Akzent5 7 2_est. MEAT" xfId="22465"/>
    <cellStyle name="60% - Akzent5 70_est. MEAT" xfId="22466"/>
    <cellStyle name="60% - Akzent5 71_est. MEAT" xfId="22467"/>
    <cellStyle name="60% - Akzent5 72_est. MEAT" xfId="22468"/>
    <cellStyle name="60% - Akzent5 73_est. MEAT" xfId="22469"/>
    <cellStyle name="60% - Akzent5 74_est. MEAT" xfId="22470"/>
    <cellStyle name="60% - Akzent5 75_est. MEAT" xfId="22471"/>
    <cellStyle name="60% - Akzent5 76_est. MEAT" xfId="22472"/>
    <cellStyle name="60% - Akzent5 77_est. MEAT" xfId="22473"/>
    <cellStyle name="60% - Akzent5 78_est. MEAT" xfId="22474"/>
    <cellStyle name="60% - Akzent5 79_est. MEAT" xfId="22475"/>
    <cellStyle name="60% - Akzent5 8 2_est. MEAT" xfId="22476"/>
    <cellStyle name="60% - Akzent5 80_est. MEAT" xfId="22477"/>
    <cellStyle name="60% - Akzent5 81_est. MEAT" xfId="22478"/>
    <cellStyle name="60% - Akzent5 82_est. MEAT" xfId="22479"/>
    <cellStyle name="60% - Akzent5 83_est. MEAT" xfId="22480"/>
    <cellStyle name="60% - Akzent5 84_est. MEAT" xfId="22481"/>
    <cellStyle name="60% - Akzent5 85_est. MEAT" xfId="22482"/>
    <cellStyle name="60% - Akzent5 86_est. MEAT" xfId="22483"/>
    <cellStyle name="60% - Akzent5 87_est. MEAT" xfId="22484"/>
    <cellStyle name="60% - Akzent5 88_est. MEAT" xfId="22485"/>
    <cellStyle name="60% - Akzent5 89_est. MEAT" xfId="22486"/>
    <cellStyle name="60% - Akzent5 9 2_est. MEAT" xfId="22487"/>
    <cellStyle name="60% - Akzent5 90_est. MEAT" xfId="22488"/>
    <cellStyle name="60% - Akzent5 91_est. MEAT" xfId="22489"/>
    <cellStyle name="60% - Akzent5 92_est. MEAT" xfId="22490"/>
    <cellStyle name="60% - Akzent5 93_est. MEAT" xfId="22491"/>
    <cellStyle name="60% - Akzent5 94_est. MEAT" xfId="22492"/>
    <cellStyle name="60% - Akzent5 95_est. MEAT" xfId="22493"/>
    <cellStyle name="60% - Akzent5 96_est. MEAT" xfId="22494"/>
    <cellStyle name="60% - Akzent5 97_est. MEAT" xfId="22495"/>
    <cellStyle name="60% - Akzent5 98_est. MEAT" xfId="22496"/>
    <cellStyle name="60% - Akzent5 99_est. MEAT" xfId="22497"/>
    <cellStyle name="60% - Akzent6 10 2_est. MEAT" xfId="22498"/>
    <cellStyle name="60% - Akzent6 100_est. MEAT" xfId="22499"/>
    <cellStyle name="60% - Akzent6 101_est. MEAT" xfId="22500"/>
    <cellStyle name="60% - Akzent6 102_est. MEAT" xfId="22501"/>
    <cellStyle name="60% - Akzent6 103_est. MEAT" xfId="22502"/>
    <cellStyle name="60% - Akzent6 104_est. MEAT" xfId="22503"/>
    <cellStyle name="60% - Akzent6 105_est. MEAT" xfId="22504"/>
    <cellStyle name="60% - Akzent6 106_est. MEAT" xfId="22505"/>
    <cellStyle name="60% - Akzent6 107_est. MEAT" xfId="22506"/>
    <cellStyle name="60% - Akzent6 108_est. MEAT" xfId="22507"/>
    <cellStyle name="60% - Akzent6 109_est. MEAT" xfId="22508"/>
    <cellStyle name="60% - Akzent6 11 2_est. MEAT" xfId="22509"/>
    <cellStyle name="60% - Akzent6 110_est. MEAT" xfId="22510"/>
    <cellStyle name="60% - Akzent6 111_est. MEAT" xfId="22511"/>
    <cellStyle name="60% - Akzent6 112_est. MEAT" xfId="22512"/>
    <cellStyle name="60% - Akzent6 113_est. MEAT" xfId="22513"/>
    <cellStyle name="60% - Akzent6 114_est. MEAT" xfId="22514"/>
    <cellStyle name="60% - Akzent6 115_est. MEAT" xfId="22515"/>
    <cellStyle name="60% - Akzent6 116_est. MEAT" xfId="22516"/>
    <cellStyle name="60% - Akzent6 117_est. MEAT" xfId="22517"/>
    <cellStyle name="60% - Akzent6 118_est. MEAT" xfId="22518"/>
    <cellStyle name="60% - Akzent6 119_est. MEAT" xfId="22519"/>
    <cellStyle name="60% - Akzent6 12 2_est. MEAT" xfId="22520"/>
    <cellStyle name="60% - Akzent6 120_est. MEAT" xfId="22521"/>
    <cellStyle name="60% - Akzent6 121_est. MEAT" xfId="22522"/>
    <cellStyle name="60% - Akzent6 122_est. MEAT" xfId="22523"/>
    <cellStyle name="60% - Akzent6 123_est. MEAT" xfId="22524"/>
    <cellStyle name="60% - Akzent6 124_est. MEAT" xfId="22525"/>
    <cellStyle name="60% - Akzent6 125_est. MEAT" xfId="22526"/>
    <cellStyle name="60% - Akzent6 126_est. MEAT" xfId="22527"/>
    <cellStyle name="60% - Akzent6 127_est. MEAT" xfId="22528"/>
    <cellStyle name="60% - Akzent6 128_est. MEAT" xfId="22529"/>
    <cellStyle name="60% - Akzent6 129_est. MEAT" xfId="22530"/>
    <cellStyle name="60% - Akzent6 13 2_est. MEAT" xfId="22531"/>
    <cellStyle name="60% - Akzent6 130_est. MEAT" xfId="22532"/>
    <cellStyle name="60% - Akzent6 131_est. MEAT" xfId="22533"/>
    <cellStyle name="60% - Akzent6 132_est. MEAT" xfId="22534"/>
    <cellStyle name="60% - Akzent6 133_est. MEAT" xfId="22535"/>
    <cellStyle name="60% - Akzent6 134_est. MEAT" xfId="22536"/>
    <cellStyle name="60% - Akzent6 135_est. MEAT" xfId="22537"/>
    <cellStyle name="60% - Akzent6 136_est. MEAT" xfId="22538"/>
    <cellStyle name="60% - Akzent6 137_est. MEAT" xfId="22539"/>
    <cellStyle name="60% - Akzent6 138_est. MEAT" xfId="22540"/>
    <cellStyle name="60% - Akzent6 139_est. MEAT" xfId="22541"/>
    <cellStyle name="60% - Akzent6 14 2_est. MEAT" xfId="22542"/>
    <cellStyle name="60% - Akzent6 140_est. MEAT" xfId="22543"/>
    <cellStyle name="60% - Akzent6 141_est. MEAT" xfId="22544"/>
    <cellStyle name="60% - Akzent6 142_est. MEAT" xfId="22545"/>
    <cellStyle name="60% - Akzent6 143_est. MEAT" xfId="22546"/>
    <cellStyle name="60% - Akzent6 144_est. MEAT" xfId="22547"/>
    <cellStyle name="60% - Akzent6 145_est. MEAT" xfId="22548"/>
    <cellStyle name="60% - Akzent6 146_est. MEAT" xfId="22549"/>
    <cellStyle name="60% - Akzent6 147_est. MEAT" xfId="22550"/>
    <cellStyle name="60% - Akzent6 148_est. MEAT" xfId="22551"/>
    <cellStyle name="60% - Akzent6 149_est. MEAT" xfId="22552"/>
    <cellStyle name="60% - Akzent6 15_est. MEAT" xfId="22553"/>
    <cellStyle name="60% - Akzent6 150_est. MEAT" xfId="22554"/>
    <cellStyle name="60% - Akzent6 151_est. MEAT" xfId="22555"/>
    <cellStyle name="60% - Akzent6 16_est. MEAT" xfId="22556"/>
    <cellStyle name="60% - Akzent6 17_est. MEAT" xfId="22557"/>
    <cellStyle name="60% - Akzent6 18_est. MEAT" xfId="22558"/>
    <cellStyle name="60% - Akzent6 19_est. MEAT" xfId="22559"/>
    <cellStyle name="60% - Akzent6 2 2_est. MEAT" xfId="22560"/>
    <cellStyle name="60% - Akzent6 20_est. MEAT" xfId="22561"/>
    <cellStyle name="60% - Akzent6 21_est. MEAT" xfId="22562"/>
    <cellStyle name="60% - Akzent6 22_est. MEAT" xfId="22563"/>
    <cellStyle name="60% - Akzent6 23_est. MEAT" xfId="22564"/>
    <cellStyle name="60% - Akzent6 24_est. MEAT" xfId="22565"/>
    <cellStyle name="60% - Akzent6 25_est. MEAT" xfId="22566"/>
    <cellStyle name="60% - Akzent6 26_est. MEAT" xfId="22567"/>
    <cellStyle name="60% - Akzent6 27_est. MEAT" xfId="22568"/>
    <cellStyle name="60% - Akzent6 28_est. MEAT" xfId="22569"/>
    <cellStyle name="60% - Akzent6 29_est. MEAT" xfId="22570"/>
    <cellStyle name="60% - Akzent6 3 2_est. MEAT" xfId="22571"/>
    <cellStyle name="60% - Akzent6 30_est. MEAT" xfId="22572"/>
    <cellStyle name="60% - Akzent6 31_est. MEAT" xfId="22573"/>
    <cellStyle name="60% - Akzent6 32_est. MEAT" xfId="22574"/>
    <cellStyle name="60% - Akzent6 33_est. MEAT" xfId="22575"/>
    <cellStyle name="60% - Akzent6 34_est. MEAT" xfId="22576"/>
    <cellStyle name="60% - Akzent6 35_est. MEAT" xfId="22577"/>
    <cellStyle name="60% - Akzent6 36_est. MEAT" xfId="22578"/>
    <cellStyle name="60% - Akzent6 37_est. MEAT" xfId="22579"/>
    <cellStyle name="60% - Akzent6 38_est. MEAT" xfId="22580"/>
    <cellStyle name="60% - Akzent6 39_est. MEAT" xfId="22581"/>
    <cellStyle name="60% - Akzent6 4 2_est. MEAT" xfId="22582"/>
    <cellStyle name="60% - Akzent6 40_est. MEAT" xfId="22583"/>
    <cellStyle name="60% - Akzent6 41_est. MEAT" xfId="22584"/>
    <cellStyle name="60% - Akzent6 42_est. MEAT" xfId="22585"/>
    <cellStyle name="60% - Akzent6 43_est. MEAT" xfId="22586"/>
    <cellStyle name="60% - Akzent6 44_est. MEAT" xfId="22587"/>
    <cellStyle name="60% - Akzent6 45_est. MEAT" xfId="22588"/>
    <cellStyle name="60% - Akzent6 46_est. MEAT" xfId="22589"/>
    <cellStyle name="60% - Akzent6 47_est. MEAT" xfId="22590"/>
    <cellStyle name="60% - Akzent6 48_est. MEAT" xfId="22591"/>
    <cellStyle name="60% - Akzent6 49_est. MEAT" xfId="22592"/>
    <cellStyle name="60% - Akzent6 5 2_est. MEAT" xfId="22593"/>
    <cellStyle name="60% - Akzent6 50_est. MEAT" xfId="22594"/>
    <cellStyle name="60% - Akzent6 51_est. MEAT" xfId="22595"/>
    <cellStyle name="60% - Akzent6 52_est. MEAT" xfId="22596"/>
    <cellStyle name="60% - Akzent6 53_est. MEAT" xfId="22597"/>
    <cellStyle name="60% - Akzent6 54_est. MEAT" xfId="22598"/>
    <cellStyle name="60% - Akzent6 55_est. MEAT" xfId="22599"/>
    <cellStyle name="60% - Akzent6 56_est. MEAT" xfId="22600"/>
    <cellStyle name="60% - Akzent6 57_est. MEAT" xfId="22601"/>
    <cellStyle name="60% - Akzent6 58_est. MEAT" xfId="22602"/>
    <cellStyle name="60% - Akzent6 59_est. MEAT" xfId="22603"/>
    <cellStyle name="60% - Akzent6 6 2_est. MEAT" xfId="22604"/>
    <cellStyle name="60% - Akzent6 60_est. MEAT" xfId="22605"/>
    <cellStyle name="60% - Akzent6 61_est. MEAT" xfId="22606"/>
    <cellStyle name="60% - Akzent6 62_est. MEAT" xfId="22607"/>
    <cellStyle name="60% - Akzent6 63_est. MEAT" xfId="22608"/>
    <cellStyle name="60% - Akzent6 64_est. MEAT" xfId="22609"/>
    <cellStyle name="60% - Akzent6 65_est. MEAT" xfId="22610"/>
    <cellStyle name="60% - Akzent6 66_est. MEAT" xfId="22611"/>
    <cellStyle name="60% - Akzent6 67_est. MEAT" xfId="22612"/>
    <cellStyle name="60% - Akzent6 68_est. MEAT" xfId="22613"/>
    <cellStyle name="60% - Akzent6 69_est. MEAT" xfId="22614"/>
    <cellStyle name="60% - Akzent6 7 2_est. MEAT" xfId="22615"/>
    <cellStyle name="60% - Akzent6 70_est. MEAT" xfId="22616"/>
    <cellStyle name="60% - Akzent6 71_est. MEAT" xfId="22617"/>
    <cellStyle name="60% - Akzent6 72_est. MEAT" xfId="22618"/>
    <cellStyle name="60% - Akzent6 73_est. MEAT" xfId="22619"/>
    <cellStyle name="60% - Akzent6 74_est. MEAT" xfId="22620"/>
    <cellStyle name="60% - Akzent6 75_est. MEAT" xfId="22621"/>
    <cellStyle name="60% - Akzent6 76_est. MEAT" xfId="22622"/>
    <cellStyle name="60% - Akzent6 77_est. MEAT" xfId="22623"/>
    <cellStyle name="60% - Akzent6 78_est. MEAT" xfId="22624"/>
    <cellStyle name="60% - Akzent6 79_est. MEAT" xfId="22625"/>
    <cellStyle name="60% - Akzent6 8 2_est. MEAT" xfId="22626"/>
    <cellStyle name="60% - Akzent6 80_est. MEAT" xfId="22627"/>
    <cellStyle name="60% - Akzent6 81_est. MEAT" xfId="22628"/>
    <cellStyle name="60% - Akzent6 82_est. MEAT" xfId="22629"/>
    <cellStyle name="60% - Akzent6 83_est. MEAT" xfId="22630"/>
    <cellStyle name="60% - Akzent6 84_est. MEAT" xfId="22631"/>
    <cellStyle name="60% - Akzent6 85_est. MEAT" xfId="22632"/>
    <cellStyle name="60% - Akzent6 86_est. MEAT" xfId="22633"/>
    <cellStyle name="60% - Akzent6 87_est. MEAT" xfId="22634"/>
    <cellStyle name="60% - Akzent6 88_est. MEAT" xfId="22635"/>
    <cellStyle name="60% - Akzent6 89_est. MEAT" xfId="22636"/>
    <cellStyle name="60% - Akzent6 9 2_est. MEAT" xfId="22637"/>
    <cellStyle name="60% - Akzent6 90_est. MEAT" xfId="22638"/>
    <cellStyle name="60% - Akzent6 91_est. MEAT" xfId="22639"/>
    <cellStyle name="60% - Akzent6 92_est. MEAT" xfId="22640"/>
    <cellStyle name="60% - Akzent6 93_est. MEAT" xfId="22641"/>
    <cellStyle name="60% - Akzent6 94_est. MEAT" xfId="22642"/>
    <cellStyle name="60% - Akzent6 95_est. MEAT" xfId="22643"/>
    <cellStyle name="60% - Akzent6 96_est. MEAT" xfId="22644"/>
    <cellStyle name="60% - Akzent6 97_est. MEAT" xfId="22645"/>
    <cellStyle name="60% - Akzent6 98_est. MEAT" xfId="22646"/>
    <cellStyle name="60% - Akzent6 99_est. MEAT" xfId="22647"/>
    <cellStyle name="Accent1" xfId="22648"/>
    <cellStyle name="Accent1 2_est. MEAT" xfId="22649"/>
    <cellStyle name="Accent1_AE_FC_QuoteMaster" xfId="22650"/>
    <cellStyle name="Accent2" xfId="22651"/>
    <cellStyle name="Accent2 2_est. MEAT" xfId="22652"/>
    <cellStyle name="Accent2_AE_FC_QuoteMaster" xfId="22653"/>
    <cellStyle name="Accent3" xfId="22654"/>
    <cellStyle name="Accent3 2_est. MEAT" xfId="22655"/>
    <cellStyle name="Accent3_AE_FC_QuoteMaster" xfId="22656"/>
    <cellStyle name="Accent4" xfId="22657"/>
    <cellStyle name="Accent4 2_est. MEAT" xfId="22658"/>
    <cellStyle name="Accent4_AE_FC_QuoteMaster" xfId="22659"/>
    <cellStyle name="Accent5" xfId="22660"/>
    <cellStyle name="Accent5 2_est. MEAT" xfId="22661"/>
    <cellStyle name="Accent5_AE_FC_QuoteMaster" xfId="22662"/>
    <cellStyle name="Accent6" xfId="22663"/>
    <cellStyle name="Accent6 2_est. MEAT" xfId="22664"/>
    <cellStyle name="Accent6_AE_FC_QuoteMaster" xfId="22665"/>
    <cellStyle name="Akzent1 10 2_est. MEAT" xfId="22666"/>
    <cellStyle name="Akzent1 100_est. MEAT" xfId="22667"/>
    <cellStyle name="Akzent1 101_est. MEAT" xfId="22668"/>
    <cellStyle name="Akzent1 102_est. MEAT" xfId="22669"/>
    <cellStyle name="Akzent1 103_est. MEAT" xfId="22670"/>
    <cellStyle name="Akzent1 104_est. MEAT" xfId="22671"/>
    <cellStyle name="Akzent1 105_est. MEAT" xfId="22672"/>
    <cellStyle name="Akzent1 106_est. MEAT" xfId="22673"/>
    <cellStyle name="Akzent1 107_est. MEAT" xfId="22674"/>
    <cellStyle name="Akzent1 108_est. MEAT" xfId="22675"/>
    <cellStyle name="Akzent1 109_est. MEAT" xfId="22676"/>
    <cellStyle name="Akzent1 11 2_est. MEAT" xfId="22677"/>
    <cellStyle name="Akzent1 110_est. MEAT" xfId="22678"/>
    <cellStyle name="Akzent1 111_est. MEAT" xfId="22679"/>
    <cellStyle name="Akzent1 112_est. MEAT" xfId="22680"/>
    <cellStyle name="Akzent1 113_est. MEAT" xfId="22681"/>
    <cellStyle name="Akzent1 114_est. MEAT" xfId="22682"/>
    <cellStyle name="Akzent1 115_est. MEAT" xfId="22683"/>
    <cellStyle name="Akzent1 116_est. MEAT" xfId="22684"/>
    <cellStyle name="Akzent1 117_est. MEAT" xfId="22685"/>
    <cellStyle name="Akzent1 118_est. MEAT" xfId="22686"/>
    <cellStyle name="Akzent1 119_est. MEAT" xfId="22687"/>
    <cellStyle name="Akzent1 12 2_est. MEAT" xfId="22688"/>
    <cellStyle name="Akzent1 120_est. MEAT" xfId="22689"/>
    <cellStyle name="Akzent1 121_est. MEAT" xfId="22690"/>
    <cellStyle name="Akzent1 122_est. MEAT" xfId="22691"/>
    <cellStyle name="Akzent1 123_est. MEAT" xfId="22692"/>
    <cellStyle name="Akzent1 124_est. MEAT" xfId="22693"/>
    <cellStyle name="Akzent1 125_est. MEAT" xfId="22694"/>
    <cellStyle name="Akzent1 126_est. MEAT" xfId="22695"/>
    <cellStyle name="Akzent1 127_est. MEAT" xfId="22696"/>
    <cellStyle name="Akzent1 128_est. MEAT" xfId="22697"/>
    <cellStyle name="Akzent1 129_est. MEAT" xfId="22698"/>
    <cellStyle name="Akzent1 13 2_est. MEAT" xfId="22699"/>
    <cellStyle name="Akzent1 130_est. MEAT" xfId="22700"/>
    <cellStyle name="Akzent1 131_est. MEAT" xfId="22701"/>
    <cellStyle name="Akzent1 132_est. MEAT" xfId="22702"/>
    <cellStyle name="Akzent1 133_est. MEAT" xfId="22703"/>
    <cellStyle name="Akzent1 134_est. MEAT" xfId="22704"/>
    <cellStyle name="Akzent1 135_est. MEAT" xfId="22705"/>
    <cellStyle name="Akzent1 136_est. MEAT" xfId="22706"/>
    <cellStyle name="Akzent1 137_est. MEAT" xfId="22707"/>
    <cellStyle name="Akzent1 138_est. MEAT" xfId="22708"/>
    <cellStyle name="Akzent1 139_est. MEAT" xfId="22709"/>
    <cellStyle name="Akzent1 14 2_est. MEAT" xfId="22710"/>
    <cellStyle name="Akzent1 140_est. MEAT" xfId="22711"/>
    <cellStyle name="Akzent1 141_est. MEAT" xfId="22712"/>
    <cellStyle name="Akzent1 142_est. MEAT" xfId="22713"/>
    <cellStyle name="Akzent1 143_est. MEAT" xfId="22714"/>
    <cellStyle name="Akzent1 144_est. MEAT" xfId="22715"/>
    <cellStyle name="Akzent1 145_est. MEAT" xfId="22716"/>
    <cellStyle name="Akzent1 146_est. MEAT" xfId="22717"/>
    <cellStyle name="Akzent1 147_est. MEAT" xfId="22718"/>
    <cellStyle name="Akzent1 148_est. MEAT" xfId="22719"/>
    <cellStyle name="Akzent1 149_est. MEAT" xfId="22720"/>
    <cellStyle name="Akzent1 15_est. MEAT" xfId="22721"/>
    <cellStyle name="Akzent1 150_est. MEAT" xfId="22722"/>
    <cellStyle name="Akzent1 151_est. MEAT" xfId="22723"/>
    <cellStyle name="Akzent1 16_est. MEAT" xfId="22724"/>
    <cellStyle name="Akzent1 17_est. MEAT" xfId="22725"/>
    <cellStyle name="Akzent1 18_est. MEAT" xfId="22726"/>
    <cellStyle name="Akzent1 19_est. MEAT" xfId="22727"/>
    <cellStyle name="Akzent1 2 2_est. MEAT" xfId="22728"/>
    <cellStyle name="Akzent1 20_est. MEAT" xfId="22729"/>
    <cellStyle name="Akzent1 21_est. MEAT" xfId="22730"/>
    <cellStyle name="Akzent1 22_est. MEAT" xfId="22731"/>
    <cellStyle name="Akzent1 23_est. MEAT" xfId="22732"/>
    <cellStyle name="Akzent1 24_est. MEAT" xfId="22733"/>
    <cellStyle name="Akzent1 25_est. MEAT" xfId="22734"/>
    <cellStyle name="Akzent1 26_est. MEAT" xfId="22735"/>
    <cellStyle name="Akzent1 27_est. MEAT" xfId="22736"/>
    <cellStyle name="Akzent1 28_est. MEAT" xfId="22737"/>
    <cellStyle name="Akzent1 29_est. MEAT" xfId="22738"/>
    <cellStyle name="Akzent1 3 2_est. MEAT" xfId="22739"/>
    <cellStyle name="Akzent1 30_est. MEAT" xfId="22740"/>
    <cellStyle name="Akzent1 31_est. MEAT" xfId="22741"/>
    <cellStyle name="Akzent1 32_est. MEAT" xfId="22742"/>
    <cellStyle name="Akzent1 33_est. MEAT" xfId="22743"/>
    <cellStyle name="Akzent1 34_est. MEAT" xfId="22744"/>
    <cellStyle name="Akzent1 35_est. MEAT" xfId="22745"/>
    <cellStyle name="Akzent1 36_est. MEAT" xfId="22746"/>
    <cellStyle name="Akzent1 37_est. MEAT" xfId="22747"/>
    <cellStyle name="Akzent1 38_est. MEAT" xfId="22748"/>
    <cellStyle name="Akzent1 39_est. MEAT" xfId="22749"/>
    <cellStyle name="Akzent1 4 2_est. MEAT" xfId="22750"/>
    <cellStyle name="Akzent1 40_est. MEAT" xfId="22751"/>
    <cellStyle name="Akzent1 41_est. MEAT" xfId="22752"/>
    <cellStyle name="Akzent1 42_est. MEAT" xfId="22753"/>
    <cellStyle name="Akzent1 43_est. MEAT" xfId="22754"/>
    <cellStyle name="Akzent1 44_est. MEAT" xfId="22755"/>
    <cellStyle name="Akzent1 45_est. MEAT" xfId="22756"/>
    <cellStyle name="Akzent1 46_est. MEAT" xfId="22757"/>
    <cellStyle name="Akzent1 47_est. MEAT" xfId="22758"/>
    <cellStyle name="Akzent1 48_est. MEAT" xfId="22759"/>
    <cellStyle name="Akzent1 49_est. MEAT" xfId="22760"/>
    <cellStyle name="Akzent1 5 2_est. MEAT" xfId="22761"/>
    <cellStyle name="Akzent1 50_est. MEAT" xfId="22762"/>
    <cellStyle name="Akzent1 51_est. MEAT" xfId="22763"/>
    <cellStyle name="Akzent1 52_est. MEAT" xfId="22764"/>
    <cellStyle name="Akzent1 53_est. MEAT" xfId="22765"/>
    <cellStyle name="Akzent1 54_est. MEAT" xfId="22766"/>
    <cellStyle name="Akzent1 55_est. MEAT" xfId="22767"/>
    <cellStyle name="Akzent1 56_est. MEAT" xfId="22768"/>
    <cellStyle name="Akzent1 57_est. MEAT" xfId="22769"/>
    <cellStyle name="Akzent1 58_est. MEAT" xfId="22770"/>
    <cellStyle name="Akzent1 59_est. MEAT" xfId="22771"/>
    <cellStyle name="Akzent1 6 2_est. MEAT" xfId="22772"/>
    <cellStyle name="Akzent1 60_est. MEAT" xfId="22773"/>
    <cellStyle name="Akzent1 61_est. MEAT" xfId="22774"/>
    <cellStyle name="Akzent1 62_est. MEAT" xfId="22775"/>
    <cellStyle name="Akzent1 63_est. MEAT" xfId="22776"/>
    <cellStyle name="Akzent1 64_est. MEAT" xfId="22777"/>
    <cellStyle name="Akzent1 65_est. MEAT" xfId="22778"/>
    <cellStyle name="Akzent1 66_est. MEAT" xfId="22779"/>
    <cellStyle name="Akzent1 67_est. MEAT" xfId="22780"/>
    <cellStyle name="Akzent1 68_est. MEAT" xfId="22781"/>
    <cellStyle name="Akzent1 69_est. MEAT" xfId="22782"/>
    <cellStyle name="Akzent1 7 2_est. MEAT" xfId="22783"/>
    <cellStyle name="Akzent1 70_est. MEAT" xfId="22784"/>
    <cellStyle name="Akzent1 71_est. MEAT" xfId="22785"/>
    <cellStyle name="Akzent1 72_est. MEAT" xfId="22786"/>
    <cellStyle name="Akzent1 73_est. MEAT" xfId="22787"/>
    <cellStyle name="Akzent1 74_est. MEAT" xfId="22788"/>
    <cellStyle name="Akzent1 75_est. MEAT" xfId="22789"/>
    <cellStyle name="Akzent1 76_est. MEAT" xfId="22790"/>
    <cellStyle name="Akzent1 77_est. MEAT" xfId="22791"/>
    <cellStyle name="Akzent1 78_est. MEAT" xfId="22792"/>
    <cellStyle name="Akzent1 79_est. MEAT" xfId="22793"/>
    <cellStyle name="Akzent1 8 2_est. MEAT" xfId="22794"/>
    <cellStyle name="Akzent1 80_est. MEAT" xfId="22795"/>
    <cellStyle name="Akzent1 81_est. MEAT" xfId="22796"/>
    <cellStyle name="Akzent1 82_est. MEAT" xfId="22797"/>
    <cellStyle name="Akzent1 83_est. MEAT" xfId="22798"/>
    <cellStyle name="Akzent1 84_est. MEAT" xfId="22799"/>
    <cellStyle name="Akzent1 85_est. MEAT" xfId="22800"/>
    <cellStyle name="Akzent1 86_est. MEAT" xfId="22801"/>
    <cellStyle name="Akzent1 87_est. MEAT" xfId="22802"/>
    <cellStyle name="Akzent1 88_est. MEAT" xfId="22803"/>
    <cellStyle name="Akzent1 89_est. MEAT" xfId="22804"/>
    <cellStyle name="Akzent1 9 2_est. MEAT" xfId="22805"/>
    <cellStyle name="Akzent1 90_est. MEAT" xfId="22806"/>
    <cellStyle name="Akzent1 91_est. MEAT" xfId="22807"/>
    <cellStyle name="Akzent1 92_est. MEAT" xfId="22808"/>
    <cellStyle name="Akzent1 93_est. MEAT" xfId="22809"/>
    <cellStyle name="Akzent1 94_est. MEAT" xfId="22810"/>
    <cellStyle name="Akzent1 95_est. MEAT" xfId="22811"/>
    <cellStyle name="Akzent1 96_est. MEAT" xfId="22812"/>
    <cellStyle name="Akzent1 97_est. MEAT" xfId="22813"/>
    <cellStyle name="Akzent1 98_est. MEAT" xfId="22814"/>
    <cellStyle name="Akzent1 99_est. MEAT" xfId="22815"/>
    <cellStyle name="Akzent2 10 2_est. MEAT" xfId="22816"/>
    <cellStyle name="Akzent2 100_est. MEAT" xfId="22817"/>
    <cellStyle name="Akzent2 101_est. MEAT" xfId="22818"/>
    <cellStyle name="Akzent2 102_est. MEAT" xfId="22819"/>
    <cellStyle name="Akzent2 103_est. MEAT" xfId="22820"/>
    <cellStyle name="Akzent2 104_est. MEAT" xfId="22821"/>
    <cellStyle name="Akzent2 105_est. MEAT" xfId="22822"/>
    <cellStyle name="Akzent2 106_est. MEAT" xfId="22823"/>
    <cellStyle name="Akzent2 107_est. MEAT" xfId="22824"/>
    <cellStyle name="Akzent2 108_est. MEAT" xfId="22825"/>
    <cellStyle name="Akzent2 109_est. MEAT" xfId="22826"/>
    <cellStyle name="Akzent2 11 2_est. MEAT" xfId="22827"/>
    <cellStyle name="Akzent2 110_est. MEAT" xfId="22828"/>
    <cellStyle name="Akzent2 111_est. MEAT" xfId="22829"/>
    <cellStyle name="Akzent2 112_est. MEAT" xfId="22830"/>
    <cellStyle name="Akzent2 113_est. MEAT" xfId="22831"/>
    <cellStyle name="Akzent2 114_est. MEAT" xfId="22832"/>
    <cellStyle name="Akzent2 115_est. MEAT" xfId="22833"/>
    <cellStyle name="Akzent2 116_est. MEAT" xfId="22834"/>
    <cellStyle name="Akzent2 117_est. MEAT" xfId="22835"/>
    <cellStyle name="Akzent2 118_est. MEAT" xfId="22836"/>
    <cellStyle name="Akzent2 119_est. MEAT" xfId="22837"/>
    <cellStyle name="Akzent2 12 2_est. MEAT" xfId="22838"/>
    <cellStyle name="Akzent2 120_est. MEAT" xfId="22839"/>
    <cellStyle name="Akzent2 121_est. MEAT" xfId="22840"/>
    <cellStyle name="Akzent2 122_est. MEAT" xfId="22841"/>
    <cellStyle name="Akzent2 123_est. MEAT" xfId="22842"/>
    <cellStyle name="Akzent2 124_est. MEAT" xfId="22843"/>
    <cellStyle name="Akzent2 125_est. MEAT" xfId="22844"/>
    <cellStyle name="Akzent2 126_est. MEAT" xfId="22845"/>
    <cellStyle name="Akzent2 127_est. MEAT" xfId="22846"/>
    <cellStyle name="Akzent2 128_est. MEAT" xfId="22847"/>
    <cellStyle name="Akzent2 129_est. MEAT" xfId="22848"/>
    <cellStyle name="Akzent2 13 2_est. MEAT" xfId="22849"/>
    <cellStyle name="Akzent2 130_est. MEAT" xfId="22850"/>
    <cellStyle name="Akzent2 131_est. MEAT" xfId="22851"/>
    <cellStyle name="Akzent2 132_est. MEAT" xfId="22852"/>
    <cellStyle name="Akzent2 133_est. MEAT" xfId="22853"/>
    <cellStyle name="Akzent2 134_est. MEAT" xfId="22854"/>
    <cellStyle name="Akzent2 135_est. MEAT" xfId="22855"/>
    <cellStyle name="Akzent2 136_est. MEAT" xfId="22856"/>
    <cellStyle name="Akzent2 137_est. MEAT" xfId="22857"/>
    <cellStyle name="Akzent2 138_est. MEAT" xfId="22858"/>
    <cellStyle name="Akzent2 139_est. MEAT" xfId="22859"/>
    <cellStyle name="Akzent2 14 2_est. MEAT" xfId="22860"/>
    <cellStyle name="Akzent2 140_est. MEAT" xfId="22861"/>
    <cellStyle name="Akzent2 141_est. MEAT" xfId="22862"/>
    <cellStyle name="Akzent2 142_est. MEAT" xfId="22863"/>
    <cellStyle name="Akzent2 143_est. MEAT" xfId="22864"/>
    <cellStyle name="Akzent2 144_est. MEAT" xfId="22865"/>
    <cellStyle name="Akzent2 145_est. MEAT" xfId="22866"/>
    <cellStyle name="Akzent2 146_est. MEAT" xfId="22867"/>
    <cellStyle name="Akzent2 147_est. MEAT" xfId="22868"/>
    <cellStyle name="Akzent2 148_est. MEAT" xfId="22869"/>
    <cellStyle name="Akzent2 149_est. MEAT" xfId="22870"/>
    <cellStyle name="Akzent2 15_est. MEAT" xfId="22871"/>
    <cellStyle name="Akzent2 150_est. MEAT" xfId="22872"/>
    <cellStyle name="Akzent2 151_est. MEAT" xfId="22873"/>
    <cellStyle name="Akzent2 16_est. MEAT" xfId="22874"/>
    <cellStyle name="Akzent2 17_est. MEAT" xfId="22875"/>
    <cellStyle name="Akzent2 18_est. MEAT" xfId="22876"/>
    <cellStyle name="Akzent2 19_est. MEAT" xfId="22877"/>
    <cellStyle name="Akzent2 2 2_est. MEAT" xfId="22878"/>
    <cellStyle name="Akzent2 20_est. MEAT" xfId="22879"/>
    <cellStyle name="Akzent2 21_est. MEAT" xfId="22880"/>
    <cellStyle name="Akzent2 22_est. MEAT" xfId="22881"/>
    <cellStyle name="Akzent2 23_est. MEAT" xfId="22882"/>
    <cellStyle name="Akzent2 24_est. MEAT" xfId="22883"/>
    <cellStyle name="Akzent2 25_est. MEAT" xfId="22884"/>
    <cellStyle name="Akzent2 26_est. MEAT" xfId="22885"/>
    <cellStyle name="Akzent2 27_est. MEAT" xfId="22886"/>
    <cellStyle name="Akzent2 28_est. MEAT" xfId="22887"/>
    <cellStyle name="Akzent2 29_est. MEAT" xfId="22888"/>
    <cellStyle name="Akzent2 3 2_est. MEAT" xfId="22889"/>
    <cellStyle name="Akzent2 30_est. MEAT" xfId="22890"/>
    <cellStyle name="Akzent2 31_est. MEAT" xfId="22891"/>
    <cellStyle name="Akzent2 32_est. MEAT" xfId="22892"/>
    <cellStyle name="Akzent2 33_est. MEAT" xfId="22893"/>
    <cellStyle name="Akzent2 34_est. MEAT" xfId="22894"/>
    <cellStyle name="Akzent2 35_est. MEAT" xfId="22895"/>
    <cellStyle name="Akzent2 36_est. MEAT" xfId="22896"/>
    <cellStyle name="Akzent2 37_est. MEAT" xfId="22897"/>
    <cellStyle name="Akzent2 38_est. MEAT" xfId="22898"/>
    <cellStyle name="Akzent2 39_est. MEAT" xfId="22899"/>
    <cellStyle name="Akzent2 4 2_est. MEAT" xfId="22900"/>
    <cellStyle name="Akzent2 40_est. MEAT" xfId="22901"/>
    <cellStyle name="Akzent2 41_est. MEAT" xfId="22902"/>
    <cellStyle name="Akzent2 42_est. MEAT" xfId="22903"/>
    <cellStyle name="Akzent2 43_est. MEAT" xfId="22904"/>
    <cellStyle name="Akzent2 44_est. MEAT" xfId="22905"/>
    <cellStyle name="Akzent2 45_est. MEAT" xfId="22906"/>
    <cellStyle name="Akzent2 46_est. MEAT" xfId="22907"/>
    <cellStyle name="Akzent2 47_est. MEAT" xfId="22908"/>
    <cellStyle name="Akzent2 48_est. MEAT" xfId="22909"/>
    <cellStyle name="Akzent2 49_est. MEAT" xfId="22910"/>
    <cellStyle name="Akzent2 5 2_est. MEAT" xfId="22911"/>
    <cellStyle name="Akzent2 50_est. MEAT" xfId="22912"/>
    <cellStyle name="Akzent2 51_est. MEAT" xfId="22913"/>
    <cellStyle name="Akzent2 52_est. MEAT" xfId="22914"/>
    <cellStyle name="Akzent2 53_est. MEAT" xfId="22915"/>
    <cellStyle name="Akzent2 54_est. MEAT" xfId="22916"/>
    <cellStyle name="Akzent2 55_est. MEAT" xfId="22917"/>
    <cellStyle name="Akzent2 56_est. MEAT" xfId="22918"/>
    <cellStyle name="Akzent2 57_est. MEAT" xfId="22919"/>
    <cellStyle name="Akzent2 58_est. MEAT" xfId="22920"/>
    <cellStyle name="Akzent2 59_est. MEAT" xfId="22921"/>
    <cellStyle name="Akzent2 6 2_est. MEAT" xfId="22922"/>
    <cellStyle name="Akzent2 60_est. MEAT" xfId="22923"/>
    <cellStyle name="Akzent2 61_est. MEAT" xfId="22924"/>
    <cellStyle name="Akzent2 62_est. MEAT" xfId="22925"/>
    <cellStyle name="Akzent2 63_est. MEAT" xfId="22926"/>
    <cellStyle name="Akzent2 64_est. MEAT" xfId="22927"/>
    <cellStyle name="Akzent2 65_est. MEAT" xfId="22928"/>
    <cellStyle name="Akzent2 66_est. MEAT" xfId="22929"/>
    <cellStyle name="Akzent2 67_est. MEAT" xfId="22930"/>
    <cellStyle name="Akzent2 68_est. MEAT" xfId="22931"/>
    <cellStyle name="Akzent2 69_est. MEAT" xfId="22932"/>
    <cellStyle name="Akzent2 7 2_est. MEAT" xfId="22933"/>
    <cellStyle name="Akzent2 70_est. MEAT" xfId="22934"/>
    <cellStyle name="Akzent2 71_est. MEAT" xfId="22935"/>
    <cellStyle name="Akzent2 72_est. MEAT" xfId="22936"/>
    <cellStyle name="Akzent2 73_est. MEAT" xfId="22937"/>
    <cellStyle name="Akzent2 74_est. MEAT" xfId="22938"/>
    <cellStyle name="Akzent2 75_est. MEAT" xfId="22939"/>
    <cellStyle name="Akzent2 76_est. MEAT" xfId="22940"/>
    <cellStyle name="Akzent2 77_est. MEAT" xfId="22941"/>
    <cellStyle name="Akzent2 78_est. MEAT" xfId="22942"/>
    <cellStyle name="Akzent2 79_est. MEAT" xfId="22943"/>
    <cellStyle name="Akzent2 8 2_est. MEAT" xfId="22944"/>
    <cellStyle name="Akzent2 80_est. MEAT" xfId="22945"/>
    <cellStyle name="Akzent2 81_est. MEAT" xfId="22946"/>
    <cellStyle name="Akzent2 82_est. MEAT" xfId="22947"/>
    <cellStyle name="Akzent2 83_est. MEAT" xfId="22948"/>
    <cellStyle name="Akzent2 84_est. MEAT" xfId="22949"/>
    <cellStyle name="Akzent2 85_est. MEAT" xfId="22950"/>
    <cellStyle name="Akzent2 86_est. MEAT" xfId="22951"/>
    <cellStyle name="Akzent2 87_est. MEAT" xfId="22952"/>
    <cellStyle name="Akzent2 88_est. MEAT" xfId="22953"/>
    <cellStyle name="Akzent2 89_est. MEAT" xfId="22954"/>
    <cellStyle name="Akzent2 9 2_est. MEAT" xfId="22955"/>
    <cellStyle name="Akzent2 90_est. MEAT" xfId="22956"/>
    <cellStyle name="Akzent2 91_est. MEAT" xfId="22957"/>
    <cellStyle name="Akzent2 92_est. MEAT" xfId="22958"/>
    <cellStyle name="Akzent2 93_est. MEAT" xfId="22959"/>
    <cellStyle name="Akzent2 94_est. MEAT" xfId="22960"/>
    <cellStyle name="Akzent2 95_est. MEAT" xfId="22961"/>
    <cellStyle name="Akzent2 96_est. MEAT" xfId="22962"/>
    <cellStyle name="Akzent2 97_est. MEAT" xfId="22963"/>
    <cellStyle name="Akzent2 98_est. MEAT" xfId="22964"/>
    <cellStyle name="Akzent2 99_est. MEAT" xfId="22965"/>
    <cellStyle name="Akzent3 10 2_est. MEAT" xfId="22966"/>
    <cellStyle name="Akzent3 100_est. MEAT" xfId="22967"/>
    <cellStyle name="Akzent3 101_est. MEAT" xfId="22968"/>
    <cellStyle name="Akzent3 102_est. MEAT" xfId="22969"/>
    <cellStyle name="Akzent3 103_est. MEAT" xfId="22970"/>
    <cellStyle name="Akzent3 104_est. MEAT" xfId="22971"/>
    <cellStyle name="Akzent3 105_est. MEAT" xfId="22972"/>
    <cellStyle name="Akzent3 106_est. MEAT" xfId="22973"/>
    <cellStyle name="Akzent3 107_est. MEAT" xfId="22974"/>
    <cellStyle name="Akzent3 108_est. MEAT" xfId="22975"/>
    <cellStyle name="Akzent3 109_est. MEAT" xfId="22976"/>
    <cellStyle name="Akzent3 11 2_est. MEAT" xfId="22977"/>
    <cellStyle name="Akzent3 110_est. MEAT" xfId="22978"/>
    <cellStyle name="Akzent3 111_est. MEAT" xfId="22979"/>
    <cellStyle name="Akzent3 112_est. MEAT" xfId="22980"/>
    <cellStyle name="Akzent3 113_est. MEAT" xfId="22981"/>
    <cellStyle name="Akzent3 114_est. MEAT" xfId="22982"/>
    <cellStyle name="Akzent3 115_est. MEAT" xfId="22983"/>
    <cellStyle name="Akzent3 116_est. MEAT" xfId="22984"/>
    <cellStyle name="Akzent3 117_est. MEAT" xfId="22985"/>
    <cellStyle name="Akzent3 118_est. MEAT" xfId="22986"/>
    <cellStyle name="Akzent3 119_est. MEAT" xfId="22987"/>
    <cellStyle name="Akzent3 12 2_est. MEAT" xfId="22988"/>
    <cellStyle name="Akzent3 120_est. MEAT" xfId="22989"/>
    <cellStyle name="Akzent3 121_est. MEAT" xfId="22990"/>
    <cellStyle name="Akzent3 122_est. MEAT" xfId="22991"/>
    <cellStyle name="Akzent3 123_est. MEAT" xfId="22992"/>
    <cellStyle name="Akzent3 124_est. MEAT" xfId="22993"/>
    <cellStyle name="Akzent3 125_est. MEAT" xfId="22994"/>
    <cellStyle name="Akzent3 126_est. MEAT" xfId="22995"/>
    <cellStyle name="Akzent3 127_est. MEAT" xfId="22996"/>
    <cellStyle name="Akzent3 128_est. MEAT" xfId="22997"/>
    <cellStyle name="Akzent3 129_est. MEAT" xfId="22998"/>
    <cellStyle name="Akzent3 13 2_est. MEAT" xfId="22999"/>
    <cellStyle name="Akzent3 130_est. MEAT" xfId="23000"/>
    <cellStyle name="Akzent3 131_est. MEAT" xfId="23001"/>
    <cellStyle name="Akzent3 132_est. MEAT" xfId="23002"/>
    <cellStyle name="Akzent3 133_est. MEAT" xfId="23003"/>
    <cellStyle name="Akzent3 134_est. MEAT" xfId="23004"/>
    <cellStyle name="Akzent3 135_est. MEAT" xfId="23005"/>
    <cellStyle name="Akzent3 136_est. MEAT" xfId="23006"/>
    <cellStyle name="Akzent3 137_est. MEAT" xfId="23007"/>
    <cellStyle name="Akzent3 138_est. MEAT" xfId="23008"/>
    <cellStyle name="Akzent3 139_est. MEAT" xfId="23009"/>
    <cellStyle name="Akzent3 14 2_est. MEAT" xfId="23010"/>
    <cellStyle name="Akzent3 140_est. MEAT" xfId="23011"/>
    <cellStyle name="Akzent3 141_est. MEAT" xfId="23012"/>
    <cellStyle name="Akzent3 142_est. MEAT" xfId="23013"/>
    <cellStyle name="Akzent3 143_est. MEAT" xfId="23014"/>
    <cellStyle name="Akzent3 144_est. MEAT" xfId="23015"/>
    <cellStyle name="Akzent3 145_est. MEAT" xfId="23016"/>
    <cellStyle name="Akzent3 146_est. MEAT" xfId="23017"/>
    <cellStyle name="Akzent3 147_est. MEAT" xfId="23018"/>
    <cellStyle name="Akzent3 148_est. MEAT" xfId="23019"/>
    <cellStyle name="Akzent3 149_est. MEAT" xfId="23020"/>
    <cellStyle name="Akzent3 15_est. MEAT" xfId="23021"/>
    <cellStyle name="Akzent3 150_est. MEAT" xfId="23022"/>
    <cellStyle name="Akzent3 151_est. MEAT" xfId="23023"/>
    <cellStyle name="Akzent3 16_est. MEAT" xfId="23024"/>
    <cellStyle name="Akzent3 17_est. MEAT" xfId="23025"/>
    <cellStyle name="Akzent3 18_est. MEAT" xfId="23026"/>
    <cellStyle name="Akzent3 19_est. MEAT" xfId="23027"/>
    <cellStyle name="Akzent3 2 2_est. MEAT" xfId="23028"/>
    <cellStyle name="Akzent3 20_est. MEAT" xfId="23029"/>
    <cellStyle name="Akzent3 21_est. MEAT" xfId="23030"/>
    <cellStyle name="Akzent3 22_est. MEAT" xfId="23031"/>
    <cellStyle name="Akzent3 23_est. MEAT" xfId="23032"/>
    <cellStyle name="Akzent3 24_est. MEAT" xfId="23033"/>
    <cellStyle name="Akzent3 25_est. MEAT" xfId="23034"/>
    <cellStyle name="Akzent3 26_est. MEAT" xfId="23035"/>
    <cellStyle name="Akzent3 27_est. MEAT" xfId="23036"/>
    <cellStyle name="Akzent3 28_est. MEAT" xfId="23037"/>
    <cellStyle name="Akzent3 29_est. MEAT" xfId="23038"/>
    <cellStyle name="Akzent3 3 2_est. MEAT" xfId="23039"/>
    <cellStyle name="Akzent3 30_est. MEAT" xfId="23040"/>
    <cellStyle name="Akzent3 31_est. MEAT" xfId="23041"/>
    <cellStyle name="Akzent3 32_est. MEAT" xfId="23042"/>
    <cellStyle name="Akzent3 33_est. MEAT" xfId="23043"/>
    <cellStyle name="Akzent3 34_est. MEAT" xfId="23044"/>
    <cellStyle name="Akzent3 35_est. MEAT" xfId="23045"/>
    <cellStyle name="Akzent3 36_est. MEAT" xfId="23046"/>
    <cellStyle name="Akzent3 37_est. MEAT" xfId="23047"/>
    <cellStyle name="Akzent3 38_est. MEAT" xfId="23048"/>
    <cellStyle name="Akzent3 39_est. MEAT" xfId="23049"/>
    <cellStyle name="Akzent3 4 2_est. MEAT" xfId="23050"/>
    <cellStyle name="Akzent3 40_est. MEAT" xfId="23051"/>
    <cellStyle name="Akzent3 41_est. MEAT" xfId="23052"/>
    <cellStyle name="Akzent3 42_est. MEAT" xfId="23053"/>
    <cellStyle name="Akzent3 43_est. MEAT" xfId="23054"/>
    <cellStyle name="Akzent3 44_est. MEAT" xfId="23055"/>
    <cellStyle name="Akzent3 45_est. MEAT" xfId="23056"/>
    <cellStyle name="Akzent3 46_est. MEAT" xfId="23057"/>
    <cellStyle name="Akzent3 47_est. MEAT" xfId="23058"/>
    <cellStyle name="Akzent3 48_est. MEAT" xfId="23059"/>
    <cellStyle name="Akzent3 49_est. MEAT" xfId="23060"/>
    <cellStyle name="Akzent3 5 2_est. MEAT" xfId="23061"/>
    <cellStyle name="Akzent3 50_est. MEAT" xfId="23062"/>
    <cellStyle name="Akzent3 51_est. MEAT" xfId="23063"/>
    <cellStyle name="Akzent3 52_est. MEAT" xfId="23064"/>
    <cellStyle name="Akzent3 53_est. MEAT" xfId="23065"/>
    <cellStyle name="Akzent3 54_est. MEAT" xfId="23066"/>
    <cellStyle name="Akzent3 55_est. MEAT" xfId="23067"/>
    <cellStyle name="Akzent3 56_est. MEAT" xfId="23068"/>
    <cellStyle name="Akzent3 57_est. MEAT" xfId="23069"/>
    <cellStyle name="Akzent3 58_est. MEAT" xfId="23070"/>
    <cellStyle name="Akzent3 59_est. MEAT" xfId="23071"/>
    <cellStyle name="Akzent3 6 2_est. MEAT" xfId="23072"/>
    <cellStyle name="Akzent3 60_est. MEAT" xfId="23073"/>
    <cellStyle name="Akzent3 61_est. MEAT" xfId="23074"/>
    <cellStyle name="Akzent3 62_est. MEAT" xfId="23075"/>
    <cellStyle name="Akzent3 63_est. MEAT" xfId="23076"/>
    <cellStyle name="Akzent3 64_est. MEAT" xfId="23077"/>
    <cellStyle name="Akzent3 65_est. MEAT" xfId="23078"/>
    <cellStyle name="Akzent3 66_est. MEAT" xfId="23079"/>
    <cellStyle name="Akzent3 67_est. MEAT" xfId="23080"/>
    <cellStyle name="Akzent3 68_est. MEAT" xfId="23081"/>
    <cellStyle name="Akzent3 69_est. MEAT" xfId="23082"/>
    <cellStyle name="Akzent3 7 2_est. MEAT" xfId="23083"/>
    <cellStyle name="Akzent3 70_est. MEAT" xfId="23084"/>
    <cellStyle name="Akzent3 71_est. MEAT" xfId="23085"/>
    <cellStyle name="Akzent3 72_est. MEAT" xfId="23086"/>
    <cellStyle name="Akzent3 73_est. MEAT" xfId="23087"/>
    <cellStyle name="Akzent3 74_est. MEAT" xfId="23088"/>
    <cellStyle name="Akzent3 75_est. MEAT" xfId="23089"/>
    <cellStyle name="Akzent3 76_est. MEAT" xfId="23090"/>
    <cellStyle name="Akzent3 77_est. MEAT" xfId="23091"/>
    <cellStyle name="Akzent3 78_est. MEAT" xfId="23092"/>
    <cellStyle name="Akzent3 79_est. MEAT" xfId="23093"/>
    <cellStyle name="Akzent3 8 2_est. MEAT" xfId="23094"/>
    <cellStyle name="Akzent3 80_est. MEAT" xfId="23095"/>
    <cellStyle name="Akzent3 81_est. MEAT" xfId="23096"/>
    <cellStyle name="Akzent3 82_est. MEAT" xfId="23097"/>
    <cellStyle name="Akzent3 83_est. MEAT" xfId="23098"/>
    <cellStyle name="Akzent3 84_est. MEAT" xfId="23099"/>
    <cellStyle name="Akzent3 85_est. MEAT" xfId="23100"/>
    <cellStyle name="Akzent3 86_est. MEAT" xfId="23101"/>
    <cellStyle name="Akzent3 87_est. MEAT" xfId="23102"/>
    <cellStyle name="Akzent3 88_est. MEAT" xfId="23103"/>
    <cellStyle name="Akzent3 89_est. MEAT" xfId="23104"/>
    <cellStyle name="Akzent3 9 2_est. MEAT" xfId="23105"/>
    <cellStyle name="Akzent3 90_est. MEAT" xfId="23106"/>
    <cellStyle name="Akzent3 91_est. MEAT" xfId="23107"/>
    <cellStyle name="Akzent3 92_est. MEAT" xfId="23108"/>
    <cellStyle name="Akzent3 93_est. MEAT" xfId="23109"/>
    <cellStyle name="Akzent3 94_est. MEAT" xfId="23110"/>
    <cellStyle name="Akzent3 95_est. MEAT" xfId="23111"/>
    <cellStyle name="Akzent3 96_est. MEAT" xfId="23112"/>
    <cellStyle name="Akzent3 97_est. MEAT" xfId="23113"/>
    <cellStyle name="Akzent3 98_est. MEAT" xfId="23114"/>
    <cellStyle name="Akzent3 99_est. MEAT" xfId="23115"/>
    <cellStyle name="Akzent4 10 2_est. MEAT" xfId="23116"/>
    <cellStyle name="Akzent4 100_est. MEAT" xfId="23117"/>
    <cellStyle name="Akzent4 101_est. MEAT" xfId="23118"/>
    <cellStyle name="Akzent4 102_est. MEAT" xfId="23119"/>
    <cellStyle name="Akzent4 103_est. MEAT" xfId="23120"/>
    <cellStyle name="Akzent4 104_est. MEAT" xfId="23121"/>
    <cellStyle name="Akzent4 105_est. MEAT" xfId="23122"/>
    <cellStyle name="Akzent4 106_est. MEAT" xfId="23123"/>
    <cellStyle name="Akzent4 107_est. MEAT" xfId="23124"/>
    <cellStyle name="Akzent4 108_est. MEAT" xfId="23125"/>
    <cellStyle name="Akzent4 109_est. MEAT" xfId="23126"/>
    <cellStyle name="Akzent4 11 2_est. MEAT" xfId="23127"/>
    <cellStyle name="Akzent4 110_est. MEAT" xfId="23128"/>
    <cellStyle name="Akzent4 111_est. MEAT" xfId="23129"/>
    <cellStyle name="Akzent4 112_est. MEAT" xfId="23130"/>
    <cellStyle name="Akzent4 113_est. MEAT" xfId="23131"/>
    <cellStyle name="Akzent4 114_est. MEAT" xfId="23132"/>
    <cellStyle name="Akzent4 115_est. MEAT" xfId="23133"/>
    <cellStyle name="Akzent4 116_est. MEAT" xfId="23134"/>
    <cellStyle name="Akzent4 117_est. MEAT" xfId="23135"/>
    <cellStyle name="Akzent4 118_est. MEAT" xfId="23136"/>
    <cellStyle name="Akzent4 119_est. MEAT" xfId="23137"/>
    <cellStyle name="Akzent4 12 2_est. MEAT" xfId="23138"/>
    <cellStyle name="Akzent4 120_est. MEAT" xfId="23139"/>
    <cellStyle name="Akzent4 121_est. MEAT" xfId="23140"/>
    <cellStyle name="Akzent4 122_est. MEAT" xfId="23141"/>
    <cellStyle name="Akzent4 123_est. MEAT" xfId="23142"/>
    <cellStyle name="Akzent4 124_est. MEAT" xfId="23143"/>
    <cellStyle name="Akzent4 125_est. MEAT" xfId="23144"/>
    <cellStyle name="Akzent4 126_est. MEAT" xfId="23145"/>
    <cellStyle name="Akzent4 127_est. MEAT" xfId="23146"/>
    <cellStyle name="Akzent4 128_est. MEAT" xfId="23147"/>
    <cellStyle name="Akzent4 129_est. MEAT" xfId="23148"/>
    <cellStyle name="Akzent4 13 2_est. MEAT" xfId="23149"/>
    <cellStyle name="Akzent4 130_est. MEAT" xfId="23150"/>
    <cellStyle name="Akzent4 131_est. MEAT" xfId="23151"/>
    <cellStyle name="Akzent4 132_est. MEAT" xfId="23152"/>
    <cellStyle name="Akzent4 133_est. MEAT" xfId="23153"/>
    <cellStyle name="Akzent4 134_est. MEAT" xfId="23154"/>
    <cellStyle name="Akzent4 135_est. MEAT" xfId="23155"/>
    <cellStyle name="Akzent4 136_est. MEAT" xfId="23156"/>
    <cellStyle name="Akzent4 137_est. MEAT" xfId="23157"/>
    <cellStyle name="Akzent4 138_est. MEAT" xfId="23158"/>
    <cellStyle name="Akzent4 139_est. MEAT" xfId="23159"/>
    <cellStyle name="Akzent4 14 2_est. MEAT" xfId="23160"/>
    <cellStyle name="Akzent4 140_est. MEAT" xfId="23161"/>
    <cellStyle name="Akzent4 141_est. MEAT" xfId="23162"/>
    <cellStyle name="Akzent4 142_est. MEAT" xfId="23163"/>
    <cellStyle name="Akzent4 143_est. MEAT" xfId="23164"/>
    <cellStyle name="Akzent4 144_est. MEAT" xfId="23165"/>
    <cellStyle name="Akzent4 145_est. MEAT" xfId="23166"/>
    <cellStyle name="Akzent4 146_est. MEAT" xfId="23167"/>
    <cellStyle name="Akzent4 147_est. MEAT" xfId="23168"/>
    <cellStyle name="Akzent4 148_est. MEAT" xfId="23169"/>
    <cellStyle name="Akzent4 149_est. MEAT" xfId="23170"/>
    <cellStyle name="Akzent4 15_est. MEAT" xfId="23171"/>
    <cellStyle name="Akzent4 150_est. MEAT" xfId="23172"/>
    <cellStyle name="Akzent4 151_est. MEAT" xfId="23173"/>
    <cellStyle name="Akzent4 16_est. MEAT" xfId="23174"/>
    <cellStyle name="Akzent4 17_est. MEAT" xfId="23175"/>
    <cellStyle name="Akzent4 18_est. MEAT" xfId="23176"/>
    <cellStyle name="Akzent4 19_est. MEAT" xfId="23177"/>
    <cellStyle name="Akzent4 2 2_est. MEAT" xfId="23178"/>
    <cellStyle name="Akzent4 20_est. MEAT" xfId="23179"/>
    <cellStyle name="Akzent4 21_est. MEAT" xfId="23180"/>
    <cellStyle name="Akzent4 22_est. MEAT" xfId="23181"/>
    <cellStyle name="Akzent4 23_est. MEAT" xfId="23182"/>
    <cellStyle name="Akzent4 24_est. MEAT" xfId="23183"/>
    <cellStyle name="Akzent4 25_est. MEAT" xfId="23184"/>
    <cellStyle name="Akzent4 26_est. MEAT" xfId="23185"/>
    <cellStyle name="Akzent4 27_est. MEAT" xfId="23186"/>
    <cellStyle name="Akzent4 28_est. MEAT" xfId="23187"/>
    <cellStyle name="Akzent4 29_est. MEAT" xfId="23188"/>
    <cellStyle name="Akzent4 3 2_est. MEAT" xfId="23189"/>
    <cellStyle name="Akzent4 30_est. MEAT" xfId="23190"/>
    <cellStyle name="Akzent4 31_est. MEAT" xfId="23191"/>
    <cellStyle name="Akzent4 32_est. MEAT" xfId="23192"/>
    <cellStyle name="Akzent4 33_est. MEAT" xfId="23193"/>
    <cellStyle name="Akzent4 34_est. MEAT" xfId="23194"/>
    <cellStyle name="Akzent4 35_est. MEAT" xfId="23195"/>
    <cellStyle name="Akzent4 36_est. MEAT" xfId="23196"/>
    <cellStyle name="Akzent4 37_est. MEAT" xfId="23197"/>
    <cellStyle name="Akzent4 38_est. MEAT" xfId="23198"/>
    <cellStyle name="Akzent4 39_est. MEAT" xfId="23199"/>
    <cellStyle name="Akzent4 4 2_est. MEAT" xfId="23200"/>
    <cellStyle name="Akzent4 40_est. MEAT" xfId="23201"/>
    <cellStyle name="Akzent4 41_est. MEAT" xfId="23202"/>
    <cellStyle name="Akzent4 42_est. MEAT" xfId="23203"/>
    <cellStyle name="Akzent4 43_est. MEAT" xfId="23204"/>
    <cellStyle name="Akzent4 44_est. MEAT" xfId="23205"/>
    <cellStyle name="Akzent4 45_est. MEAT" xfId="23206"/>
    <cellStyle name="Akzent4 46_est. MEAT" xfId="23207"/>
    <cellStyle name="Akzent4 47_est. MEAT" xfId="23208"/>
    <cellStyle name="Akzent4 48_est. MEAT" xfId="23209"/>
    <cellStyle name="Akzent4 49_est. MEAT" xfId="23210"/>
    <cellStyle name="Akzent4 5 2_est. MEAT" xfId="23211"/>
    <cellStyle name="Akzent4 50_est. MEAT" xfId="23212"/>
    <cellStyle name="Akzent4 51_est. MEAT" xfId="23213"/>
    <cellStyle name="Akzent4 52_est. MEAT" xfId="23214"/>
    <cellStyle name="Akzent4 53_est. MEAT" xfId="23215"/>
    <cellStyle name="Akzent4 54_est. MEAT" xfId="23216"/>
    <cellStyle name="Akzent4 55_est. MEAT" xfId="23217"/>
    <cellStyle name="Akzent4 56_est. MEAT" xfId="23218"/>
    <cellStyle name="Akzent4 57_est. MEAT" xfId="23219"/>
    <cellStyle name="Akzent4 58_est. MEAT" xfId="23220"/>
    <cellStyle name="Akzent4 59_est. MEAT" xfId="23221"/>
    <cellStyle name="Akzent4 6 2_est. MEAT" xfId="23222"/>
    <cellStyle name="Akzent4 60_est. MEAT" xfId="23223"/>
    <cellStyle name="Akzent4 61_est. MEAT" xfId="23224"/>
    <cellStyle name="Akzent4 62_est. MEAT" xfId="23225"/>
    <cellStyle name="Akzent4 63_est. MEAT" xfId="23226"/>
    <cellStyle name="Akzent4 64_est. MEAT" xfId="23227"/>
    <cellStyle name="Akzent4 65_est. MEAT" xfId="23228"/>
    <cellStyle name="Akzent4 66_est. MEAT" xfId="23229"/>
    <cellStyle name="Akzent4 67_est. MEAT" xfId="23230"/>
    <cellStyle name="Akzent4 68_est. MEAT" xfId="23231"/>
    <cellStyle name="Akzent4 69_est. MEAT" xfId="23232"/>
    <cellStyle name="Akzent4 7 2_est. MEAT" xfId="23233"/>
    <cellStyle name="Akzent4 70_est. MEAT" xfId="23234"/>
    <cellStyle name="Akzent4 71_est. MEAT" xfId="23235"/>
    <cellStyle name="Akzent4 72_est. MEAT" xfId="23236"/>
    <cellStyle name="Akzent4 73_est. MEAT" xfId="23237"/>
    <cellStyle name="Akzent4 74_est. MEAT" xfId="23238"/>
    <cellStyle name="Akzent4 75_est. MEAT" xfId="23239"/>
    <cellStyle name="Akzent4 76_est. MEAT" xfId="23240"/>
    <cellStyle name="Akzent4 77_est. MEAT" xfId="23241"/>
    <cellStyle name="Akzent4 78_est. MEAT" xfId="23242"/>
    <cellStyle name="Akzent4 79_est. MEAT" xfId="23243"/>
    <cellStyle name="Akzent4 8 2_est. MEAT" xfId="23244"/>
    <cellStyle name="Akzent4 80_est. MEAT" xfId="23245"/>
    <cellStyle name="Akzent4 81_est. MEAT" xfId="23246"/>
    <cellStyle name="Akzent4 82_est. MEAT" xfId="23247"/>
    <cellStyle name="Akzent4 83_est. MEAT" xfId="23248"/>
    <cellStyle name="Akzent4 84_est. MEAT" xfId="23249"/>
    <cellStyle name="Akzent4 85_est. MEAT" xfId="23250"/>
    <cellStyle name="Akzent4 86_est. MEAT" xfId="23251"/>
    <cellStyle name="Akzent4 87_est. MEAT" xfId="23252"/>
    <cellStyle name="Akzent4 88_est. MEAT" xfId="23253"/>
    <cellStyle name="Akzent4 89_est. MEAT" xfId="23254"/>
    <cellStyle name="Akzent4 9 2_est. MEAT" xfId="23255"/>
    <cellStyle name="Akzent4 90_est. MEAT" xfId="23256"/>
    <cellStyle name="Akzent4 91_est. MEAT" xfId="23257"/>
    <cellStyle name="Akzent4 92_est. MEAT" xfId="23258"/>
    <cellStyle name="Akzent4 93_est. MEAT" xfId="23259"/>
    <cellStyle name="Akzent4 94_est. MEAT" xfId="23260"/>
    <cellStyle name="Akzent4 95_est. MEAT" xfId="23261"/>
    <cellStyle name="Akzent4 96_est. MEAT" xfId="23262"/>
    <cellStyle name="Akzent4 97_est. MEAT" xfId="23263"/>
    <cellStyle name="Akzent4 98_est. MEAT" xfId="23264"/>
    <cellStyle name="Akzent4 99_est. MEAT" xfId="23265"/>
    <cellStyle name="Akzent5 10_est. MEAT" xfId="23266"/>
    <cellStyle name="Akzent5 100_est. MEAT" xfId="23267"/>
    <cellStyle name="Akzent5 101_est. MEAT" xfId="23268"/>
    <cellStyle name="Akzent5 102_est. MEAT" xfId="23269"/>
    <cellStyle name="Akzent5 103_est. MEAT" xfId="23270"/>
    <cellStyle name="Akzent5 104_est. MEAT" xfId="23271"/>
    <cellStyle name="Akzent5 105_est. MEAT" xfId="23272"/>
    <cellStyle name="Akzent5 106_est. MEAT" xfId="23273"/>
    <cellStyle name="Akzent5 107_est. MEAT" xfId="23274"/>
    <cellStyle name="Akzent5 11_est. MEAT" xfId="23275"/>
    <cellStyle name="Akzent5 12_est. MEAT" xfId="23276"/>
    <cellStyle name="Akzent5 13_est. MEAT" xfId="23277"/>
    <cellStyle name="Akzent5 14_est. MEAT" xfId="23278"/>
    <cellStyle name="Akzent5 15_est. MEAT" xfId="23279"/>
    <cellStyle name="Akzent5 16_est. MEAT" xfId="23280"/>
    <cellStyle name="Akzent5 17_est. MEAT" xfId="23281"/>
    <cellStyle name="Akzent5 18_est. MEAT" xfId="23282"/>
    <cellStyle name="Akzent5 19_est. MEAT" xfId="23283"/>
    <cellStyle name="Akzent5 2_est. MEAT" xfId="23284"/>
    <cellStyle name="Akzent5 20_est. MEAT" xfId="23285"/>
    <cellStyle name="Akzent5 21_est. MEAT" xfId="23286"/>
    <cellStyle name="Akzent5 22_est. MEAT" xfId="23287"/>
    <cellStyle name="Akzent5 23_est. MEAT" xfId="23288"/>
    <cellStyle name="Akzent5 24_est. MEAT" xfId="23289"/>
    <cellStyle name="Akzent5 25_est. MEAT" xfId="23290"/>
    <cellStyle name="Akzent5 26_est. MEAT" xfId="23291"/>
    <cellStyle name="Akzent5 27_est. MEAT" xfId="23292"/>
    <cellStyle name="Akzent5 28_est. MEAT" xfId="23293"/>
    <cellStyle name="Akzent5 29_est. MEAT" xfId="23294"/>
    <cellStyle name="Akzent5 3_est. MEAT" xfId="23295"/>
    <cellStyle name="Akzent5 30_est. MEAT" xfId="23296"/>
    <cellStyle name="Akzent5 31_est. MEAT" xfId="23297"/>
    <cellStyle name="Akzent5 32_est. MEAT" xfId="23298"/>
    <cellStyle name="Akzent5 33_est. MEAT" xfId="23299"/>
    <cellStyle name="Akzent5 34_est. MEAT" xfId="23300"/>
    <cellStyle name="Akzent5 35_est. MEAT" xfId="23301"/>
    <cellStyle name="Akzent5 36_est. MEAT" xfId="23302"/>
    <cellStyle name="Akzent5 37_est. MEAT" xfId="23303"/>
    <cellStyle name="Akzent5 38_est. MEAT" xfId="23304"/>
    <cellStyle name="Akzent5 39_est. MEAT" xfId="23305"/>
    <cellStyle name="Akzent5 4_est. MEAT" xfId="23306"/>
    <cellStyle name="Akzent5 40_est. MEAT" xfId="23307"/>
    <cellStyle name="Akzent5 41_est. MEAT" xfId="23308"/>
    <cellStyle name="Akzent5 42_est. MEAT" xfId="23309"/>
    <cellStyle name="Akzent5 43_est. MEAT" xfId="23310"/>
    <cellStyle name="Akzent5 44_est. MEAT" xfId="23311"/>
    <cellStyle name="Akzent5 45_est. MEAT" xfId="23312"/>
    <cellStyle name="Akzent5 46_est. MEAT" xfId="23313"/>
    <cellStyle name="Akzent5 47_est. MEAT" xfId="23314"/>
    <cellStyle name="Akzent5 48_est. MEAT" xfId="23315"/>
    <cellStyle name="Akzent5 49_est. MEAT" xfId="23316"/>
    <cellStyle name="Akzent5 5_est. MEAT" xfId="23317"/>
    <cellStyle name="Akzent5 50_est. MEAT" xfId="23318"/>
    <cellStyle name="Akzent5 51_est. MEAT" xfId="23319"/>
    <cellStyle name="Akzent5 52_est. MEAT" xfId="23320"/>
    <cellStyle name="Akzent5 53_est. MEAT" xfId="23321"/>
    <cellStyle name="Akzent5 54_est. MEAT" xfId="23322"/>
    <cellStyle name="Akzent5 55_est. MEAT" xfId="23323"/>
    <cellStyle name="Akzent5 56_est. MEAT" xfId="23324"/>
    <cellStyle name="Akzent5 57_est. MEAT" xfId="23325"/>
    <cellStyle name="Akzent5 58_est. MEAT" xfId="23326"/>
    <cellStyle name="Akzent5 59_est. MEAT" xfId="23327"/>
    <cellStyle name="Akzent5 6_est. MEAT" xfId="23328"/>
    <cellStyle name="Akzent5 60_est. MEAT" xfId="23329"/>
    <cellStyle name="Akzent5 61_est. MEAT" xfId="23330"/>
    <cellStyle name="Akzent5 62_est. MEAT" xfId="23331"/>
    <cellStyle name="Akzent5 63_est. MEAT" xfId="23332"/>
    <cellStyle name="Akzent5 64_est. MEAT" xfId="23333"/>
    <cellStyle name="Akzent5 65_est. MEAT" xfId="23334"/>
    <cellStyle name="Akzent5 66_est. MEAT" xfId="23335"/>
    <cellStyle name="Akzent5 67_est. MEAT" xfId="23336"/>
    <cellStyle name="Akzent5 68_est. MEAT" xfId="23337"/>
    <cellStyle name="Akzent5 69_est. MEAT" xfId="23338"/>
    <cellStyle name="Akzent5 7_est. MEAT" xfId="23339"/>
    <cellStyle name="Akzent5 70_est. MEAT" xfId="23340"/>
    <cellStyle name="Akzent5 71_est. MEAT" xfId="23341"/>
    <cellStyle name="Akzent5 72_est. MEAT" xfId="23342"/>
    <cellStyle name="Akzent5 73_est. MEAT" xfId="23343"/>
    <cellStyle name="Akzent5 74_est. MEAT" xfId="23344"/>
    <cellStyle name="Akzent5 75_est. MEAT" xfId="23345"/>
    <cellStyle name="Akzent5 76_est. MEAT" xfId="23346"/>
    <cellStyle name="Akzent5 77_est. MEAT" xfId="23347"/>
    <cellStyle name="Akzent5 78_est. MEAT" xfId="23348"/>
    <cellStyle name="Akzent5 79_est. MEAT" xfId="23349"/>
    <cellStyle name="Akzent5 8_est. MEAT" xfId="23350"/>
    <cellStyle name="Akzent5 80_est. MEAT" xfId="23351"/>
    <cellStyle name="Akzent5 81_est. MEAT" xfId="23352"/>
    <cellStyle name="Akzent5 82_est. MEAT" xfId="23353"/>
    <cellStyle name="Akzent5 83_est. MEAT" xfId="23354"/>
    <cellStyle name="Akzent5 84_est. MEAT" xfId="23355"/>
    <cellStyle name="Akzent5 85_est. MEAT" xfId="23356"/>
    <cellStyle name="Akzent5 86_est. MEAT" xfId="23357"/>
    <cellStyle name="Akzent5 87_est. MEAT" xfId="23358"/>
    <cellStyle name="Akzent5 88_est. MEAT" xfId="23359"/>
    <cellStyle name="Akzent5 89_est. MEAT" xfId="23360"/>
    <cellStyle name="Akzent5 9_est. MEAT" xfId="23361"/>
    <cellStyle name="Akzent5 90_est. MEAT" xfId="23362"/>
    <cellStyle name="Akzent5 91_est. MEAT" xfId="23363"/>
    <cellStyle name="Akzent5 92_est. MEAT" xfId="23364"/>
    <cellStyle name="Akzent5 93_est. MEAT" xfId="23365"/>
    <cellStyle name="Akzent5 94_est. MEAT" xfId="23366"/>
    <cellStyle name="Akzent5 95_est. MEAT" xfId="23367"/>
    <cellStyle name="Akzent5 96_est. MEAT" xfId="23368"/>
    <cellStyle name="Akzent5 97_est. MEAT" xfId="23369"/>
    <cellStyle name="Akzent5 98_est. MEAT" xfId="23370"/>
    <cellStyle name="Akzent5 99_est. MEAT" xfId="23371"/>
    <cellStyle name="Akzent6 10 2_est. MEAT" xfId="23372"/>
    <cellStyle name="Akzent6 100_est. MEAT" xfId="23373"/>
    <cellStyle name="Akzent6 101_est. MEAT" xfId="23374"/>
    <cellStyle name="Akzent6 102_est. MEAT" xfId="23375"/>
    <cellStyle name="Akzent6 103_est. MEAT" xfId="23376"/>
    <cellStyle name="Akzent6 104_est. MEAT" xfId="23377"/>
    <cellStyle name="Akzent6 105_est. MEAT" xfId="23378"/>
    <cellStyle name="Akzent6 106_est. MEAT" xfId="23379"/>
    <cellStyle name="Akzent6 107_est. MEAT" xfId="23380"/>
    <cellStyle name="Akzent6 108_est. MEAT" xfId="23381"/>
    <cellStyle name="Akzent6 109_est. MEAT" xfId="23382"/>
    <cellStyle name="Akzent6 11 2_est. MEAT" xfId="23383"/>
    <cellStyle name="Akzent6 110_est. MEAT" xfId="23384"/>
    <cellStyle name="Akzent6 111_est. MEAT" xfId="23385"/>
    <cellStyle name="Akzent6 112_est. MEAT" xfId="23386"/>
    <cellStyle name="Akzent6 113_est. MEAT" xfId="23387"/>
    <cellStyle name="Akzent6 114_est. MEAT" xfId="23388"/>
    <cellStyle name="Akzent6 115_est. MEAT" xfId="23389"/>
    <cellStyle name="Akzent6 116_est. MEAT" xfId="23390"/>
    <cellStyle name="Akzent6 117_est. MEAT" xfId="23391"/>
    <cellStyle name="Akzent6 118_est. MEAT" xfId="23392"/>
    <cellStyle name="Akzent6 119_est. MEAT" xfId="23393"/>
    <cellStyle name="Akzent6 12 2_est. MEAT" xfId="23394"/>
    <cellStyle name="Akzent6 120_est. MEAT" xfId="23395"/>
    <cellStyle name="Akzent6 121_est. MEAT" xfId="23396"/>
    <cellStyle name="Akzent6 122_est. MEAT" xfId="23397"/>
    <cellStyle name="Akzent6 123_est. MEAT" xfId="23398"/>
    <cellStyle name="Akzent6 124_est. MEAT" xfId="23399"/>
    <cellStyle name="Akzent6 125_est. MEAT" xfId="23400"/>
    <cellStyle name="Akzent6 126_est. MEAT" xfId="23401"/>
    <cellStyle name="Akzent6 127_est. MEAT" xfId="23402"/>
    <cellStyle name="Akzent6 128_est. MEAT" xfId="23403"/>
    <cellStyle name="Akzent6 129_est. MEAT" xfId="23404"/>
    <cellStyle name="Akzent6 13 2_est. MEAT" xfId="23405"/>
    <cellStyle name="Akzent6 130_est. MEAT" xfId="23406"/>
    <cellStyle name="Akzent6 131_est. MEAT" xfId="23407"/>
    <cellStyle name="Akzent6 132_est. MEAT" xfId="23408"/>
    <cellStyle name="Akzent6 133_est. MEAT" xfId="23409"/>
    <cellStyle name="Akzent6 134_est. MEAT" xfId="23410"/>
    <cellStyle name="Akzent6 135_est. MEAT" xfId="23411"/>
    <cellStyle name="Akzent6 136_est. MEAT" xfId="23412"/>
    <cellStyle name="Akzent6 137_est. MEAT" xfId="23413"/>
    <cellStyle name="Akzent6 138_est. MEAT" xfId="23414"/>
    <cellStyle name="Akzent6 139_est. MEAT" xfId="23415"/>
    <cellStyle name="Akzent6 14 2_est. MEAT" xfId="23416"/>
    <cellStyle name="Akzent6 140_est. MEAT" xfId="23417"/>
    <cellStyle name="Akzent6 141_est. MEAT" xfId="23418"/>
    <cellStyle name="Akzent6 142_est. MEAT" xfId="23419"/>
    <cellStyle name="Akzent6 143_est. MEAT" xfId="23420"/>
    <cellStyle name="Akzent6 144_est. MEAT" xfId="23421"/>
    <cellStyle name="Akzent6 145_est. MEAT" xfId="23422"/>
    <cellStyle name="Akzent6 146_est. MEAT" xfId="23423"/>
    <cellStyle name="Akzent6 147_est. MEAT" xfId="23424"/>
    <cellStyle name="Akzent6 148_est. MEAT" xfId="23425"/>
    <cellStyle name="Akzent6 149_est. MEAT" xfId="23426"/>
    <cellStyle name="Akzent6 15_est. MEAT" xfId="23427"/>
    <cellStyle name="Akzent6 150_est. MEAT" xfId="23428"/>
    <cellStyle name="Akzent6 151_est. MEAT" xfId="23429"/>
    <cellStyle name="Akzent6 16_est. MEAT" xfId="23430"/>
    <cellStyle name="Akzent6 17_est. MEAT" xfId="23431"/>
    <cellStyle name="Akzent6 18_est. MEAT" xfId="23432"/>
    <cellStyle name="Akzent6 19_est. MEAT" xfId="23433"/>
    <cellStyle name="Akzent6 2 2_est. MEAT" xfId="23434"/>
    <cellStyle name="Akzent6 20_est. MEAT" xfId="23435"/>
    <cellStyle name="Akzent6 21_est. MEAT" xfId="23436"/>
    <cellStyle name="Akzent6 22_est. MEAT" xfId="23437"/>
    <cellStyle name="Akzent6 23_est. MEAT" xfId="23438"/>
    <cellStyle name="Akzent6 24_est. MEAT" xfId="23439"/>
    <cellStyle name="Akzent6 25_est. MEAT" xfId="23440"/>
    <cellStyle name="Akzent6 26_est. MEAT" xfId="23441"/>
    <cellStyle name="Akzent6 27_est. MEAT" xfId="23442"/>
    <cellStyle name="Akzent6 28_est. MEAT" xfId="23443"/>
    <cellStyle name="Akzent6 29_est. MEAT" xfId="23444"/>
    <cellStyle name="Akzent6 3 2_est. MEAT" xfId="23445"/>
    <cellStyle name="Akzent6 30_est. MEAT" xfId="23446"/>
    <cellStyle name="Akzent6 31_est. MEAT" xfId="23447"/>
    <cellStyle name="Akzent6 32_est. MEAT" xfId="23448"/>
    <cellStyle name="Akzent6 33_est. MEAT" xfId="23449"/>
    <cellStyle name="Akzent6 34_est. MEAT" xfId="23450"/>
    <cellStyle name="Akzent6 35_est. MEAT" xfId="23451"/>
    <cellStyle name="Akzent6 36_est. MEAT" xfId="23452"/>
    <cellStyle name="Akzent6 37_est. MEAT" xfId="23453"/>
    <cellStyle name="Akzent6 38_est. MEAT" xfId="23454"/>
    <cellStyle name="Akzent6 39_est. MEAT" xfId="23455"/>
    <cellStyle name="Akzent6 4 2_est. MEAT" xfId="23456"/>
    <cellStyle name="Akzent6 40_est. MEAT" xfId="23457"/>
    <cellStyle name="Akzent6 41_est. MEAT" xfId="23458"/>
    <cellStyle name="Akzent6 42_est. MEAT" xfId="23459"/>
    <cellStyle name="Akzent6 43_est. MEAT" xfId="23460"/>
    <cellStyle name="Akzent6 44_est. MEAT" xfId="23461"/>
    <cellStyle name="Akzent6 45_est. MEAT" xfId="23462"/>
    <cellStyle name="Akzent6 46_est. MEAT" xfId="23463"/>
    <cellStyle name="Akzent6 47_est. MEAT" xfId="23464"/>
    <cellStyle name="Akzent6 48_est. MEAT" xfId="23465"/>
    <cellStyle name="Akzent6 49_est. MEAT" xfId="23466"/>
    <cellStyle name="Akzent6 5 2_est. MEAT" xfId="23467"/>
    <cellStyle name="Akzent6 50_est. MEAT" xfId="23468"/>
    <cellStyle name="Akzent6 51_est. MEAT" xfId="23469"/>
    <cellStyle name="Akzent6 52_est. MEAT" xfId="23470"/>
    <cellStyle name="Akzent6 53_est. MEAT" xfId="23471"/>
    <cellStyle name="Akzent6 54_est. MEAT" xfId="23472"/>
    <cellStyle name="Akzent6 55_est. MEAT" xfId="23473"/>
    <cellStyle name="Akzent6 56_est. MEAT" xfId="23474"/>
    <cellStyle name="Akzent6 57_est. MEAT" xfId="23475"/>
    <cellStyle name="Akzent6 58_est. MEAT" xfId="23476"/>
    <cellStyle name="Akzent6 59_est. MEAT" xfId="23477"/>
    <cellStyle name="Akzent6 6 2_est. MEAT" xfId="23478"/>
    <cellStyle name="Akzent6 60_est. MEAT" xfId="23479"/>
    <cellStyle name="Akzent6 61_est. MEAT" xfId="23480"/>
    <cellStyle name="Akzent6 62_est. MEAT" xfId="23481"/>
    <cellStyle name="Akzent6 63_est. MEAT" xfId="23482"/>
    <cellStyle name="Akzent6 64_est. MEAT" xfId="23483"/>
    <cellStyle name="Akzent6 65_est. MEAT" xfId="23484"/>
    <cellStyle name="Akzent6 66_est. MEAT" xfId="23485"/>
    <cellStyle name="Akzent6 67_est. MEAT" xfId="23486"/>
    <cellStyle name="Akzent6 68_est. MEAT" xfId="23487"/>
    <cellStyle name="Akzent6 69_est. MEAT" xfId="23488"/>
    <cellStyle name="Akzent6 7 2_est. MEAT" xfId="23489"/>
    <cellStyle name="Akzent6 70_est. MEAT" xfId="23490"/>
    <cellStyle name="Akzent6 71_est. MEAT" xfId="23491"/>
    <cellStyle name="Akzent6 72_est. MEAT" xfId="23492"/>
    <cellStyle name="Akzent6 73_est. MEAT" xfId="23493"/>
    <cellStyle name="Akzent6 74_est. MEAT" xfId="23494"/>
    <cellStyle name="Akzent6 75_est. MEAT" xfId="23495"/>
    <cellStyle name="Akzent6 76_est. MEAT" xfId="23496"/>
    <cellStyle name="Akzent6 77_est. MEAT" xfId="23497"/>
    <cellStyle name="Akzent6 78_est. MEAT" xfId="23498"/>
    <cellStyle name="Akzent6 79_est. MEAT" xfId="23499"/>
    <cellStyle name="Akzent6 8 2_est. MEAT" xfId="23500"/>
    <cellStyle name="Akzent6 80_est. MEAT" xfId="23501"/>
    <cellStyle name="Akzent6 81_est. MEAT" xfId="23502"/>
    <cellStyle name="Akzent6 82_est. MEAT" xfId="23503"/>
    <cellStyle name="Akzent6 83_est. MEAT" xfId="23504"/>
    <cellStyle name="Akzent6 84_est. MEAT" xfId="23505"/>
    <cellStyle name="Akzent6 85_est. MEAT" xfId="23506"/>
    <cellStyle name="Akzent6 86_est. MEAT" xfId="23507"/>
    <cellStyle name="Akzent6 87_est. MEAT" xfId="23508"/>
    <cellStyle name="Akzent6 88_est. MEAT" xfId="23509"/>
    <cellStyle name="Akzent6 89_est. MEAT" xfId="23510"/>
    <cellStyle name="Akzent6 9 2_est. MEAT" xfId="23511"/>
    <cellStyle name="Akzent6 90_est. MEAT" xfId="23512"/>
    <cellStyle name="Akzent6 91_est. MEAT" xfId="23513"/>
    <cellStyle name="Akzent6 92_est. MEAT" xfId="23514"/>
    <cellStyle name="Akzent6 93_est. MEAT" xfId="23515"/>
    <cellStyle name="Akzent6 94_est. MEAT" xfId="23516"/>
    <cellStyle name="Akzent6 95_est. MEAT" xfId="23517"/>
    <cellStyle name="Akzent6 96_est. MEAT" xfId="23518"/>
    <cellStyle name="Akzent6 97_est. MEAT" xfId="23519"/>
    <cellStyle name="Akzent6 98_est. MEAT" xfId="23520"/>
    <cellStyle name="Akzent6 99_est. MEAT" xfId="23521"/>
    <cellStyle name="Ausgabe 10 2_est. MEAT" xfId="23522"/>
    <cellStyle name="Ausgabe 100_est. MEAT" xfId="23523"/>
    <cellStyle name="Ausgabe 101_est. MEAT" xfId="23524"/>
    <cellStyle name="Ausgabe 102_est. MEAT" xfId="23525"/>
    <cellStyle name="Ausgabe 103_est. MEAT" xfId="23526"/>
    <cellStyle name="Ausgabe 104_est. MEAT" xfId="23527"/>
    <cellStyle name="Ausgabe 105_est. MEAT" xfId="23528"/>
    <cellStyle name="Ausgabe 106_est. MEAT" xfId="23529"/>
    <cellStyle name="Ausgabe 107_est. MEAT" xfId="23530"/>
    <cellStyle name="Ausgabe 108_est. MEAT" xfId="23531"/>
    <cellStyle name="Ausgabe 109_est. MEAT" xfId="23532"/>
    <cellStyle name="Ausgabe 11 2_est. MEAT" xfId="23533"/>
    <cellStyle name="Ausgabe 110_est. MEAT" xfId="23534"/>
    <cellStyle name="Ausgabe 111_est. MEAT" xfId="23535"/>
    <cellStyle name="Ausgabe 112_est. MEAT" xfId="23536"/>
    <cellStyle name="Ausgabe 113_est. MEAT" xfId="23537"/>
    <cellStyle name="Ausgabe 114_est. MEAT" xfId="23538"/>
    <cellStyle name="Ausgabe 115_est. MEAT" xfId="23539"/>
    <cellStyle name="Ausgabe 116_est. MEAT" xfId="23540"/>
    <cellStyle name="Ausgabe 117_est. MEAT" xfId="23541"/>
    <cellStyle name="Ausgabe 118_est. MEAT" xfId="23542"/>
    <cellStyle name="Ausgabe 119_est. MEAT" xfId="23543"/>
    <cellStyle name="Ausgabe 12 2_est. MEAT" xfId="23544"/>
    <cellStyle name="Ausgabe 120_est. MEAT" xfId="23545"/>
    <cellStyle name="Ausgabe 121_est. MEAT" xfId="23546"/>
    <cellStyle name="Ausgabe 122_est. MEAT" xfId="23547"/>
    <cellStyle name="Ausgabe 123_est. MEAT" xfId="23548"/>
    <cellStyle name="Ausgabe 124_est. MEAT" xfId="23549"/>
    <cellStyle name="Ausgabe 125_est. MEAT" xfId="23550"/>
    <cellStyle name="Ausgabe 126_est. MEAT" xfId="23551"/>
    <cellStyle name="Ausgabe 127_est. MEAT" xfId="23552"/>
    <cellStyle name="Ausgabe 128_est. MEAT" xfId="23553"/>
    <cellStyle name="Ausgabe 129_est. MEAT" xfId="23554"/>
    <cellStyle name="Ausgabe 13 2_est. MEAT" xfId="23555"/>
    <cellStyle name="Ausgabe 130_est. MEAT" xfId="23556"/>
    <cellStyle name="Ausgabe 131_est. MEAT" xfId="23557"/>
    <cellStyle name="Ausgabe 132_est. MEAT" xfId="23558"/>
    <cellStyle name="Ausgabe 133_est. MEAT" xfId="23559"/>
    <cellStyle name="Ausgabe 134_est. MEAT" xfId="23560"/>
    <cellStyle name="Ausgabe 135_est. MEAT" xfId="23561"/>
    <cellStyle name="Ausgabe 136_est. MEAT" xfId="23562"/>
    <cellStyle name="Ausgabe 137_est. MEAT" xfId="23563"/>
    <cellStyle name="Ausgabe 138_est. MEAT" xfId="23564"/>
    <cellStyle name="Ausgabe 139_est. MEAT" xfId="23565"/>
    <cellStyle name="Ausgabe 14 2_est. MEAT" xfId="23566"/>
    <cellStyle name="Ausgabe 140_est. MEAT" xfId="23567"/>
    <cellStyle name="Ausgabe 141_est. MEAT" xfId="23568"/>
    <cellStyle name="Ausgabe 142_est. MEAT" xfId="23569"/>
    <cellStyle name="Ausgabe 143_est. MEAT" xfId="23570"/>
    <cellStyle name="Ausgabe 144_est. MEAT" xfId="23571"/>
    <cellStyle name="Ausgabe 145_est. MEAT" xfId="23572"/>
    <cellStyle name="Ausgabe 146_est. MEAT" xfId="23573"/>
    <cellStyle name="Ausgabe 147_est. MEAT" xfId="23574"/>
    <cellStyle name="Ausgabe 148_est. MEAT" xfId="23575"/>
    <cellStyle name="Ausgabe 149_est. MEAT" xfId="23576"/>
    <cellStyle name="Ausgabe 15_est. MEAT" xfId="23577"/>
    <cellStyle name="Ausgabe 150_est. MEAT" xfId="23578"/>
    <cellStyle name="Ausgabe 151_est. MEAT" xfId="23579"/>
    <cellStyle name="Ausgabe 16_est. MEAT" xfId="23580"/>
    <cellStyle name="Ausgabe 17_est. MEAT" xfId="23581"/>
    <cellStyle name="Ausgabe 18_est. MEAT" xfId="23582"/>
    <cellStyle name="Ausgabe 19_est. MEAT" xfId="23583"/>
    <cellStyle name="Ausgabe 2 2_est. MEAT" xfId="23584"/>
    <cellStyle name="Ausgabe 20_est. MEAT" xfId="23585"/>
    <cellStyle name="Ausgabe 21_est. MEAT" xfId="23586"/>
    <cellStyle name="Ausgabe 22_est. MEAT" xfId="23587"/>
    <cellStyle name="Ausgabe 23_est. MEAT" xfId="23588"/>
    <cellStyle name="Ausgabe 24_est. MEAT" xfId="23589"/>
    <cellStyle name="Ausgabe 25_est. MEAT" xfId="23590"/>
    <cellStyle name="Ausgabe 26_est. MEAT" xfId="23591"/>
    <cellStyle name="Ausgabe 27_est. MEAT" xfId="23592"/>
    <cellStyle name="Ausgabe 28_est. MEAT" xfId="23593"/>
    <cellStyle name="Ausgabe 29_est. MEAT" xfId="23594"/>
    <cellStyle name="Ausgabe 3 2_est. MEAT" xfId="23595"/>
    <cellStyle name="Ausgabe 30_est. MEAT" xfId="23596"/>
    <cellStyle name="Ausgabe 31_est. MEAT" xfId="23597"/>
    <cellStyle name="Ausgabe 32_est. MEAT" xfId="23598"/>
    <cellStyle name="Ausgabe 33_est. MEAT" xfId="23599"/>
    <cellStyle name="Ausgabe 34_est. MEAT" xfId="23600"/>
    <cellStyle name="Ausgabe 35_est. MEAT" xfId="23601"/>
    <cellStyle name="Ausgabe 36_est. MEAT" xfId="23602"/>
    <cellStyle name="Ausgabe 37_est. MEAT" xfId="23603"/>
    <cellStyle name="Ausgabe 38_est. MEAT" xfId="23604"/>
    <cellStyle name="Ausgabe 39_est. MEAT" xfId="23605"/>
    <cellStyle name="Ausgabe 4 2_est. MEAT" xfId="23606"/>
    <cellStyle name="Ausgabe 40_est. MEAT" xfId="23607"/>
    <cellStyle name="Ausgabe 41_est. MEAT" xfId="23608"/>
    <cellStyle name="Ausgabe 42_est. MEAT" xfId="23609"/>
    <cellStyle name="Ausgabe 43_est. MEAT" xfId="23610"/>
    <cellStyle name="Ausgabe 44_est. MEAT" xfId="23611"/>
    <cellStyle name="Ausgabe 45_est. MEAT" xfId="23612"/>
    <cellStyle name="Ausgabe 46_est. MEAT" xfId="23613"/>
    <cellStyle name="Ausgabe 47_est. MEAT" xfId="23614"/>
    <cellStyle name="Ausgabe 48_est. MEAT" xfId="23615"/>
    <cellStyle name="Ausgabe 49_est. MEAT" xfId="23616"/>
    <cellStyle name="Ausgabe 5 2_est. MEAT" xfId="23617"/>
    <cellStyle name="Ausgabe 50_est. MEAT" xfId="23618"/>
    <cellStyle name="Ausgabe 51_est. MEAT" xfId="23619"/>
    <cellStyle name="Ausgabe 52_est. MEAT" xfId="23620"/>
    <cellStyle name="Ausgabe 53_est. MEAT" xfId="23621"/>
    <cellStyle name="Ausgabe 54_est. MEAT" xfId="23622"/>
    <cellStyle name="Ausgabe 55_est. MEAT" xfId="23623"/>
    <cellStyle name="Ausgabe 56_est. MEAT" xfId="23624"/>
    <cellStyle name="Ausgabe 57_est. MEAT" xfId="23625"/>
    <cellStyle name="Ausgabe 58_est. MEAT" xfId="23626"/>
    <cellStyle name="Ausgabe 59_est. MEAT" xfId="23627"/>
    <cellStyle name="Ausgabe 6 2_est. MEAT" xfId="23628"/>
    <cellStyle name="Ausgabe 60_est. MEAT" xfId="23629"/>
    <cellStyle name="Ausgabe 61_est. MEAT" xfId="23630"/>
    <cellStyle name="Ausgabe 62_est. MEAT" xfId="23631"/>
    <cellStyle name="Ausgabe 63_est. MEAT" xfId="23632"/>
    <cellStyle name="Ausgabe 64_est. MEAT" xfId="23633"/>
    <cellStyle name="Ausgabe 65_est. MEAT" xfId="23634"/>
    <cellStyle name="Ausgabe 66_est. MEAT" xfId="23635"/>
    <cellStyle name="Ausgabe 67_est. MEAT" xfId="23636"/>
    <cellStyle name="Ausgabe 68_est. MEAT" xfId="23637"/>
    <cellStyle name="Ausgabe 69_est. MEAT" xfId="23638"/>
    <cellStyle name="Ausgabe 7 2_est. MEAT" xfId="23639"/>
    <cellStyle name="Ausgabe 70_est. MEAT" xfId="23640"/>
    <cellStyle name="Ausgabe 71_est. MEAT" xfId="23641"/>
    <cellStyle name="Ausgabe 72_est. MEAT" xfId="23642"/>
    <cellStyle name="Ausgabe 73_est. MEAT" xfId="23643"/>
    <cellStyle name="Ausgabe 74_est. MEAT" xfId="23644"/>
    <cellStyle name="Ausgabe 75_est. MEAT" xfId="23645"/>
    <cellStyle name="Ausgabe 76_est. MEAT" xfId="23646"/>
    <cellStyle name="Ausgabe 77_est. MEAT" xfId="23647"/>
    <cellStyle name="Ausgabe 78_est. MEAT" xfId="23648"/>
    <cellStyle name="Ausgabe 79_est. MEAT" xfId="23649"/>
    <cellStyle name="Ausgabe 8 2_est. MEAT" xfId="23650"/>
    <cellStyle name="Ausgabe 80_est. MEAT" xfId="23651"/>
    <cellStyle name="Ausgabe 81_est. MEAT" xfId="23652"/>
    <cellStyle name="Ausgabe 82_est. MEAT" xfId="23653"/>
    <cellStyle name="Ausgabe 83_est. MEAT" xfId="23654"/>
    <cellStyle name="Ausgabe 84_est. MEAT" xfId="23655"/>
    <cellStyle name="Ausgabe 85_est. MEAT" xfId="23656"/>
    <cellStyle name="Ausgabe 86_est. MEAT" xfId="23657"/>
    <cellStyle name="Ausgabe 87_est. MEAT" xfId="23658"/>
    <cellStyle name="Ausgabe 88_est. MEAT" xfId="23659"/>
    <cellStyle name="Ausgabe 89_est. MEAT" xfId="23660"/>
    <cellStyle name="Ausgabe 9 2_est. MEAT" xfId="23661"/>
    <cellStyle name="Ausgabe 90_est. MEAT" xfId="23662"/>
    <cellStyle name="Ausgabe 91_est. MEAT" xfId="23663"/>
    <cellStyle name="Ausgabe 92_est. MEAT" xfId="23664"/>
    <cellStyle name="Ausgabe 93_est. MEAT" xfId="23665"/>
    <cellStyle name="Ausgabe 94_est. MEAT" xfId="23666"/>
    <cellStyle name="Ausgabe 95_est. MEAT" xfId="23667"/>
    <cellStyle name="Ausgabe 96_est. MEAT" xfId="23668"/>
    <cellStyle name="Ausgabe 97_est. MEAT" xfId="23669"/>
    <cellStyle name="Ausgabe 98_est. MEAT" xfId="23670"/>
    <cellStyle name="Ausgabe 99_est. MEAT" xfId="23671"/>
    <cellStyle name="Bad" xfId="23672"/>
    <cellStyle name="Bad 2_est. MEAT" xfId="23673"/>
    <cellStyle name="Bad_AE_FC_QuoteMaster" xfId="23674"/>
    <cellStyle name="Berechnung 10 2_est. MEAT" xfId="23675"/>
    <cellStyle name="Berechnung 100_est. MEAT" xfId="23676"/>
    <cellStyle name="Berechnung 101_est. MEAT" xfId="23677"/>
    <cellStyle name="Berechnung 102_est. MEAT" xfId="23678"/>
    <cellStyle name="Berechnung 103_est. MEAT" xfId="23679"/>
    <cellStyle name="Berechnung 104_est. MEAT" xfId="23680"/>
    <cellStyle name="Berechnung 105_est. MEAT" xfId="23681"/>
    <cellStyle name="Berechnung 106_est. MEAT" xfId="23682"/>
    <cellStyle name="Berechnung 107_est. MEAT" xfId="23683"/>
    <cellStyle name="Berechnung 108_est. MEAT" xfId="23684"/>
    <cellStyle name="Berechnung 109_est. MEAT" xfId="23685"/>
    <cellStyle name="Berechnung 11 2_est. MEAT" xfId="23686"/>
    <cellStyle name="Berechnung 110_est. MEAT" xfId="23687"/>
    <cellStyle name="Berechnung 111_est. MEAT" xfId="23688"/>
    <cellStyle name="Berechnung 112_est. MEAT" xfId="23689"/>
    <cellStyle name="Berechnung 113_est. MEAT" xfId="23690"/>
    <cellStyle name="Berechnung 114_est. MEAT" xfId="23691"/>
    <cellStyle name="Berechnung 115_est. MEAT" xfId="23692"/>
    <cellStyle name="Berechnung 116_est. MEAT" xfId="23693"/>
    <cellStyle name="Berechnung 117_est. MEAT" xfId="23694"/>
    <cellStyle name="Berechnung 118_est. MEAT" xfId="23695"/>
    <cellStyle name="Berechnung 119_est. MEAT" xfId="23696"/>
    <cellStyle name="Berechnung 12 2_est. MEAT" xfId="23697"/>
    <cellStyle name="Berechnung 120_est. MEAT" xfId="23698"/>
    <cellStyle name="Berechnung 121_est. MEAT" xfId="23699"/>
    <cellStyle name="Berechnung 122_est. MEAT" xfId="23700"/>
    <cellStyle name="Berechnung 123_est. MEAT" xfId="23701"/>
    <cellStyle name="Berechnung 124_est. MEAT" xfId="23702"/>
    <cellStyle name="Berechnung 125_est. MEAT" xfId="23703"/>
    <cellStyle name="Berechnung 126_est. MEAT" xfId="23704"/>
    <cellStyle name="Berechnung 127_est. MEAT" xfId="23705"/>
    <cellStyle name="Berechnung 128_est. MEAT" xfId="23706"/>
    <cellStyle name="Berechnung 129_est. MEAT" xfId="23707"/>
    <cellStyle name="Berechnung 13 2_est. MEAT" xfId="23708"/>
    <cellStyle name="Berechnung 130_est. MEAT" xfId="23709"/>
    <cellStyle name="Berechnung 131_est. MEAT" xfId="23710"/>
    <cellStyle name="Berechnung 132_est. MEAT" xfId="23711"/>
    <cellStyle name="Berechnung 133_est. MEAT" xfId="23712"/>
    <cellStyle name="Berechnung 134_est. MEAT" xfId="23713"/>
    <cellStyle name="Berechnung 135_est. MEAT" xfId="23714"/>
    <cellStyle name="Berechnung 136_est. MEAT" xfId="23715"/>
    <cellStyle name="Berechnung 137_est. MEAT" xfId="23716"/>
    <cellStyle name="Berechnung 138_est. MEAT" xfId="23717"/>
    <cellStyle name="Berechnung 139_est. MEAT" xfId="23718"/>
    <cellStyle name="Berechnung 14 2_est. MEAT" xfId="23719"/>
    <cellStyle name="Berechnung 140_est. MEAT" xfId="23720"/>
    <cellStyle name="Berechnung 141_est. MEAT" xfId="23721"/>
    <cellStyle name="Berechnung 142_est. MEAT" xfId="23722"/>
    <cellStyle name="Berechnung 143_est. MEAT" xfId="23723"/>
    <cellStyle name="Berechnung 144_est. MEAT" xfId="23724"/>
    <cellStyle name="Berechnung 145_est. MEAT" xfId="23725"/>
    <cellStyle name="Berechnung 146_est. MEAT" xfId="23726"/>
    <cellStyle name="Berechnung 147_est. MEAT" xfId="23727"/>
    <cellStyle name="Berechnung 148_est. MEAT" xfId="23728"/>
    <cellStyle name="Berechnung 149_est. MEAT" xfId="23729"/>
    <cellStyle name="Berechnung 15_est. MEAT" xfId="23730"/>
    <cellStyle name="Berechnung 150_est. MEAT" xfId="23731"/>
    <cellStyle name="Berechnung 151_est. MEAT" xfId="23732"/>
    <cellStyle name="Berechnung 16_est. MEAT" xfId="23733"/>
    <cellStyle name="Berechnung 17_est. MEAT" xfId="23734"/>
    <cellStyle name="Berechnung 18_est. MEAT" xfId="23735"/>
    <cellStyle name="Berechnung 19_est. MEAT" xfId="23736"/>
    <cellStyle name="Berechnung 2 2_est. MEAT" xfId="23737"/>
    <cellStyle name="Berechnung 20_est. MEAT" xfId="23738"/>
    <cellStyle name="Berechnung 21_est. MEAT" xfId="23739"/>
    <cellStyle name="Berechnung 22_est. MEAT" xfId="23740"/>
    <cellStyle name="Berechnung 23_est. MEAT" xfId="23741"/>
    <cellStyle name="Berechnung 24_est. MEAT" xfId="23742"/>
    <cellStyle name="Berechnung 25_est. MEAT" xfId="23743"/>
    <cellStyle name="Berechnung 26_est. MEAT" xfId="23744"/>
    <cellStyle name="Berechnung 27_est. MEAT" xfId="23745"/>
    <cellStyle name="Berechnung 28_est. MEAT" xfId="23746"/>
    <cellStyle name="Berechnung 29_est. MEAT" xfId="23747"/>
    <cellStyle name="Berechnung 3 2_est. MEAT" xfId="23748"/>
    <cellStyle name="Berechnung 30_est. MEAT" xfId="23749"/>
    <cellStyle name="Berechnung 31_est. MEAT" xfId="23750"/>
    <cellStyle name="Berechnung 32_est. MEAT" xfId="23751"/>
    <cellStyle name="Berechnung 33_est. MEAT" xfId="23752"/>
    <cellStyle name="Berechnung 34_est. MEAT" xfId="23753"/>
    <cellStyle name="Berechnung 35_est. MEAT" xfId="23754"/>
    <cellStyle name="Berechnung 36_est. MEAT" xfId="23755"/>
    <cellStyle name="Berechnung 37_est. MEAT" xfId="23756"/>
    <cellStyle name="Berechnung 38_est. MEAT" xfId="23757"/>
    <cellStyle name="Berechnung 39_est. MEAT" xfId="23758"/>
    <cellStyle name="Berechnung 4 2_est. MEAT" xfId="23759"/>
    <cellStyle name="Berechnung 40_est. MEAT" xfId="23760"/>
    <cellStyle name="Berechnung 41_est. MEAT" xfId="23761"/>
    <cellStyle name="Berechnung 42_est. MEAT" xfId="23762"/>
    <cellStyle name="Berechnung 43_est. MEAT" xfId="23763"/>
    <cellStyle name="Berechnung 44_est. MEAT" xfId="23764"/>
    <cellStyle name="Berechnung 45_est. MEAT" xfId="23765"/>
    <cellStyle name="Berechnung 46_est. MEAT" xfId="23766"/>
    <cellStyle name="Berechnung 47_est. MEAT" xfId="23767"/>
    <cellStyle name="Berechnung 48_est. MEAT" xfId="23768"/>
    <cellStyle name="Berechnung 49_est. MEAT" xfId="23769"/>
    <cellStyle name="Berechnung 5 2_est. MEAT" xfId="23770"/>
    <cellStyle name="Berechnung 50_est. MEAT" xfId="23771"/>
    <cellStyle name="Berechnung 51_est. MEAT" xfId="23772"/>
    <cellStyle name="Berechnung 52_est. MEAT" xfId="23773"/>
    <cellStyle name="Berechnung 53_est. MEAT" xfId="23774"/>
    <cellStyle name="Berechnung 54_est. MEAT" xfId="23775"/>
    <cellStyle name="Berechnung 55_est. MEAT" xfId="23776"/>
    <cellStyle name="Berechnung 56_est. MEAT" xfId="23777"/>
    <cellStyle name="Berechnung 57_est. MEAT" xfId="23778"/>
    <cellStyle name="Berechnung 58_est. MEAT" xfId="23779"/>
    <cellStyle name="Berechnung 59_est. MEAT" xfId="23780"/>
    <cellStyle name="Berechnung 6 2_est. MEAT" xfId="23781"/>
    <cellStyle name="Berechnung 60_est. MEAT" xfId="23782"/>
    <cellStyle name="Berechnung 61_est. MEAT" xfId="23783"/>
    <cellStyle name="Berechnung 62_est. MEAT" xfId="23784"/>
    <cellStyle name="Berechnung 63_est. MEAT" xfId="23785"/>
    <cellStyle name="Berechnung 64_est. MEAT" xfId="23786"/>
    <cellStyle name="Berechnung 65_est. MEAT" xfId="23787"/>
    <cellStyle name="Berechnung 66_est. MEAT" xfId="23788"/>
    <cellStyle name="Berechnung 67_est. MEAT" xfId="23789"/>
    <cellStyle name="Berechnung 68_est. MEAT" xfId="23790"/>
    <cellStyle name="Berechnung 69_est. MEAT" xfId="23791"/>
    <cellStyle name="Berechnung 7 2_est. MEAT" xfId="23792"/>
    <cellStyle name="Berechnung 70_est. MEAT" xfId="23793"/>
    <cellStyle name="Berechnung 71_est. MEAT" xfId="23794"/>
    <cellStyle name="Berechnung 72_est. MEAT" xfId="23795"/>
    <cellStyle name="Berechnung 73_est. MEAT" xfId="23796"/>
    <cellStyle name="Berechnung 74_est. MEAT" xfId="23797"/>
    <cellStyle name="Berechnung 75_est. MEAT" xfId="23798"/>
    <cellStyle name="Berechnung 76_est. MEAT" xfId="23799"/>
    <cellStyle name="Berechnung 77_est. MEAT" xfId="23800"/>
    <cellStyle name="Berechnung 78_est. MEAT" xfId="23801"/>
    <cellStyle name="Berechnung 79_est. MEAT" xfId="23802"/>
    <cellStyle name="Berechnung 8 2_est. MEAT" xfId="23803"/>
    <cellStyle name="Berechnung 80_est. MEAT" xfId="23804"/>
    <cellStyle name="Berechnung 81_est. MEAT" xfId="23805"/>
    <cellStyle name="Berechnung 82_est. MEAT" xfId="23806"/>
    <cellStyle name="Berechnung 83_est. MEAT" xfId="23807"/>
    <cellStyle name="Berechnung 84_est. MEAT" xfId="23808"/>
    <cellStyle name="Berechnung 85_est. MEAT" xfId="23809"/>
    <cellStyle name="Berechnung 86_est. MEAT" xfId="23810"/>
    <cellStyle name="Berechnung 87_est. MEAT" xfId="23811"/>
    <cellStyle name="Berechnung 88_est. MEAT" xfId="23812"/>
    <cellStyle name="Berechnung 89_est. MEAT" xfId="23813"/>
    <cellStyle name="Berechnung 9 2_est. MEAT" xfId="23814"/>
    <cellStyle name="Berechnung 90_est. MEAT" xfId="23815"/>
    <cellStyle name="Berechnung 91_est. MEAT" xfId="23816"/>
    <cellStyle name="Berechnung 92_est. MEAT" xfId="23817"/>
    <cellStyle name="Berechnung 93_est. MEAT" xfId="23818"/>
    <cellStyle name="Berechnung 94_est. MEAT" xfId="23819"/>
    <cellStyle name="Berechnung 95_est. MEAT" xfId="23820"/>
    <cellStyle name="Berechnung 96_est. MEAT" xfId="23821"/>
    <cellStyle name="Berechnung 97_est. MEAT" xfId="23822"/>
    <cellStyle name="Berechnung 98_est. MEAT" xfId="23823"/>
    <cellStyle name="Berechnung 99_est. MEAT" xfId="23824"/>
    <cellStyle name="Calculation 2_est. MEAT" xfId="23825"/>
    <cellStyle name="Check Cell" xfId="23826"/>
    <cellStyle name="Check Cell 2_est. MEAT" xfId="23827"/>
    <cellStyle name="Check Cell_AE_FC_QuoteMaster" xfId="23828"/>
    <cellStyle name="Comma 10 2_est. MEAT" xfId="23829"/>
    <cellStyle name="Comma 2 2 2 2_est. MEAT" xfId="23830"/>
    <cellStyle name="Comma 2 2 3_est. MEAT" xfId="23831"/>
    <cellStyle name="Comma 2 3 2_est. MEAT" xfId="23832"/>
    <cellStyle name="Comma 2 4_est. MEAT" xfId="23833"/>
    <cellStyle name="Comma 3 2 2_est. MEAT" xfId="23834"/>
    <cellStyle name="Comma 3 3_est. MEAT" xfId="23835"/>
    <cellStyle name="Comma 4_est. MEAT" xfId="23836"/>
    <cellStyle name="Comma 5 2_est. MEAT" xfId="23837"/>
    <cellStyle name="Comma 53 2 2_est. MEAT" xfId="23838"/>
    <cellStyle name="Comma 53 3_est. MEAT" xfId="23839"/>
    <cellStyle name="Comma 59 2 2_est. MEAT" xfId="23840"/>
    <cellStyle name="Comma 59 3_est. MEAT" xfId="23841"/>
    <cellStyle name="Comma 8 2_est. MEAT" xfId="23842"/>
    <cellStyle name="Comma 9 2_est. MEAT" xfId="23843"/>
    <cellStyle name="Datum 10_est. MEAT" xfId="23844"/>
    <cellStyle name="Datum 11_est. MEAT" xfId="23845"/>
    <cellStyle name="Datum 12_est. MEAT" xfId="23846"/>
    <cellStyle name="Datum 8_est. MEAT" xfId="23847"/>
    <cellStyle name="Datum 9_est. MEAT" xfId="23848"/>
    <cellStyle name="Dezimal (0)_est. MEAT" xfId="23849"/>
    <cellStyle name="Dezimal (0,00)_est. MEAT" xfId="23850"/>
    <cellStyle name="Dezimal 2 2 2_est. MEAT" xfId="23851"/>
    <cellStyle name="Dezimal 2 3_est. MEAT" xfId="23852"/>
    <cellStyle name="Dezimal 3 2_est. MEAT" xfId="23853"/>
    <cellStyle name="Dezimal 3 3_est. MEAT" xfId="23854"/>
    <cellStyle name="Dezimal 4 2_est. MEAT" xfId="23855"/>
    <cellStyle name="Dezimal 4 3_est. MEAT" xfId="23856"/>
    <cellStyle name="Dezimal 5_est. MEAT" xfId="23857"/>
    <cellStyle name="Dezimal 6_est. MEAT" xfId="23858"/>
    <cellStyle name="Dollar (0)_est. MEAT" xfId="23859"/>
    <cellStyle name="Dollar (0,00)_est. MEAT" xfId="23860"/>
    <cellStyle name="Eingabe 10 2_est. MEAT" xfId="23861"/>
    <cellStyle name="Eingabe 100_est. MEAT" xfId="23862"/>
    <cellStyle name="Eingabe 101_est. MEAT" xfId="23863"/>
    <cellStyle name="Eingabe 102_est. MEAT" xfId="23864"/>
    <cellStyle name="Eingabe 103_est. MEAT" xfId="23865"/>
    <cellStyle name="Eingabe 104_est. MEAT" xfId="23866"/>
    <cellStyle name="Eingabe 105_est. MEAT" xfId="23867"/>
    <cellStyle name="Eingabe 106_est. MEAT" xfId="23868"/>
    <cellStyle name="Eingabe 107_est. MEAT" xfId="23869"/>
    <cellStyle name="Eingabe 108_est. MEAT" xfId="23870"/>
    <cellStyle name="Eingabe 109_est. MEAT" xfId="23871"/>
    <cellStyle name="Eingabe 11 2_est. MEAT" xfId="23872"/>
    <cellStyle name="Eingabe 110_est. MEAT" xfId="23873"/>
    <cellStyle name="Eingabe 111_est. MEAT" xfId="23874"/>
    <cellStyle name="Eingabe 112_est. MEAT" xfId="23875"/>
    <cellStyle name="Eingabe 113_est. MEAT" xfId="23876"/>
    <cellStyle name="Eingabe 114_est. MEAT" xfId="23877"/>
    <cellStyle name="Eingabe 115_est. MEAT" xfId="23878"/>
    <cellStyle name="Eingabe 116_est. MEAT" xfId="23879"/>
    <cellStyle name="Eingabe 117_est. MEAT" xfId="23880"/>
    <cellStyle name="Eingabe 118_est. MEAT" xfId="23881"/>
    <cellStyle name="Eingabe 119_est. MEAT" xfId="23882"/>
    <cellStyle name="Eingabe 12 2_est. MEAT" xfId="23883"/>
    <cellStyle name="Eingabe 120_est. MEAT" xfId="23884"/>
    <cellStyle name="Eingabe 121_est. MEAT" xfId="23885"/>
    <cellStyle name="Eingabe 122_est. MEAT" xfId="23886"/>
    <cellStyle name="Eingabe 123_est. MEAT" xfId="23887"/>
    <cellStyle name="Eingabe 124_est. MEAT" xfId="23888"/>
    <cellStyle name="Eingabe 125_est. MEAT" xfId="23889"/>
    <cellStyle name="Eingabe 126_est. MEAT" xfId="23890"/>
    <cellStyle name="Eingabe 127_est. MEAT" xfId="23891"/>
    <cellStyle name="Eingabe 128_est. MEAT" xfId="23892"/>
    <cellStyle name="Eingabe 129_est. MEAT" xfId="23893"/>
    <cellStyle name="Eingabe 13 2_est. MEAT" xfId="23894"/>
    <cellStyle name="Eingabe 130_est. MEAT" xfId="23895"/>
    <cellStyle name="Eingabe 131_est. MEAT" xfId="23896"/>
    <cellStyle name="Eingabe 132_est. MEAT" xfId="23897"/>
    <cellStyle name="Eingabe 133_est. MEAT" xfId="23898"/>
    <cellStyle name="Eingabe 134_est. MEAT" xfId="23899"/>
    <cellStyle name="Eingabe 135_est. MEAT" xfId="23900"/>
    <cellStyle name="Eingabe 136_est. MEAT" xfId="23901"/>
    <cellStyle name="Eingabe 137_est. MEAT" xfId="23902"/>
    <cellStyle name="Eingabe 138_est. MEAT" xfId="23903"/>
    <cellStyle name="Eingabe 139_est. MEAT" xfId="23904"/>
    <cellStyle name="Eingabe 14 2_est. MEAT" xfId="23905"/>
    <cellStyle name="Eingabe 140_est. MEAT" xfId="23906"/>
    <cellStyle name="Eingabe 141_est. MEAT" xfId="23907"/>
    <cellStyle name="Eingabe 142_est. MEAT" xfId="23908"/>
    <cellStyle name="Eingabe 143_est. MEAT" xfId="23909"/>
    <cellStyle name="Eingabe 144_est. MEAT" xfId="23910"/>
    <cellStyle name="Eingabe 145_est. MEAT" xfId="23911"/>
    <cellStyle name="Eingabe 146_est. MEAT" xfId="23912"/>
    <cellStyle name="Eingabe 147_est. MEAT" xfId="23913"/>
    <cellStyle name="Eingabe 148_est. MEAT" xfId="23914"/>
    <cellStyle name="Eingabe 149_est. MEAT" xfId="23915"/>
    <cellStyle name="Eingabe 15_est. MEAT" xfId="23916"/>
    <cellStyle name="Eingabe 150_est. MEAT" xfId="23917"/>
    <cellStyle name="Eingabe 151_est. MEAT" xfId="23918"/>
    <cellStyle name="Eingabe 16_est. MEAT" xfId="23919"/>
    <cellStyle name="Eingabe 17_est. MEAT" xfId="23920"/>
    <cellStyle name="Eingabe 18_est. MEAT" xfId="23921"/>
    <cellStyle name="Eingabe 19_est. MEAT" xfId="23922"/>
    <cellStyle name="Eingabe 2 2_est. MEAT" xfId="23923"/>
    <cellStyle name="Eingabe 20_est. MEAT" xfId="23924"/>
    <cellStyle name="Eingabe 21_est. MEAT" xfId="23925"/>
    <cellStyle name="Eingabe 22_est. MEAT" xfId="23926"/>
    <cellStyle name="Eingabe 23_est. MEAT" xfId="23927"/>
    <cellStyle name="Eingabe 24_est. MEAT" xfId="23928"/>
    <cellStyle name="Eingabe 25_est. MEAT" xfId="23929"/>
    <cellStyle name="Eingabe 26_est. MEAT" xfId="23930"/>
    <cellStyle name="Eingabe 27_est. MEAT" xfId="23931"/>
    <cellStyle name="Eingabe 28_est. MEAT" xfId="23932"/>
    <cellStyle name="Eingabe 29_est. MEAT" xfId="23933"/>
    <cellStyle name="Eingabe 3 2_est. MEAT" xfId="23934"/>
    <cellStyle name="Eingabe 30_est. MEAT" xfId="23935"/>
    <cellStyle name="Eingabe 31_est. MEAT" xfId="23936"/>
    <cellStyle name="Eingabe 32_est. MEAT" xfId="23937"/>
    <cellStyle name="Eingabe 33_est. MEAT" xfId="23938"/>
    <cellStyle name="Eingabe 34_est. MEAT" xfId="23939"/>
    <cellStyle name="Eingabe 35_est. MEAT" xfId="23940"/>
    <cellStyle name="Eingabe 36_est. MEAT" xfId="23941"/>
    <cellStyle name="Eingabe 37_est. MEAT" xfId="23942"/>
    <cellStyle name="Eingabe 38_est. MEAT" xfId="23943"/>
    <cellStyle name="Eingabe 39_est. MEAT" xfId="23944"/>
    <cellStyle name="Eingabe 4 2_est. MEAT" xfId="23945"/>
    <cellStyle name="Eingabe 40_est. MEAT" xfId="23946"/>
    <cellStyle name="Eingabe 41_est. MEAT" xfId="23947"/>
    <cellStyle name="Eingabe 42_est. MEAT" xfId="23948"/>
    <cellStyle name="Eingabe 43_est. MEAT" xfId="23949"/>
    <cellStyle name="Eingabe 44_est. MEAT" xfId="23950"/>
    <cellStyle name="Eingabe 45_est. MEAT" xfId="23951"/>
    <cellStyle name="Eingabe 46_est. MEAT" xfId="23952"/>
    <cellStyle name="Eingabe 47_est. MEAT" xfId="23953"/>
    <cellStyle name="Eingabe 48_est. MEAT" xfId="23954"/>
    <cellStyle name="Eingabe 49_est. MEAT" xfId="23955"/>
    <cellStyle name="Eingabe 5 2_est. MEAT" xfId="23956"/>
    <cellStyle name="Eingabe 50_est. MEAT" xfId="23957"/>
    <cellStyle name="Eingabe 51_est. MEAT" xfId="23958"/>
    <cellStyle name="Eingabe 52_est. MEAT" xfId="23959"/>
    <cellStyle name="Eingabe 53_est. MEAT" xfId="23960"/>
    <cellStyle name="Eingabe 54_est. MEAT" xfId="23961"/>
    <cellStyle name="Eingabe 55_est. MEAT" xfId="23962"/>
    <cellStyle name="Eingabe 56_est. MEAT" xfId="23963"/>
    <cellStyle name="Eingabe 57_est. MEAT" xfId="23964"/>
    <cellStyle name="Eingabe 58_est. MEAT" xfId="23965"/>
    <cellStyle name="Eingabe 59_est. MEAT" xfId="23966"/>
    <cellStyle name="Eingabe 6 2_est. MEAT" xfId="23967"/>
    <cellStyle name="Eingabe 60_est. MEAT" xfId="23968"/>
    <cellStyle name="Eingabe 61_est. MEAT" xfId="23969"/>
    <cellStyle name="Eingabe 62_est. MEAT" xfId="23970"/>
    <cellStyle name="Eingabe 63_est. MEAT" xfId="23971"/>
    <cellStyle name="Eingabe 64_est. MEAT" xfId="23972"/>
    <cellStyle name="Eingabe 65_est. MEAT" xfId="23973"/>
    <cellStyle name="Eingabe 66_est. MEAT" xfId="23974"/>
    <cellStyle name="Eingabe 67_est. MEAT" xfId="23975"/>
    <cellStyle name="Eingabe 68_est. MEAT" xfId="23976"/>
    <cellStyle name="Eingabe 69_est. MEAT" xfId="23977"/>
    <cellStyle name="Eingabe 7 2_est. MEAT" xfId="23978"/>
    <cellStyle name="Eingabe 70_est. MEAT" xfId="23979"/>
    <cellStyle name="Eingabe 71_est. MEAT" xfId="23980"/>
    <cellStyle name="Eingabe 72_est. MEAT" xfId="23981"/>
    <cellStyle name="Eingabe 73_est. MEAT" xfId="23982"/>
    <cellStyle name="Eingabe 74_est. MEAT" xfId="23983"/>
    <cellStyle name="Eingabe 75_est. MEAT" xfId="23984"/>
    <cellStyle name="Eingabe 76_est. MEAT" xfId="23985"/>
    <cellStyle name="Eingabe 77_est. MEAT" xfId="23986"/>
    <cellStyle name="Eingabe 78_est. MEAT" xfId="23987"/>
    <cellStyle name="Eingabe 79_est. MEAT" xfId="23988"/>
    <cellStyle name="Eingabe 8 2_est. MEAT" xfId="23989"/>
    <cellStyle name="Eingabe 80_est. MEAT" xfId="23990"/>
    <cellStyle name="Eingabe 81_est. MEAT" xfId="23991"/>
    <cellStyle name="Eingabe 82_est. MEAT" xfId="23992"/>
    <cellStyle name="Eingabe 83_est. MEAT" xfId="23993"/>
    <cellStyle name="Eingabe 84_est. MEAT" xfId="23994"/>
    <cellStyle name="Eingabe 85_est. MEAT" xfId="23995"/>
    <cellStyle name="Eingabe 86_est. MEAT" xfId="23996"/>
    <cellStyle name="Eingabe 87_est. MEAT" xfId="23997"/>
    <cellStyle name="Eingabe 88_est. MEAT" xfId="23998"/>
    <cellStyle name="Eingabe 89_est. MEAT" xfId="23999"/>
    <cellStyle name="Eingabe 9 2_est. MEAT" xfId="24000"/>
    <cellStyle name="Eingabe 90_est. MEAT" xfId="24001"/>
    <cellStyle name="Eingabe 91_est. MEAT" xfId="24002"/>
    <cellStyle name="Eingabe 92_est. MEAT" xfId="24003"/>
    <cellStyle name="Eingabe 93_est. MEAT" xfId="24004"/>
    <cellStyle name="Eingabe 94_est. MEAT" xfId="24005"/>
    <cellStyle name="Eingabe 95_est. MEAT" xfId="24006"/>
    <cellStyle name="Eingabe 96_est. MEAT" xfId="24007"/>
    <cellStyle name="Eingabe 97_est. MEAT" xfId="24008"/>
    <cellStyle name="Eingabe 98_est. MEAT" xfId="24009"/>
    <cellStyle name="Eingabe 99_est. MEAT" xfId="24010"/>
    <cellStyle name="Ergebnis 10 2_est. MEAT" xfId="24011"/>
    <cellStyle name="Ergebnis 100_est. MEAT" xfId="24012"/>
    <cellStyle name="Ergebnis 101_est. MEAT" xfId="24013"/>
    <cellStyle name="Ergebnis 102_est. MEAT" xfId="24014"/>
    <cellStyle name="Ergebnis 103_est. MEAT" xfId="24015"/>
    <cellStyle name="Ergebnis 104_est. MEAT" xfId="24016"/>
    <cellStyle name="Ergebnis 105_est. MEAT" xfId="24017"/>
    <cellStyle name="Ergebnis 106_est. MEAT" xfId="24018"/>
    <cellStyle name="Ergebnis 107_est. MEAT" xfId="24019"/>
    <cellStyle name="Ergebnis 108_est. MEAT" xfId="24020"/>
    <cellStyle name="Ergebnis 109_est. MEAT" xfId="24021"/>
    <cellStyle name="Ergebnis 11 2_est. MEAT" xfId="24022"/>
    <cellStyle name="Ergebnis 110_est. MEAT" xfId="24023"/>
    <cellStyle name="Ergebnis 111_est. MEAT" xfId="24024"/>
    <cellStyle name="Ergebnis 112_est. MEAT" xfId="24025"/>
    <cellStyle name="Ergebnis 113_est. MEAT" xfId="24026"/>
    <cellStyle name="Ergebnis 114_est. MEAT" xfId="24027"/>
    <cellStyle name="Ergebnis 115_est. MEAT" xfId="24028"/>
    <cellStyle name="Ergebnis 116_est. MEAT" xfId="24029"/>
    <cellStyle name="Ergebnis 117_est. MEAT" xfId="24030"/>
    <cellStyle name="Ergebnis 118_est. MEAT" xfId="24031"/>
    <cellStyle name="Ergebnis 119_est. MEAT" xfId="24032"/>
    <cellStyle name="Ergebnis 12 2_est. MEAT" xfId="24033"/>
    <cellStyle name="Ergebnis 120_est. MEAT" xfId="24034"/>
    <cellStyle name="Ergebnis 121_est. MEAT" xfId="24035"/>
    <cellStyle name="Ergebnis 122_est. MEAT" xfId="24036"/>
    <cellStyle name="Ergebnis 123_est. MEAT" xfId="24037"/>
    <cellStyle name="Ergebnis 124_est. MEAT" xfId="24038"/>
    <cellStyle name="Ergebnis 125_est. MEAT" xfId="24039"/>
    <cellStyle name="Ergebnis 126_est. MEAT" xfId="24040"/>
    <cellStyle name="Ergebnis 127_est. MEAT" xfId="24041"/>
    <cellStyle name="Ergebnis 128_est. MEAT" xfId="24042"/>
    <cellStyle name="Ergebnis 129_est. MEAT" xfId="24043"/>
    <cellStyle name="Ergebnis 13 2_est. MEAT" xfId="24044"/>
    <cellStyle name="Ergebnis 130_est. MEAT" xfId="24045"/>
    <cellStyle name="Ergebnis 131_est. MEAT" xfId="24046"/>
    <cellStyle name="Ergebnis 132_est. MEAT" xfId="24047"/>
    <cellStyle name="Ergebnis 133_est. MEAT" xfId="24048"/>
    <cellStyle name="Ergebnis 134_est. MEAT" xfId="24049"/>
    <cellStyle name="Ergebnis 135_est. MEAT" xfId="24050"/>
    <cellStyle name="Ergebnis 136_est. MEAT" xfId="24051"/>
    <cellStyle name="Ergebnis 137_est. MEAT" xfId="24052"/>
    <cellStyle name="Ergebnis 138_est. MEAT" xfId="24053"/>
    <cellStyle name="Ergebnis 139_est. MEAT" xfId="24054"/>
    <cellStyle name="Ergebnis 14 2_est. MEAT" xfId="24055"/>
    <cellStyle name="Ergebnis 140_est. MEAT" xfId="24056"/>
    <cellStyle name="Ergebnis 141_est. MEAT" xfId="24057"/>
    <cellStyle name="Ergebnis 142_est. MEAT" xfId="24058"/>
    <cellStyle name="Ergebnis 143_est. MEAT" xfId="24059"/>
    <cellStyle name="Ergebnis 144_est. MEAT" xfId="24060"/>
    <cellStyle name="Ergebnis 145_est. MEAT" xfId="24061"/>
    <cellStyle name="Ergebnis 146_est. MEAT" xfId="24062"/>
    <cellStyle name="Ergebnis 147_est. MEAT" xfId="24063"/>
    <cellStyle name="Ergebnis 148_est. MEAT" xfId="24064"/>
    <cellStyle name="Ergebnis 149_est. MEAT" xfId="24065"/>
    <cellStyle name="Ergebnis 15_est. MEAT" xfId="24066"/>
    <cellStyle name="Ergebnis 150_est. MEAT" xfId="24067"/>
    <cellStyle name="Ergebnis 151_est. MEAT" xfId="24068"/>
    <cellStyle name="Ergebnis 16_est. MEAT" xfId="24069"/>
    <cellStyle name="Ergebnis 17_est. MEAT" xfId="24070"/>
    <cellStyle name="Ergebnis 18_est. MEAT" xfId="24071"/>
    <cellStyle name="Ergebnis 19_est. MEAT" xfId="24072"/>
    <cellStyle name="Ergebnis 2 2_est. MEAT" xfId="24073"/>
    <cellStyle name="Ergebnis 20_est. MEAT" xfId="24074"/>
    <cellStyle name="Ergebnis 21_est. MEAT" xfId="24075"/>
    <cellStyle name="Ergebnis 22_est. MEAT" xfId="24076"/>
    <cellStyle name="Ergebnis 23_est. MEAT" xfId="24077"/>
    <cellStyle name="Ergebnis 24_est. MEAT" xfId="24078"/>
    <cellStyle name="Ergebnis 25_est. MEAT" xfId="24079"/>
    <cellStyle name="Ergebnis 26_est. MEAT" xfId="24080"/>
    <cellStyle name="Ergebnis 27_est. MEAT" xfId="24081"/>
    <cellStyle name="Ergebnis 28_est. MEAT" xfId="24082"/>
    <cellStyle name="Ergebnis 29_est. MEAT" xfId="24083"/>
    <cellStyle name="Ergebnis 3 2_est. MEAT" xfId="24084"/>
    <cellStyle name="Ergebnis 30_est. MEAT" xfId="24085"/>
    <cellStyle name="Ergebnis 31_est. MEAT" xfId="24086"/>
    <cellStyle name="Ergebnis 32_est. MEAT" xfId="24087"/>
    <cellStyle name="Ergebnis 33_est. MEAT" xfId="24088"/>
    <cellStyle name="Ergebnis 34_est. MEAT" xfId="24089"/>
    <cellStyle name="Ergebnis 35_est. MEAT" xfId="24090"/>
    <cellStyle name="Ergebnis 36_est. MEAT" xfId="24091"/>
    <cellStyle name="Ergebnis 37_est. MEAT" xfId="24092"/>
    <cellStyle name="Ergebnis 38_est. MEAT" xfId="24093"/>
    <cellStyle name="Ergebnis 39_est. MEAT" xfId="24094"/>
    <cellStyle name="Ergebnis 4 2_est. MEAT" xfId="24095"/>
    <cellStyle name="Ergebnis 40_est. MEAT" xfId="24096"/>
    <cellStyle name="Ergebnis 41_est. MEAT" xfId="24097"/>
    <cellStyle name="Ergebnis 42_est. MEAT" xfId="24098"/>
    <cellStyle name="Ergebnis 43_est. MEAT" xfId="24099"/>
    <cellStyle name="Ergebnis 44_est. MEAT" xfId="24100"/>
    <cellStyle name="Ergebnis 45_est. MEAT" xfId="24101"/>
    <cellStyle name="Ergebnis 46_est. MEAT" xfId="24102"/>
    <cellStyle name="Ergebnis 47_est. MEAT" xfId="24103"/>
    <cellStyle name="Ergebnis 48_est. MEAT" xfId="24104"/>
    <cellStyle name="Ergebnis 49_est. MEAT" xfId="24105"/>
    <cellStyle name="Ergebnis 5 2_est. MEAT" xfId="24106"/>
    <cellStyle name="Ergebnis 50_est. MEAT" xfId="24107"/>
    <cellStyle name="Ergebnis 51_est. MEAT" xfId="24108"/>
    <cellStyle name="Ergebnis 52_est. MEAT" xfId="24109"/>
    <cellStyle name="Ergebnis 53_est. MEAT" xfId="24110"/>
    <cellStyle name="Ergebnis 54_est. MEAT" xfId="24111"/>
    <cellStyle name="Ergebnis 55_est. MEAT" xfId="24112"/>
    <cellStyle name="Ergebnis 56_est. MEAT" xfId="24113"/>
    <cellStyle name="Ergebnis 57_est. MEAT" xfId="24114"/>
    <cellStyle name="Ergebnis 58_est. MEAT" xfId="24115"/>
    <cellStyle name="Ergebnis 59_est. MEAT" xfId="24116"/>
    <cellStyle name="Ergebnis 6 2_est. MEAT" xfId="24117"/>
    <cellStyle name="Ergebnis 60_est. MEAT" xfId="24118"/>
    <cellStyle name="Ergebnis 61_est. MEAT" xfId="24119"/>
    <cellStyle name="Ergebnis 62_est. MEAT" xfId="24120"/>
    <cellStyle name="Ergebnis 63_est. MEAT" xfId="24121"/>
    <cellStyle name="Ergebnis 64_est. MEAT" xfId="24122"/>
    <cellStyle name="Ergebnis 65_est. MEAT" xfId="24123"/>
    <cellStyle name="Ergebnis 66_est. MEAT" xfId="24124"/>
    <cellStyle name="Ergebnis 67_est. MEAT" xfId="24125"/>
    <cellStyle name="Ergebnis 68_est. MEAT" xfId="24126"/>
    <cellStyle name="Ergebnis 69_est. MEAT" xfId="24127"/>
    <cellStyle name="Ergebnis 7 2_est. MEAT" xfId="24128"/>
    <cellStyle name="Ergebnis 70_est. MEAT" xfId="24129"/>
    <cellStyle name="Ergebnis 71_est. MEAT" xfId="24130"/>
    <cellStyle name="Ergebnis 72_est. MEAT" xfId="24131"/>
    <cellStyle name="Ergebnis 73_est. MEAT" xfId="24132"/>
    <cellStyle name="Ergebnis 74_est. MEAT" xfId="24133"/>
    <cellStyle name="Ergebnis 75_est. MEAT" xfId="24134"/>
    <cellStyle name="Ergebnis 76_est. MEAT" xfId="24135"/>
    <cellStyle name="Ergebnis 77_est. MEAT" xfId="24136"/>
    <cellStyle name="Ergebnis 78_est. MEAT" xfId="24137"/>
    <cellStyle name="Ergebnis 79_est. MEAT" xfId="24138"/>
    <cellStyle name="Ergebnis 8 2_est. MEAT" xfId="24139"/>
    <cellStyle name="Ergebnis 80_est. MEAT" xfId="24140"/>
    <cellStyle name="Ergebnis 81_est. MEAT" xfId="24141"/>
    <cellStyle name="Ergebnis 82_est. MEAT" xfId="24142"/>
    <cellStyle name="Ergebnis 83_est. MEAT" xfId="24143"/>
    <cellStyle name="Ergebnis 84_est. MEAT" xfId="24144"/>
    <cellStyle name="Ergebnis 85_est. MEAT" xfId="24145"/>
    <cellStyle name="Ergebnis 86_est. MEAT" xfId="24146"/>
    <cellStyle name="Ergebnis 87_est. MEAT" xfId="24147"/>
    <cellStyle name="Ergebnis 88_est. MEAT" xfId="24148"/>
    <cellStyle name="Ergebnis 89_est. MEAT" xfId="24149"/>
    <cellStyle name="Ergebnis 9 2_est. MEAT" xfId="24150"/>
    <cellStyle name="Ergebnis 90_est. MEAT" xfId="24151"/>
    <cellStyle name="Ergebnis 91_est. MEAT" xfId="24152"/>
    <cellStyle name="Ergebnis 92_est. MEAT" xfId="24153"/>
    <cellStyle name="Ergebnis 93_est. MEAT" xfId="24154"/>
    <cellStyle name="Ergebnis 94_est. MEAT" xfId="24155"/>
    <cellStyle name="Ergebnis 95_est. MEAT" xfId="24156"/>
    <cellStyle name="Ergebnis 96_est. MEAT" xfId="24157"/>
    <cellStyle name="Ergebnis 97_est. MEAT" xfId="24158"/>
    <cellStyle name="Ergebnis 98_est. MEAT" xfId="24159"/>
    <cellStyle name="Ergebnis 99_est. MEAT" xfId="24160"/>
    <cellStyle name="Erklärender Text 10_est. MEAT" xfId="24161"/>
    <cellStyle name="Erklärender Text 100_est. MEAT" xfId="24162"/>
    <cellStyle name="Erklärender Text 101_est. MEAT" xfId="24163"/>
    <cellStyle name="Erklärender Text 102_est. MEAT" xfId="24164"/>
    <cellStyle name="Erklärender Text 103_est. MEAT" xfId="24165"/>
    <cellStyle name="Erklärender Text 104_est. MEAT" xfId="24166"/>
    <cellStyle name="Erklärender Text 105_est. MEAT" xfId="24167"/>
    <cellStyle name="Erklärender Text 106_est. MEAT" xfId="24168"/>
    <cellStyle name="Erklärender Text 107_est. MEAT" xfId="24169"/>
    <cellStyle name="Erklärender Text 11_est. MEAT" xfId="24170"/>
    <cellStyle name="Erklärender Text 12_est. MEAT" xfId="24171"/>
    <cellStyle name="Erklärender Text 13_est. MEAT" xfId="24172"/>
    <cellStyle name="Erklärender Text 14_est. MEAT" xfId="24173"/>
    <cellStyle name="Erklärender Text 15_est. MEAT" xfId="24174"/>
    <cellStyle name="Erklärender Text 16_est. MEAT" xfId="24175"/>
    <cellStyle name="Erklärender Text 17_est. MEAT" xfId="24176"/>
    <cellStyle name="Erklärender Text 18_est. MEAT" xfId="24177"/>
    <cellStyle name="Erklärender Text 19_est. MEAT" xfId="24178"/>
    <cellStyle name="Erklärender Text 2_est. MEAT" xfId="24179"/>
    <cellStyle name="Erklärender Text 20_est. MEAT" xfId="24180"/>
    <cellStyle name="Erklärender Text 21_est. MEAT" xfId="24181"/>
    <cellStyle name="Erklärender Text 22_est. MEAT" xfId="24182"/>
    <cellStyle name="Erklärender Text 23_est. MEAT" xfId="24183"/>
    <cellStyle name="Erklärender Text 24_est. MEAT" xfId="24184"/>
    <cellStyle name="Erklärender Text 25_est. MEAT" xfId="24185"/>
    <cellStyle name="Erklärender Text 26_est. MEAT" xfId="24186"/>
    <cellStyle name="Erklärender Text 27_est. MEAT" xfId="24187"/>
    <cellStyle name="Erklärender Text 28_est. MEAT" xfId="24188"/>
    <cellStyle name="Erklärender Text 29_est. MEAT" xfId="24189"/>
    <cellStyle name="Erklärender Text 3_est. MEAT" xfId="24190"/>
    <cellStyle name="Erklärender Text 30_est. MEAT" xfId="24191"/>
    <cellStyle name="Erklärender Text 31_est. MEAT" xfId="24192"/>
    <cellStyle name="Erklärender Text 32_est. MEAT" xfId="24193"/>
    <cellStyle name="Erklärender Text 33_est. MEAT" xfId="24194"/>
    <cellStyle name="Erklärender Text 34_est. MEAT" xfId="24195"/>
    <cellStyle name="Erklärender Text 35_est. MEAT" xfId="24196"/>
    <cellStyle name="Erklärender Text 36_est. MEAT" xfId="24197"/>
    <cellStyle name="Erklärender Text 37_est. MEAT" xfId="24198"/>
    <cellStyle name="Erklärender Text 38_est. MEAT" xfId="24199"/>
    <cellStyle name="Erklärender Text 39_est. MEAT" xfId="24200"/>
    <cellStyle name="Erklärender Text 4_est. MEAT" xfId="24201"/>
    <cellStyle name="Erklärender Text 40_est. MEAT" xfId="24202"/>
    <cellStyle name="Erklärender Text 41_est. MEAT" xfId="24203"/>
    <cellStyle name="Erklärender Text 42_est. MEAT" xfId="24204"/>
    <cellStyle name="Erklärender Text 43_est. MEAT" xfId="24205"/>
    <cellStyle name="Erklärender Text 44_est. MEAT" xfId="24206"/>
    <cellStyle name="Erklärender Text 45_est. MEAT" xfId="24207"/>
    <cellStyle name="Erklärender Text 46_est. MEAT" xfId="24208"/>
    <cellStyle name="Erklärender Text 47_est. MEAT" xfId="24209"/>
    <cellStyle name="Erklärender Text 48_est. MEAT" xfId="24210"/>
    <cellStyle name="Erklärender Text 49_est. MEAT" xfId="24211"/>
    <cellStyle name="Erklärender Text 5_est. MEAT" xfId="24212"/>
    <cellStyle name="Erklärender Text 50_est. MEAT" xfId="24213"/>
    <cellStyle name="Erklärender Text 51_est. MEAT" xfId="24214"/>
    <cellStyle name="Erklärender Text 52_est. MEAT" xfId="24215"/>
    <cellStyle name="Erklärender Text 53_est. MEAT" xfId="24216"/>
    <cellStyle name="Erklärender Text 54_est. MEAT" xfId="24217"/>
    <cellStyle name="Erklärender Text 55_est. MEAT" xfId="24218"/>
    <cellStyle name="Erklärender Text 56_est. MEAT" xfId="24219"/>
    <cellStyle name="Erklärender Text 57_est. MEAT" xfId="24220"/>
    <cellStyle name="Erklärender Text 58_est. MEAT" xfId="24221"/>
    <cellStyle name="Erklärender Text 59_est. MEAT" xfId="24222"/>
    <cellStyle name="Erklärender Text 6_est. MEAT" xfId="24223"/>
    <cellStyle name="Erklärender Text 60_est. MEAT" xfId="24224"/>
    <cellStyle name="Erklärender Text 61_est. MEAT" xfId="24225"/>
    <cellStyle name="Erklärender Text 62_est. MEAT" xfId="24226"/>
    <cellStyle name="Erklärender Text 63_est. MEAT" xfId="24227"/>
    <cellStyle name="Erklärender Text 64_est. MEAT" xfId="24228"/>
    <cellStyle name="Erklärender Text 65_est. MEAT" xfId="24229"/>
    <cellStyle name="Erklärender Text 66_est. MEAT" xfId="24230"/>
    <cellStyle name="Erklärender Text 67_est. MEAT" xfId="24231"/>
    <cellStyle name="Erklärender Text 68_est. MEAT" xfId="24232"/>
    <cellStyle name="Erklärender Text 69_est. MEAT" xfId="24233"/>
    <cellStyle name="Erklärender Text 7_est. MEAT" xfId="24234"/>
    <cellStyle name="Erklärender Text 70_est. MEAT" xfId="24235"/>
    <cellStyle name="Erklärender Text 71_est. MEAT" xfId="24236"/>
    <cellStyle name="Erklärender Text 72_est. MEAT" xfId="24237"/>
    <cellStyle name="Erklärender Text 73_est. MEAT" xfId="24238"/>
    <cellStyle name="Erklärender Text 74_est. MEAT" xfId="24239"/>
    <cellStyle name="Erklärender Text 75_est. MEAT" xfId="24240"/>
    <cellStyle name="Erklärender Text 76_est. MEAT" xfId="24241"/>
    <cellStyle name="Erklärender Text 77_est. MEAT" xfId="24242"/>
    <cellStyle name="Erklärender Text 78_est. MEAT" xfId="24243"/>
    <cellStyle name="Erklärender Text 79_est. MEAT" xfId="24244"/>
    <cellStyle name="Erklärender Text 8_est. MEAT" xfId="24245"/>
    <cellStyle name="Erklärender Text 80_est. MEAT" xfId="24246"/>
    <cellStyle name="Erklärender Text 81_est. MEAT" xfId="24247"/>
    <cellStyle name="Erklärender Text 82_est. MEAT" xfId="24248"/>
    <cellStyle name="Erklärender Text 83_est. MEAT" xfId="24249"/>
    <cellStyle name="Erklärender Text 84_est. MEAT" xfId="24250"/>
    <cellStyle name="Erklärender Text 85_est. MEAT" xfId="24251"/>
    <cellStyle name="Erklärender Text 86_est. MEAT" xfId="24252"/>
    <cellStyle name="Erklärender Text 87_est. MEAT" xfId="24253"/>
    <cellStyle name="Erklärender Text 88_est. MEAT" xfId="24254"/>
    <cellStyle name="Erklärender Text 89_est. MEAT" xfId="24255"/>
    <cellStyle name="Erklärender Text 9_est. MEAT" xfId="24256"/>
    <cellStyle name="Erklärender Text 90_est. MEAT" xfId="24257"/>
    <cellStyle name="Erklärender Text 91_est. MEAT" xfId="24258"/>
    <cellStyle name="Erklärender Text 92_est. MEAT" xfId="24259"/>
    <cellStyle name="Erklärender Text 93_est. MEAT" xfId="24260"/>
    <cellStyle name="Erklärender Text 94_est. MEAT" xfId="24261"/>
    <cellStyle name="Erklärender Text 95_est. MEAT" xfId="24262"/>
    <cellStyle name="Erklärender Text 96_est. MEAT" xfId="24263"/>
    <cellStyle name="Erklärender Text 97_est. MEAT" xfId="24264"/>
    <cellStyle name="Erklärender Text 98_est. MEAT" xfId="24265"/>
    <cellStyle name="Erklärender Text 99_est. MEAT" xfId="24266"/>
    <cellStyle name="EURO (0)_est. MEAT" xfId="24267"/>
    <cellStyle name="EURO (0,00)_est. MEAT" xfId="24268"/>
    <cellStyle name="Euro 2_est. MEAT" xfId="24269"/>
    <cellStyle name="Explanatory Text 2_est. MEAT" xfId="24270"/>
    <cellStyle name="führ. Null (2)_est. MEAT" xfId="24271"/>
    <cellStyle name="führ. Null (3)_est. MEAT" xfId="24272"/>
    <cellStyle name="führ. Null (4)_est. MEAT" xfId="24273"/>
    <cellStyle name="Funk_est. MEAT" xfId="24274"/>
    <cellStyle name="Good" xfId="24275"/>
    <cellStyle name="Good 2_est. MEAT" xfId="24276"/>
    <cellStyle name="Good_AE_FC_QuoteMaster" xfId="24277"/>
    <cellStyle name="Gut 10 2_est. MEAT" xfId="24278"/>
    <cellStyle name="Gut 100_est. MEAT" xfId="24279"/>
    <cellStyle name="Gut 101_est. MEAT" xfId="24280"/>
    <cellStyle name="Gut 102_est. MEAT" xfId="24281"/>
    <cellStyle name="Gut 103_est. MEAT" xfId="24282"/>
    <cellStyle name="Gut 104_est. MEAT" xfId="24283"/>
    <cellStyle name="Gut 105_est. MEAT" xfId="24284"/>
    <cellStyle name="Gut 106_est. MEAT" xfId="24285"/>
    <cellStyle name="Gut 107_est. MEAT" xfId="24286"/>
    <cellStyle name="Gut 108_est. MEAT" xfId="24287"/>
    <cellStyle name="Gut 109_est. MEAT" xfId="24288"/>
    <cellStyle name="Gut 11 2_est. MEAT" xfId="24289"/>
    <cellStyle name="Gut 110_est. MEAT" xfId="24290"/>
    <cellStyle name="Gut 111_est. MEAT" xfId="24291"/>
    <cellStyle name="Gut 112_est. MEAT" xfId="24292"/>
    <cellStyle name="Gut 113_est. MEAT" xfId="24293"/>
    <cellStyle name="Gut 114_est. MEAT" xfId="24294"/>
    <cellStyle name="Gut 115_est. MEAT" xfId="24295"/>
    <cellStyle name="Gut 116_est. MEAT" xfId="24296"/>
    <cellStyle name="Gut 117_est. MEAT" xfId="24297"/>
    <cellStyle name="Gut 118_est. MEAT" xfId="24298"/>
    <cellStyle name="Gut 119_est. MEAT" xfId="24299"/>
    <cellStyle name="Gut 12 2_est. MEAT" xfId="24300"/>
    <cellStyle name="Gut 120_est. MEAT" xfId="24301"/>
    <cellStyle name="Gut 121_est. MEAT" xfId="24302"/>
    <cellStyle name="Gut 122_est. MEAT" xfId="24303"/>
    <cellStyle name="Gut 123_est. MEAT" xfId="24304"/>
    <cellStyle name="Gut 124_est. MEAT" xfId="24305"/>
    <cellStyle name="Gut 125_est. MEAT" xfId="24306"/>
    <cellStyle name="Gut 126_est. MEAT" xfId="24307"/>
    <cellStyle name="Gut 127_est. MEAT" xfId="24308"/>
    <cellStyle name="Gut 128_est. MEAT" xfId="24309"/>
    <cellStyle name="Gut 129_est. MEAT" xfId="24310"/>
    <cellStyle name="Gut 13 2_est. MEAT" xfId="24311"/>
    <cellStyle name="Gut 130_est. MEAT" xfId="24312"/>
    <cellStyle name="Gut 131_est. MEAT" xfId="24313"/>
    <cellStyle name="Gut 132_est. MEAT" xfId="24314"/>
    <cellStyle name="Gut 133_est. MEAT" xfId="24315"/>
    <cellStyle name="Gut 134_est. MEAT" xfId="24316"/>
    <cellStyle name="Gut 135_est. MEAT" xfId="24317"/>
    <cellStyle name="Gut 136_est. MEAT" xfId="24318"/>
    <cellStyle name="Gut 137_est. MEAT" xfId="24319"/>
    <cellStyle name="Gut 138_est. MEAT" xfId="24320"/>
    <cellStyle name="Gut 139_est. MEAT" xfId="24321"/>
    <cellStyle name="Gut 14 2_est. MEAT" xfId="24322"/>
    <cellStyle name="Gut 140_est. MEAT" xfId="24323"/>
    <cellStyle name="Gut 141_est. MEAT" xfId="24324"/>
    <cellStyle name="Gut 142_est. MEAT" xfId="24325"/>
    <cellStyle name="Gut 143_est. MEAT" xfId="24326"/>
    <cellStyle name="Gut 144_est. MEAT" xfId="24327"/>
    <cellStyle name="Gut 145_est. MEAT" xfId="24328"/>
    <cellStyle name="Gut 146_est. MEAT" xfId="24329"/>
    <cellStyle name="Gut 147_est. MEAT" xfId="24330"/>
    <cellStyle name="Gut 148_est. MEAT" xfId="24331"/>
    <cellStyle name="Gut 149_est. MEAT" xfId="24332"/>
    <cellStyle name="Gut 15_est. MEAT" xfId="24333"/>
    <cellStyle name="Gut 150_est. MEAT" xfId="24334"/>
    <cellStyle name="Gut 151_est. MEAT" xfId="24335"/>
    <cellStyle name="Gut 16_est. MEAT" xfId="24336"/>
    <cellStyle name="Gut 17_est. MEAT" xfId="24337"/>
    <cellStyle name="Gut 18_est. MEAT" xfId="24338"/>
    <cellStyle name="Gut 19_est. MEAT" xfId="24339"/>
    <cellStyle name="Gut 2 2_est. MEAT" xfId="24340"/>
    <cellStyle name="Gut 20_est. MEAT" xfId="24341"/>
    <cellStyle name="Gut 21_est. MEAT" xfId="24342"/>
    <cellStyle name="Gut 22_est. MEAT" xfId="24343"/>
    <cellStyle name="Gut 23_est. MEAT" xfId="24344"/>
    <cellStyle name="Gut 24_est. MEAT" xfId="24345"/>
    <cellStyle name="Gut 25_est. MEAT" xfId="24346"/>
    <cellStyle name="Gut 26_est. MEAT" xfId="24347"/>
    <cellStyle name="Gut 27_est. MEAT" xfId="24348"/>
    <cellStyle name="Gut 28_est. MEAT" xfId="24349"/>
    <cellStyle name="Gut 29_est. MEAT" xfId="24350"/>
    <cellStyle name="Gut 3 2_est. MEAT" xfId="24351"/>
    <cellStyle name="Gut 30_est. MEAT" xfId="24352"/>
    <cellStyle name="Gut 31_est. MEAT" xfId="24353"/>
    <cellStyle name="Gut 32_est. MEAT" xfId="24354"/>
    <cellStyle name="Gut 33_est. MEAT" xfId="24355"/>
    <cellStyle name="Gut 34_est. MEAT" xfId="24356"/>
    <cellStyle name="Gut 35_est. MEAT" xfId="24357"/>
    <cellStyle name="Gut 36_est. MEAT" xfId="24358"/>
    <cellStyle name="Gut 37_est. MEAT" xfId="24359"/>
    <cellStyle name="Gut 38_est. MEAT" xfId="24360"/>
    <cellStyle name="Gut 39_est. MEAT" xfId="24361"/>
    <cellStyle name="Gut 4 2_est. MEAT" xfId="24362"/>
    <cellStyle name="Gut 40_est. MEAT" xfId="24363"/>
    <cellStyle name="Gut 41_est. MEAT" xfId="24364"/>
    <cellStyle name="Gut 42_est. MEAT" xfId="24365"/>
    <cellStyle name="Gut 43_est. MEAT" xfId="24366"/>
    <cellStyle name="Gut 44_est. MEAT" xfId="24367"/>
    <cellStyle name="Gut 45_est. MEAT" xfId="24368"/>
    <cellStyle name="Gut 46_est. MEAT" xfId="24369"/>
    <cellStyle name="Gut 47_est. MEAT" xfId="24370"/>
    <cellStyle name="Gut 48_est. MEAT" xfId="24371"/>
    <cellStyle name="Gut 49_est. MEAT" xfId="24372"/>
    <cellStyle name="Gut 5 2_est. MEAT" xfId="24373"/>
    <cellStyle name="Gut 50_est. MEAT" xfId="24374"/>
    <cellStyle name="Gut 51_est. MEAT" xfId="24375"/>
    <cellStyle name="Gut 52_est. MEAT" xfId="24376"/>
    <cellStyle name="Gut 53_est. MEAT" xfId="24377"/>
    <cellStyle name="Gut 54_est. MEAT" xfId="24378"/>
    <cellStyle name="Gut 55_est. MEAT" xfId="24379"/>
    <cellStyle name="Gut 56_est. MEAT" xfId="24380"/>
    <cellStyle name="Gut 57_est. MEAT" xfId="24381"/>
    <cellStyle name="Gut 58_est. MEAT" xfId="24382"/>
    <cellStyle name="Gut 59_est. MEAT" xfId="24383"/>
    <cellStyle name="Gut 6 2_est. MEAT" xfId="24384"/>
    <cellStyle name="Gut 60_est. MEAT" xfId="24385"/>
    <cellStyle name="Gut 61_est. MEAT" xfId="24386"/>
    <cellStyle name="Gut 62_est. MEAT" xfId="24387"/>
    <cellStyle name="Gut 63_est. MEAT" xfId="24388"/>
    <cellStyle name="Gut 64_est. MEAT" xfId="24389"/>
    <cellStyle name="Gut 65_est. MEAT" xfId="24390"/>
    <cellStyle name="Gut 66_est. MEAT" xfId="24391"/>
    <cellStyle name="Gut 67_est. MEAT" xfId="24392"/>
    <cellStyle name="Gut 68_est. MEAT" xfId="24393"/>
    <cellStyle name="Gut 69_est. MEAT" xfId="24394"/>
    <cellStyle name="Gut 7 2_est. MEAT" xfId="24395"/>
    <cellStyle name="Gut 70_est. MEAT" xfId="24396"/>
    <cellStyle name="Gut 71_est. MEAT" xfId="24397"/>
    <cellStyle name="Gut 72_est. MEAT" xfId="24398"/>
    <cellStyle name="Gut 73_est. MEAT" xfId="24399"/>
    <cellStyle name="Gut 74_est. MEAT" xfId="24400"/>
    <cellStyle name="Gut 75_est. MEAT" xfId="24401"/>
    <cellStyle name="Gut 76_est. MEAT" xfId="24402"/>
    <cellStyle name="Gut 77_est. MEAT" xfId="24403"/>
    <cellStyle name="Gut 78_est. MEAT" xfId="24404"/>
    <cellStyle name="Gut 79_est. MEAT" xfId="24405"/>
    <cellStyle name="Gut 8 2_est. MEAT" xfId="24406"/>
    <cellStyle name="Gut 80_est. MEAT" xfId="24407"/>
    <cellStyle name="Gut 81_est. MEAT" xfId="24408"/>
    <cellStyle name="Gut 82_est. MEAT" xfId="24409"/>
    <cellStyle name="Gut 83_est. MEAT" xfId="24410"/>
    <cellStyle name="Gut 84_est. MEAT" xfId="24411"/>
    <cellStyle name="Gut 85_est. MEAT" xfId="24412"/>
    <cellStyle name="Gut 86_est. MEAT" xfId="24413"/>
    <cellStyle name="Gut 87_est. MEAT" xfId="24414"/>
    <cellStyle name="Gut 88_est. MEAT" xfId="24415"/>
    <cellStyle name="Gut 89_est. MEAT" xfId="24416"/>
    <cellStyle name="Gut 9 2_est. MEAT" xfId="24417"/>
    <cellStyle name="Gut 90_est. MEAT" xfId="24418"/>
    <cellStyle name="Gut 91_est. MEAT" xfId="24419"/>
    <cellStyle name="Gut 92_est. MEAT" xfId="24420"/>
    <cellStyle name="Gut 93_est. MEAT" xfId="24421"/>
    <cellStyle name="Gut 94_est. MEAT" xfId="24422"/>
    <cellStyle name="Gut 95_est. MEAT" xfId="24423"/>
    <cellStyle name="Gut 96_est. MEAT" xfId="24424"/>
    <cellStyle name="Gut 97_est. MEAT" xfId="24425"/>
    <cellStyle name="Gut 98_est. MEAT" xfId="24426"/>
    <cellStyle name="Gut 99_est. MEAT" xfId="24427"/>
    <cellStyle name="Heading 1" xfId="24428"/>
    <cellStyle name="Heading 1 2_est. MEAT" xfId="24429"/>
    <cellStyle name="Heading 1_AE_FC_QuoteMaster" xfId="24430"/>
    <cellStyle name="Heading 2" xfId="24431"/>
    <cellStyle name="Heading 2 2_est. MEAT" xfId="24432"/>
    <cellStyle name="Heading 2_AE_FC_QuoteMaster" xfId="24433"/>
    <cellStyle name="Heading 3" xfId="24434"/>
    <cellStyle name="Heading 3 2_est. MEAT" xfId="24435"/>
    <cellStyle name="Heading 3_AE_FC_QuoteMaster" xfId="24436"/>
    <cellStyle name="Heading 4" xfId="24437"/>
    <cellStyle name="Heading 4 2_est. MEAT" xfId="24438"/>
    <cellStyle name="Heading 4_AE_FC_QuoteMaster" xfId="24439"/>
    <cellStyle name="hellgrau_est. MEAT" xfId="24440"/>
    <cellStyle name="Input 2_est. MEAT" xfId="24441"/>
    <cellStyle name="Komma 2_est. MEAT" xfId="24442"/>
    <cellStyle name="Komma 3_est. MEAT" xfId="24443"/>
    <cellStyle name="kW (0)_est. MEAT" xfId="24444"/>
    <cellStyle name="kW (0,00)_est. MEAT" xfId="24445"/>
    <cellStyle name="Linked Cell" xfId="24446"/>
    <cellStyle name="Linked Cell 2_est. MEAT" xfId="24447"/>
    <cellStyle name="Linked Cell_AE_FC_QuoteMaster" xfId="24448"/>
    <cellStyle name="Neutral 10 2_est. MEAT" xfId="24449"/>
    <cellStyle name="Neutral 100_est. MEAT" xfId="24450"/>
    <cellStyle name="Neutral 101_est. MEAT" xfId="24451"/>
    <cellStyle name="Neutral 102_est. MEAT" xfId="24452"/>
    <cellStyle name="Neutral 103_est. MEAT" xfId="24453"/>
    <cellStyle name="Neutral 104_est. MEAT" xfId="24454"/>
    <cellStyle name="Neutral 105_est. MEAT" xfId="24455"/>
    <cellStyle name="Neutral 106_est. MEAT" xfId="24456"/>
    <cellStyle name="Neutral 107_est. MEAT" xfId="24457"/>
    <cellStyle name="Neutral 108_est. MEAT" xfId="24458"/>
    <cellStyle name="Neutral 109_est. MEAT" xfId="24459"/>
    <cellStyle name="Neutral 11 2_est. MEAT" xfId="24460"/>
    <cellStyle name="Neutral 110_est. MEAT" xfId="24461"/>
    <cellStyle name="Neutral 111_est. MEAT" xfId="24462"/>
    <cellStyle name="Neutral 112_est. MEAT" xfId="24463"/>
    <cellStyle name="Neutral 113_est. MEAT" xfId="24464"/>
    <cellStyle name="Neutral 114_est. MEAT" xfId="24465"/>
    <cellStyle name="Neutral 115_est. MEAT" xfId="24466"/>
    <cellStyle name="Neutral 116_est. MEAT" xfId="24467"/>
    <cellStyle name="Neutral 117_est. MEAT" xfId="24468"/>
    <cellStyle name="Neutral 118_est. MEAT" xfId="24469"/>
    <cellStyle name="Neutral 119_est. MEAT" xfId="24470"/>
    <cellStyle name="Neutral 12 2_est. MEAT" xfId="24471"/>
    <cellStyle name="Neutral 120_est. MEAT" xfId="24472"/>
    <cellStyle name="Neutral 121_est. MEAT" xfId="24473"/>
    <cellStyle name="Neutral 122_est. MEAT" xfId="24474"/>
    <cellStyle name="Neutral 123_est. MEAT" xfId="24475"/>
    <cellStyle name="Neutral 124_est. MEAT" xfId="24476"/>
    <cellStyle name="Neutral 125_est. MEAT" xfId="24477"/>
    <cellStyle name="Neutral 126_est. MEAT" xfId="24478"/>
    <cellStyle name="Neutral 127_est. MEAT" xfId="24479"/>
    <cellStyle name="Neutral 128_est. MEAT" xfId="24480"/>
    <cellStyle name="Neutral 129_est. MEAT" xfId="24481"/>
    <cellStyle name="Neutral 13 2_est. MEAT" xfId="24482"/>
    <cellStyle name="Neutral 130_est. MEAT" xfId="24483"/>
    <cellStyle name="Neutral 131_est. MEAT" xfId="24484"/>
    <cellStyle name="Neutral 132_est. MEAT" xfId="24485"/>
    <cellStyle name="Neutral 133_est. MEAT" xfId="24486"/>
    <cellStyle name="Neutral 134_est. MEAT" xfId="24487"/>
    <cellStyle name="Neutral 135_est. MEAT" xfId="24488"/>
    <cellStyle name="Neutral 136_est. MEAT" xfId="24489"/>
    <cellStyle name="Neutral 137_est. MEAT" xfId="24490"/>
    <cellStyle name="Neutral 138_est. MEAT" xfId="24491"/>
    <cellStyle name="Neutral 139_est. MEAT" xfId="24492"/>
    <cellStyle name="Neutral 14 2_est. MEAT" xfId="24493"/>
    <cellStyle name="Neutral 140_est. MEAT" xfId="24494"/>
    <cellStyle name="Neutral 141_est. MEAT" xfId="24495"/>
    <cellStyle name="Neutral 142_est. MEAT" xfId="24496"/>
    <cellStyle name="Neutral 143_est. MEAT" xfId="24497"/>
    <cellStyle name="Neutral 144_est. MEAT" xfId="24498"/>
    <cellStyle name="Neutral 145_est. MEAT" xfId="24499"/>
    <cellStyle name="Neutral 146_est. MEAT" xfId="24500"/>
    <cellStyle name="Neutral 147_est. MEAT" xfId="24501"/>
    <cellStyle name="Neutral 148_est. MEAT" xfId="24502"/>
    <cellStyle name="Neutral 149_est. MEAT" xfId="24503"/>
    <cellStyle name="Neutral 15_est. MEAT" xfId="24504"/>
    <cellStyle name="Neutral 150_est. MEAT" xfId="24505"/>
    <cellStyle name="Neutral 151_est. MEAT" xfId="24506"/>
    <cellStyle name="Neutral 16_est. MEAT" xfId="24507"/>
    <cellStyle name="Neutral 17_est. MEAT" xfId="24508"/>
    <cellStyle name="Neutral 18_est. MEAT" xfId="24509"/>
    <cellStyle name="Neutral 19_est. MEAT" xfId="24510"/>
    <cellStyle name="Neutral 2 2_est. MEAT" xfId="24511"/>
    <cellStyle name="Neutral 20_est. MEAT" xfId="24512"/>
    <cellStyle name="Neutral 21_est. MEAT" xfId="24513"/>
    <cellStyle name="Neutral 22_est. MEAT" xfId="24514"/>
    <cellStyle name="Neutral 23_est. MEAT" xfId="24515"/>
    <cellStyle name="Neutral 24_est. MEAT" xfId="24516"/>
    <cellStyle name="Neutral 25_est. MEAT" xfId="24517"/>
    <cellStyle name="Neutral 26_est. MEAT" xfId="24518"/>
    <cellStyle name="Neutral 27_est. MEAT" xfId="24519"/>
    <cellStyle name="Neutral 28_est. MEAT" xfId="24520"/>
    <cellStyle name="Neutral 29_est. MEAT" xfId="24521"/>
    <cellStyle name="Neutral 3 2_est. MEAT" xfId="24522"/>
    <cellStyle name="Neutral 30_est. MEAT" xfId="24523"/>
    <cellStyle name="Neutral 31_est. MEAT" xfId="24524"/>
    <cellStyle name="Neutral 32_est. MEAT" xfId="24525"/>
    <cellStyle name="Neutral 33_est. MEAT" xfId="24526"/>
    <cellStyle name="Neutral 34_est. MEAT" xfId="24527"/>
    <cellStyle name="Neutral 35_est. MEAT" xfId="24528"/>
    <cellStyle name="Neutral 36_est. MEAT" xfId="24529"/>
    <cellStyle name="Neutral 37_est. MEAT" xfId="24530"/>
    <cellStyle name="Neutral 38_est. MEAT" xfId="24531"/>
    <cellStyle name="Neutral 39_est. MEAT" xfId="24532"/>
    <cellStyle name="Neutral 4 2_est. MEAT" xfId="24533"/>
    <cellStyle name="Neutral 40_est. MEAT" xfId="24534"/>
    <cellStyle name="Neutral 41_est. MEAT" xfId="24535"/>
    <cellStyle name="Neutral 42_est. MEAT" xfId="24536"/>
    <cellStyle name="Neutral 43_est. MEAT" xfId="24537"/>
    <cellStyle name="Neutral 44_est. MEAT" xfId="24538"/>
    <cellStyle name="Neutral 45_est. MEAT" xfId="24539"/>
    <cellStyle name="Neutral 46_est. MEAT" xfId="24540"/>
    <cellStyle name="Neutral 47_est. MEAT" xfId="24541"/>
    <cellStyle name="Neutral 48_est. MEAT" xfId="24542"/>
    <cellStyle name="Neutral 49_est. MEAT" xfId="24543"/>
    <cellStyle name="Neutral 5 2_est. MEAT" xfId="24544"/>
    <cellStyle name="Neutral 50_est. MEAT" xfId="24545"/>
    <cellStyle name="Neutral 51_est. MEAT" xfId="24546"/>
    <cellStyle name="Neutral 52_est. MEAT" xfId="24547"/>
    <cellStyle name="Neutral 53_est. MEAT" xfId="24548"/>
    <cellStyle name="Neutral 54_est. MEAT" xfId="24549"/>
    <cellStyle name="Neutral 55_est. MEAT" xfId="24550"/>
    <cellStyle name="Neutral 56_est. MEAT" xfId="24551"/>
    <cellStyle name="Neutral 57_est. MEAT" xfId="24552"/>
    <cellStyle name="Neutral 58_est. MEAT" xfId="24553"/>
    <cellStyle name="Neutral 59_est. MEAT" xfId="24554"/>
    <cellStyle name="Neutral 6 2_est. MEAT" xfId="24555"/>
    <cellStyle name="Neutral 60_est. MEAT" xfId="24556"/>
    <cellStyle name="Neutral 61_est. MEAT" xfId="24557"/>
    <cellStyle name="Neutral 62_est. MEAT" xfId="24558"/>
    <cellStyle name="Neutral 63_est. MEAT" xfId="24559"/>
    <cellStyle name="Neutral 64_est. MEAT" xfId="24560"/>
    <cellStyle name="Neutral 65_est. MEAT" xfId="24561"/>
    <cellStyle name="Neutral 66_est. MEAT" xfId="24562"/>
    <cellStyle name="Neutral 67_est. MEAT" xfId="24563"/>
    <cellStyle name="Neutral 68_est. MEAT" xfId="24564"/>
    <cellStyle name="Neutral 69_est. MEAT" xfId="24565"/>
    <cellStyle name="Neutral 7 2_est. MEAT" xfId="24566"/>
    <cellStyle name="Neutral 70_est. MEAT" xfId="24567"/>
    <cellStyle name="Neutral 71_est. MEAT" xfId="24568"/>
    <cellStyle name="Neutral 72_est. MEAT" xfId="24569"/>
    <cellStyle name="Neutral 73_est. MEAT" xfId="24570"/>
    <cellStyle name="Neutral 74_est. MEAT" xfId="24571"/>
    <cellStyle name="Neutral 75_est. MEAT" xfId="24572"/>
    <cellStyle name="Neutral 76_est. MEAT" xfId="24573"/>
    <cellStyle name="Neutral 77_est. MEAT" xfId="24574"/>
    <cellStyle name="Neutral 78_est. MEAT" xfId="24575"/>
    <cellStyle name="Neutral 79_est. MEAT" xfId="24576"/>
    <cellStyle name="Neutral 8 2_est. MEAT" xfId="24577"/>
    <cellStyle name="Neutral 80_est. MEAT" xfId="24578"/>
    <cellStyle name="Neutral 81_est. MEAT" xfId="24579"/>
    <cellStyle name="Neutral 82_est. MEAT" xfId="24580"/>
    <cellStyle name="Neutral 83_est. MEAT" xfId="24581"/>
    <cellStyle name="Neutral 84_est. MEAT" xfId="24582"/>
    <cellStyle name="Neutral 85_est. MEAT" xfId="24583"/>
    <cellStyle name="Neutral 86_est. MEAT" xfId="24584"/>
    <cellStyle name="Neutral 87_est. MEAT" xfId="24585"/>
    <cellStyle name="Neutral 88_est. MEAT" xfId="24586"/>
    <cellStyle name="Neutral 89_est. MEAT" xfId="24587"/>
    <cellStyle name="Neutral 9 2_est. MEAT" xfId="24588"/>
    <cellStyle name="Neutral 90_est. MEAT" xfId="24589"/>
    <cellStyle name="Neutral 91_est. MEAT" xfId="24590"/>
    <cellStyle name="Neutral 92_est. MEAT" xfId="24591"/>
    <cellStyle name="Neutral 93_est. MEAT" xfId="24592"/>
    <cellStyle name="Neutral 94_est. MEAT" xfId="24593"/>
    <cellStyle name="Neutral 95_est. MEAT" xfId="24594"/>
    <cellStyle name="Neutral 96_est. MEAT" xfId="24595"/>
    <cellStyle name="Neutral 97_est. MEAT" xfId="24596"/>
    <cellStyle name="Neutral 98_est. MEAT" xfId="24597"/>
    <cellStyle name="Neutral 99_est. MEAT" xfId="24598"/>
    <cellStyle name="Normal 10 2 2_est. MEAT" xfId="24599"/>
    <cellStyle name="Normal 10 3_est. MEAT" xfId="24600"/>
    <cellStyle name="Normal 100 2_est. MEAT" xfId="24601"/>
    <cellStyle name="Normal 101 2_est. MEAT" xfId="24602"/>
    <cellStyle name="Normal 102 2_est. MEAT" xfId="24603"/>
    <cellStyle name="Normal 103 2_est. MEAT" xfId="24604"/>
    <cellStyle name="Normal 104 2_est. MEAT" xfId="24605"/>
    <cellStyle name="Normal 105 2_est. MEAT" xfId="24606"/>
    <cellStyle name="Normal 106 2_est. MEAT" xfId="24607"/>
    <cellStyle name="Normal 107 2_est. MEAT" xfId="24608"/>
    <cellStyle name="Normal 108_est. MEAT" xfId="24609"/>
    <cellStyle name="Normal 109 2_est. MEAT" xfId="24610"/>
    <cellStyle name="Normal 11 2_est. MEAT" xfId="24611"/>
    <cellStyle name="Normal 110 2_est. MEAT" xfId="24612"/>
    <cellStyle name="Normal 111 2_est. MEAT" xfId="24613"/>
    <cellStyle name="Normal 112 2_est. MEAT" xfId="24614"/>
    <cellStyle name="Normal 113 2_est. MEAT" xfId="24615"/>
    <cellStyle name="Normal 114 2_est. MEAT" xfId="24616"/>
    <cellStyle name="Normal 115 2_est. MEAT" xfId="24617"/>
    <cellStyle name="Normal 116 2_est. MEAT" xfId="24618"/>
    <cellStyle name="Normal 117 2_est. MEAT" xfId="24619"/>
    <cellStyle name="Normal 118 2_est. MEAT" xfId="24620"/>
    <cellStyle name="Normal 119 2_est. MEAT" xfId="24621"/>
    <cellStyle name="Normal 12 2_est. MEAT" xfId="24622"/>
    <cellStyle name="Normal 120 2_est. MEAT" xfId="24623"/>
    <cellStyle name="Normal 121_est. MEAT" xfId="24624"/>
    <cellStyle name="Normal 122 2_est. MEAT" xfId="24625"/>
    <cellStyle name="Normal 123 2_est. MEAT" xfId="24626"/>
    <cellStyle name="Normal 124 2_est. MEAT" xfId="24627"/>
    <cellStyle name="Normal 125 2_est. MEAT" xfId="24628"/>
    <cellStyle name="Normal 126 2_est. MEAT" xfId="24629"/>
    <cellStyle name="Normal 127 2_est. MEAT" xfId="24630"/>
    <cellStyle name="Normal 128 2_est. MEAT" xfId="24631"/>
    <cellStyle name="Normal 129_est. MEAT" xfId="24632"/>
    <cellStyle name="Normal 13 2 2_est. MEAT" xfId="24633"/>
    <cellStyle name="Normal 13 3_est. MEAT" xfId="24634"/>
    <cellStyle name="Normal 130 2_est. MEAT" xfId="24635"/>
    <cellStyle name="Normal 131 2_est. MEAT" xfId="24636"/>
    <cellStyle name="Normal 133 2_est. MEAT" xfId="24637"/>
    <cellStyle name="Normal 135 2_est. MEAT" xfId="24638"/>
    <cellStyle name="Normal 136 2_est. MEAT" xfId="24639"/>
    <cellStyle name="Normal 138 2_est. MEAT" xfId="24640"/>
    <cellStyle name="Normal 139 2_est. MEAT" xfId="24641"/>
    <cellStyle name="Normal 14 2 2_est. MEAT" xfId="24642"/>
    <cellStyle name="Normal 14 3_est. MEAT" xfId="24643"/>
    <cellStyle name="Normal 140 2_est. MEAT" xfId="24644"/>
    <cellStyle name="Normal 141 2_est. MEAT" xfId="24645"/>
    <cellStyle name="Normal 142 2_est. MEAT" xfId="24646"/>
    <cellStyle name="Normal 143 2_est. MEAT" xfId="24647"/>
    <cellStyle name="Normal 15 2 2_est. MEAT" xfId="24648"/>
    <cellStyle name="Normal 15 3_est. MEAT" xfId="24649"/>
    <cellStyle name="Normal 16 2 2_est. MEAT" xfId="24650"/>
    <cellStyle name="Normal 16 3_est. MEAT" xfId="24651"/>
    <cellStyle name="Normal 17 2_est. MEAT" xfId="24652"/>
    <cellStyle name="Normal 18 2 2_est. MEAT" xfId="24653"/>
    <cellStyle name="Normal 18 3_est. MEAT" xfId="24654"/>
    <cellStyle name="Normal 19 2 2_est. MEAT" xfId="24655"/>
    <cellStyle name="Normal 19 3_est. MEAT" xfId="24656"/>
    <cellStyle name="Normal 2 2 2_est. MEAT" xfId="24657"/>
    <cellStyle name="Normal 2 2 3_est. MEAT" xfId="24658"/>
    <cellStyle name="Normal 2 3_est. MEAT" xfId="24659"/>
    <cellStyle name="Normal 2 4_est. MEAT" xfId="24660"/>
    <cellStyle name="Normal 2 5_est. MEAT" xfId="24661"/>
    <cellStyle name="Normal 20 2 2_est. MEAT" xfId="24662"/>
    <cellStyle name="Normal 20 3_est. MEAT" xfId="24663"/>
    <cellStyle name="Normal 21 2 2_est. MEAT" xfId="24664"/>
    <cellStyle name="Normal 21 3_est. MEAT" xfId="24665"/>
    <cellStyle name="Normal 22 2 2_est. MEAT" xfId="24666"/>
    <cellStyle name="Normal 22 3_est. MEAT" xfId="24667"/>
    <cellStyle name="Normal 23 2 2_est. MEAT" xfId="24668"/>
    <cellStyle name="Normal 23 3_est. MEAT" xfId="24669"/>
    <cellStyle name="Normal 24 2_est. MEAT" xfId="24670"/>
    <cellStyle name="Normal 25 2 2_est. MEAT" xfId="24671"/>
    <cellStyle name="Normal 25 3_est. MEAT" xfId="24672"/>
    <cellStyle name="Normal 26 2 2_est. MEAT" xfId="24673"/>
    <cellStyle name="Normal 26 3_est. MEAT" xfId="24674"/>
    <cellStyle name="Normal 27 2 2_est. MEAT" xfId="24675"/>
    <cellStyle name="Normal 27 3_est. MEAT" xfId="24676"/>
    <cellStyle name="Normal 28 2 2_est. MEAT" xfId="24677"/>
    <cellStyle name="Normal 28 3_est. MEAT" xfId="24678"/>
    <cellStyle name="Normal 29 2 2_est. MEAT" xfId="24679"/>
    <cellStyle name="Normal 29 3_est. MEAT" xfId="24680"/>
    <cellStyle name="Normal 3 2 2 2_est. MEAT" xfId="24681"/>
    <cellStyle name="Normal 3 2 3_est. MEAT" xfId="24682"/>
    <cellStyle name="Normal 3 3 2_est. MEAT" xfId="24683"/>
    <cellStyle name="Normal 3 4_est. MEAT" xfId="24684"/>
    <cellStyle name="Normal 3 5_est. MEAT" xfId="24685"/>
    <cellStyle name="Normal 3 6_est. MEAT" xfId="24686"/>
    <cellStyle name="Normal 30 2 2_est. MEAT" xfId="24687"/>
    <cellStyle name="Normal 30 3_est. MEAT" xfId="24688"/>
    <cellStyle name="Normal 31 2_est. MEAT" xfId="24689"/>
    <cellStyle name="Normal 32 2 2_est. MEAT" xfId="24690"/>
    <cellStyle name="Normal 32 3_est. MEAT" xfId="24691"/>
    <cellStyle name="Normal 33 2 2_est. MEAT" xfId="24692"/>
    <cellStyle name="Normal 33 3_est. MEAT" xfId="24693"/>
    <cellStyle name="Normal 34 2 2_est. MEAT" xfId="24694"/>
    <cellStyle name="Normal 34 3_est. MEAT" xfId="24695"/>
    <cellStyle name="Normal 35 2 2_est. MEAT" xfId="24696"/>
    <cellStyle name="Normal 35 3_est. MEAT" xfId="24697"/>
    <cellStyle name="Normal 36 2 2_est. MEAT" xfId="24698"/>
    <cellStyle name="Normal 36 3_est. MEAT" xfId="24699"/>
    <cellStyle name="Normal 37 2 2_est. MEAT" xfId="24700"/>
    <cellStyle name="Normal 37 3_est. MEAT" xfId="24701"/>
    <cellStyle name="Normal 38 2 2_est. MEAT" xfId="24702"/>
    <cellStyle name="Normal 38 3_est. MEAT" xfId="24703"/>
    <cellStyle name="Normal 39 2 2_est. MEAT" xfId="24704"/>
    <cellStyle name="Normal 39 3_est. MEAT" xfId="24705"/>
    <cellStyle name="Normal 4 2 2 2_est. MEAT" xfId="24706"/>
    <cellStyle name="Normal 4 2 3_est. MEAT" xfId="24707"/>
    <cellStyle name="Normal 4 3 2_est. MEAT" xfId="24708"/>
    <cellStyle name="Normal 4 4_est. MEAT" xfId="24709"/>
    <cellStyle name="Normal 40 2 2_est. MEAT" xfId="24710"/>
    <cellStyle name="Normal 40 3_est. MEAT" xfId="24711"/>
    <cellStyle name="Normal 41 2 2_est. MEAT" xfId="24712"/>
    <cellStyle name="Normal 41 3_est. MEAT" xfId="24713"/>
    <cellStyle name="Normal 42 2 2_est. MEAT" xfId="24714"/>
    <cellStyle name="Normal 42 3_est. MEAT" xfId="24715"/>
    <cellStyle name="Normal 43 2 2_est. MEAT" xfId="24716"/>
    <cellStyle name="Normal 43 3_est. MEAT" xfId="24717"/>
    <cellStyle name="Normal 44 2 2_est. MEAT" xfId="24718"/>
    <cellStyle name="Normal 44 3_est. MEAT" xfId="24719"/>
    <cellStyle name="Normal 45 2 2_est. MEAT" xfId="24720"/>
    <cellStyle name="Normal 45 3_est. MEAT" xfId="24721"/>
    <cellStyle name="Normal 46 2 2_est. MEAT" xfId="24722"/>
    <cellStyle name="Normal 46 3_est. MEAT" xfId="24723"/>
    <cellStyle name="Normal 47 2 2_est. MEAT" xfId="24724"/>
    <cellStyle name="Normal 47 3_est. MEAT" xfId="24725"/>
    <cellStyle name="Normal 48 2 2_est. MEAT" xfId="24726"/>
    <cellStyle name="Normal 48 3_est. MEAT" xfId="24727"/>
    <cellStyle name="Normal 49 2_est. MEAT" xfId="24728"/>
    <cellStyle name="Normal 5 2 2 2_est. MEAT" xfId="24729"/>
    <cellStyle name="Normal 5 2 3_est. MEAT" xfId="24730"/>
    <cellStyle name="Normal 5 3 2_est. MEAT" xfId="24731"/>
    <cellStyle name="Normal 5 4_est. MEAT" xfId="24732"/>
    <cellStyle name="Normal 50 2 2_est. MEAT" xfId="24733"/>
    <cellStyle name="Normal 50 3_est. MEAT" xfId="24734"/>
    <cellStyle name="Normal 51 2_est. MEAT" xfId="24735"/>
    <cellStyle name="Normal 52 2_est. MEAT" xfId="24736"/>
    <cellStyle name="Normal 53 2_est. MEAT" xfId="24737"/>
    <cellStyle name="Normal 54 2_est. MEAT" xfId="24738"/>
    <cellStyle name="Normal 55 2_est. MEAT" xfId="24739"/>
    <cellStyle name="Normal 56 2_est. MEAT" xfId="24740"/>
    <cellStyle name="Normal 57 2_est. MEAT" xfId="24741"/>
    <cellStyle name="Normal 58 2_est. MEAT" xfId="24742"/>
    <cellStyle name="Normal 59 2 2_est. MEAT" xfId="24743"/>
    <cellStyle name="Normal 59 3_est. MEAT" xfId="24744"/>
    <cellStyle name="Normal 6 2 2_est. MEAT" xfId="24745"/>
    <cellStyle name="Normal 6 3_est. MEAT" xfId="24746"/>
    <cellStyle name="Normal 60 2_est. MEAT" xfId="24747"/>
    <cellStyle name="Normal 61 2 2_est. MEAT" xfId="24748"/>
    <cellStyle name="Normal 61 3_est. MEAT" xfId="24749"/>
    <cellStyle name="Normal 62 2_est. MEAT" xfId="24750"/>
    <cellStyle name="Normal 63 2 2_est. MEAT" xfId="24751"/>
    <cellStyle name="Normal 63 3_est. MEAT" xfId="24752"/>
    <cellStyle name="Normal 64 2_est. MEAT" xfId="24753"/>
    <cellStyle name="Normal 65 2_est. MEAT" xfId="24754"/>
    <cellStyle name="Normal 66 2_est. MEAT" xfId="24755"/>
    <cellStyle name="Normal 67 2_est. MEAT" xfId="24756"/>
    <cellStyle name="Normal 68 2_est. MEAT" xfId="24757"/>
    <cellStyle name="Normal 69 2_est. MEAT" xfId="24758"/>
    <cellStyle name="Normal 7 2 2_est. MEAT" xfId="24759"/>
    <cellStyle name="Normal 7 3_est. MEAT" xfId="24760"/>
    <cellStyle name="Normal 70 2_est. MEAT" xfId="24761"/>
    <cellStyle name="Normal 71 2_est. MEAT" xfId="24762"/>
    <cellStyle name="Normal 72 2_est. MEAT" xfId="24763"/>
    <cellStyle name="Normal 73 2_est. MEAT" xfId="24764"/>
    <cellStyle name="Normal 74 2_est. MEAT" xfId="24765"/>
    <cellStyle name="Normal 75 2_est. MEAT" xfId="24766"/>
    <cellStyle name="Normal 76 2_est. MEAT" xfId="24767"/>
    <cellStyle name="Normal 77 2_est. MEAT" xfId="24768"/>
    <cellStyle name="Normal 78 2_est. MEAT" xfId="24769"/>
    <cellStyle name="Normal 79 2_est. MEAT" xfId="24770"/>
    <cellStyle name="Normal 8 2_est. MEAT" xfId="24771"/>
    <cellStyle name="Normal 80 2_est. MEAT" xfId="24772"/>
    <cellStyle name="Normal 81 2_est. MEAT" xfId="24773"/>
    <cellStyle name="Normal 82 2_est. MEAT" xfId="24774"/>
    <cellStyle name="Normal 83 2_est. MEAT" xfId="24775"/>
    <cellStyle name="Normal 84 2_est. MEAT" xfId="24776"/>
    <cellStyle name="Normal 85 2_est. MEAT" xfId="24777"/>
    <cellStyle name="Normal 86 2_est. MEAT" xfId="24778"/>
    <cellStyle name="Normal 87 2_est. MEAT" xfId="24779"/>
    <cellStyle name="Normal 88 2_est. MEAT" xfId="24780"/>
    <cellStyle name="Normal 89 2_est. MEAT" xfId="24781"/>
    <cellStyle name="Normal 9 2 2_est. MEAT" xfId="24782"/>
    <cellStyle name="Normal 9 3_est. MEAT" xfId="24783"/>
    <cellStyle name="Normal 90 2_est. MEAT" xfId="24784"/>
    <cellStyle name="Normal 91 2_est. MEAT" xfId="24785"/>
    <cellStyle name="Normal 92 2_est. MEAT" xfId="24786"/>
    <cellStyle name="Normal 93 2_est. MEAT" xfId="24787"/>
    <cellStyle name="Normal 94 2_est. MEAT" xfId="24788"/>
    <cellStyle name="Normal 95 2_est. MEAT" xfId="24789"/>
    <cellStyle name="Normal 96 2_est. MEAT" xfId="24790"/>
    <cellStyle name="Normal 97 2_est. MEAT" xfId="24791"/>
    <cellStyle name="Normal 98 2_est. MEAT" xfId="24792"/>
    <cellStyle name="Normal 99 2_est. MEAT" xfId="24793"/>
    <cellStyle name="Note" xfId="24794"/>
    <cellStyle name="Note 10 2 2_est. MEAT" xfId="24795"/>
    <cellStyle name="Note 10 3_est. MEAT" xfId="24796"/>
    <cellStyle name="Note 100 2_est. MEAT" xfId="24797"/>
    <cellStyle name="Note 101 2_est. MEAT" xfId="24798"/>
    <cellStyle name="Note 102 2_est. MEAT" xfId="24799"/>
    <cellStyle name="Note 103 2_est. MEAT" xfId="24800"/>
    <cellStyle name="Note 104 2_est. MEAT" xfId="24801"/>
    <cellStyle name="Note 105 2_est. MEAT" xfId="24802"/>
    <cellStyle name="Note 106 2_est. MEAT" xfId="24803"/>
    <cellStyle name="Note 107 2_est. MEAT" xfId="24804"/>
    <cellStyle name="Note 108 2_est. MEAT" xfId="24805"/>
    <cellStyle name="Note 109 2_est. MEAT" xfId="24806"/>
    <cellStyle name="Note 11 2 2_est. MEAT" xfId="24807"/>
    <cellStyle name="Note 11 3_est. MEAT" xfId="24808"/>
    <cellStyle name="Note 110 2_est. MEAT" xfId="24809"/>
    <cellStyle name="Note 111 2_est. MEAT" xfId="24810"/>
    <cellStyle name="Note 112 2_est. MEAT" xfId="24811"/>
    <cellStyle name="Note 113 2_est. MEAT" xfId="24812"/>
    <cellStyle name="Note 114 2_est. MEAT" xfId="24813"/>
    <cellStyle name="Note 115 2_est. MEAT" xfId="24814"/>
    <cellStyle name="Note 116 2_est. MEAT" xfId="24815"/>
    <cellStyle name="Note 117 2_est. MEAT" xfId="24816"/>
    <cellStyle name="Note 118 2_est. MEAT" xfId="24817"/>
    <cellStyle name="Note 119 2_est. MEAT" xfId="24818"/>
    <cellStyle name="Note 12 2 2_est. MEAT" xfId="24819"/>
    <cellStyle name="Note 12 3_est. MEAT" xfId="24820"/>
    <cellStyle name="Note 120 2_est. MEAT" xfId="24821"/>
    <cellStyle name="Note 121 2_est. MEAT" xfId="24822"/>
    <cellStyle name="Note 122 2_est. MEAT" xfId="24823"/>
    <cellStyle name="Note 123 2_est. MEAT" xfId="24824"/>
    <cellStyle name="Note 124 2_est. MEAT" xfId="24825"/>
    <cellStyle name="Note 125 2_est. MEAT" xfId="24826"/>
    <cellStyle name="Note 126 2_est. MEAT" xfId="24827"/>
    <cellStyle name="Note 127 2_est. MEAT" xfId="24828"/>
    <cellStyle name="Note 128 2_est. MEAT" xfId="24829"/>
    <cellStyle name="Note 129 2_est. MEAT" xfId="24830"/>
    <cellStyle name="Note 13 2 2_est. MEAT" xfId="24831"/>
    <cellStyle name="Note 13 3_est. MEAT" xfId="24832"/>
    <cellStyle name="Note 130 2_est. MEAT" xfId="24833"/>
    <cellStyle name="Note 131 2_est. MEAT" xfId="24834"/>
    <cellStyle name="Note 132 2_est. MEAT" xfId="24835"/>
    <cellStyle name="Note 133 2_est. MEAT" xfId="24836"/>
    <cellStyle name="Note 134 2_est. MEAT" xfId="24837"/>
    <cellStyle name="Note 135 2_est. MEAT" xfId="24838"/>
    <cellStyle name="Note 136 2_est. MEAT" xfId="24839"/>
    <cellStyle name="Note 137 2_est. MEAT" xfId="24840"/>
    <cellStyle name="Note 138 2_est. MEAT" xfId="24841"/>
    <cellStyle name="Note 139 2_est. MEAT" xfId="24842"/>
    <cellStyle name="Note 14 2 2_est. MEAT" xfId="24843"/>
    <cellStyle name="Note 14 3_est. MEAT" xfId="24844"/>
    <cellStyle name="Note 140 2_est. MEAT" xfId="24845"/>
    <cellStyle name="Note 141 2_est. MEAT" xfId="24846"/>
    <cellStyle name="Note 142 2_est. MEAT" xfId="24847"/>
    <cellStyle name="Note 143 2_est. MEAT" xfId="24848"/>
    <cellStyle name="Note 144 2_est. MEAT" xfId="24849"/>
    <cellStyle name="Note 145 2_est. MEAT" xfId="24850"/>
    <cellStyle name="Note 146 2_est. MEAT" xfId="24851"/>
    <cellStyle name="Note 147 2_est. MEAT" xfId="24852"/>
    <cellStyle name="Note 148 2_est. MEAT" xfId="24853"/>
    <cellStyle name="Note 149 2_est. MEAT" xfId="24854"/>
    <cellStyle name="Note 15 2 2_est. MEAT" xfId="24855"/>
    <cellStyle name="Note 15 3_est. MEAT" xfId="24856"/>
    <cellStyle name="Note 150 2_est. MEAT" xfId="24857"/>
    <cellStyle name="Note 151 2_est. MEAT" xfId="24858"/>
    <cellStyle name="Note 152 2_est. MEAT" xfId="24859"/>
    <cellStyle name="Note 153 2_est. MEAT" xfId="24860"/>
    <cellStyle name="Note 154 2_est. MEAT" xfId="24861"/>
    <cellStyle name="Note 155 2_est. MEAT" xfId="24862"/>
    <cellStyle name="Note 156 2_est. MEAT" xfId="24863"/>
    <cellStyle name="Note 157 2_est. MEAT" xfId="24864"/>
    <cellStyle name="Note 158 2_est. MEAT" xfId="24865"/>
    <cellStyle name="Note 159 2_est. MEAT" xfId="24866"/>
    <cellStyle name="Note 16 2 2_est. MEAT" xfId="24867"/>
    <cellStyle name="Note 16 3_est. MEAT" xfId="24868"/>
    <cellStyle name="Note 160 2_est. MEAT" xfId="24869"/>
    <cellStyle name="Note 161 2_est. MEAT" xfId="24870"/>
    <cellStyle name="Note 162 2_est. MEAT" xfId="24871"/>
    <cellStyle name="Note 163 2_est. MEAT" xfId="24872"/>
    <cellStyle name="Note 164 2_est. MEAT" xfId="24873"/>
    <cellStyle name="Note 165_est. MEAT" xfId="24874"/>
    <cellStyle name="Note 166_est. MEAT" xfId="24875"/>
    <cellStyle name="Note 167_est. MEAT" xfId="24876"/>
    <cellStyle name="Note 168_est. MEAT" xfId="24877"/>
    <cellStyle name="Note 17 2 2_est. MEAT" xfId="24878"/>
    <cellStyle name="Note 17 3_est. MEAT" xfId="24879"/>
    <cellStyle name="Note 18 2 2_est. MEAT" xfId="24880"/>
    <cellStyle name="Note 18 3_est. MEAT" xfId="24881"/>
    <cellStyle name="Note 19 2 2_est. MEAT" xfId="24882"/>
    <cellStyle name="Note 19 3_est. MEAT" xfId="24883"/>
    <cellStyle name="Note 2 2 2 2_est. MEAT" xfId="24884"/>
    <cellStyle name="Note 2 2 3_est. MEAT" xfId="24885"/>
    <cellStyle name="Note 2 3 2_est. MEAT" xfId="24886"/>
    <cellStyle name="Note 2 4_est. MEAT" xfId="24887"/>
    <cellStyle name="Note 20 2 2_est. MEAT" xfId="24888"/>
    <cellStyle name="Note 20 3_est. MEAT" xfId="24889"/>
    <cellStyle name="Note 21 2 2_est. MEAT" xfId="24890"/>
    <cellStyle name="Note 21 3_est. MEAT" xfId="24891"/>
    <cellStyle name="Note 22 2 2_est. MEAT" xfId="24892"/>
    <cellStyle name="Note 22 3_est. MEAT" xfId="24893"/>
    <cellStyle name="Note 23 2 2_est. MEAT" xfId="24894"/>
    <cellStyle name="Note 23 3_est. MEAT" xfId="24895"/>
    <cellStyle name="Note 24 2 2_est. MEAT" xfId="24896"/>
    <cellStyle name="Note 24 3_est. MEAT" xfId="24897"/>
    <cellStyle name="Note 25 2 2_est. MEAT" xfId="24898"/>
    <cellStyle name="Note 25 3_est. MEAT" xfId="24899"/>
    <cellStyle name="Note 26 2 2_est. MEAT" xfId="24900"/>
    <cellStyle name="Note 26 3_est. MEAT" xfId="24901"/>
    <cellStyle name="Note 27 2 2_est. MEAT" xfId="24902"/>
    <cellStyle name="Note 27 3_est. MEAT" xfId="24903"/>
    <cellStyle name="Note 28 2 2_est. MEAT" xfId="24904"/>
    <cellStyle name="Note 28 3_est. MEAT" xfId="24905"/>
    <cellStyle name="Note 29 2 2_est. MEAT" xfId="24906"/>
    <cellStyle name="Note 29 3_est. MEAT" xfId="24907"/>
    <cellStyle name="Note 3 2 2 2_est. MEAT" xfId="24908"/>
    <cellStyle name="Note 3 2 3_est. MEAT" xfId="24909"/>
    <cellStyle name="Note 3 3 2_est. MEAT" xfId="24910"/>
    <cellStyle name="Note 3 4_est. MEAT" xfId="24911"/>
    <cellStyle name="Note 30 2 2_est. MEAT" xfId="24912"/>
    <cellStyle name="Note 30 3_est. MEAT" xfId="24913"/>
    <cellStyle name="Note 31 2 2_est. MEAT" xfId="24914"/>
    <cellStyle name="Note 31 3_est. MEAT" xfId="24915"/>
    <cellStyle name="Note 32 2 2_est. MEAT" xfId="24916"/>
    <cellStyle name="Note 32 3_est. MEAT" xfId="24917"/>
    <cellStyle name="Note 33 2 2_est. MEAT" xfId="24918"/>
    <cellStyle name="Note 33 3_est. MEAT" xfId="24919"/>
    <cellStyle name="Note 34 2 2_est. MEAT" xfId="24920"/>
    <cellStyle name="Note 34 3_est. MEAT" xfId="24921"/>
    <cellStyle name="Note 35 2 2_est. MEAT" xfId="24922"/>
    <cellStyle name="Note 35 3_est. MEAT" xfId="24923"/>
    <cellStyle name="Note 36 2 2_est. MEAT" xfId="24924"/>
    <cellStyle name="Note 36 3_est. MEAT" xfId="24925"/>
    <cellStyle name="Note 37 2 2_est. MEAT" xfId="24926"/>
    <cellStyle name="Note 37 3_est. MEAT" xfId="24927"/>
    <cellStyle name="Note 38 2 2_est. MEAT" xfId="24928"/>
    <cellStyle name="Note 38 3_est. MEAT" xfId="24929"/>
    <cellStyle name="Note 39 2 2_est. MEAT" xfId="24930"/>
    <cellStyle name="Note 39 3_est. MEAT" xfId="24931"/>
    <cellStyle name="Note 4 2 2 2_est. MEAT" xfId="24932"/>
    <cellStyle name="Note 4 2 3_est. MEAT" xfId="24933"/>
    <cellStyle name="Note 4 3 2_est. MEAT" xfId="24934"/>
    <cellStyle name="Note 4 4_est. MEAT" xfId="24935"/>
    <cellStyle name="Note 40 2 2_est. MEAT" xfId="24936"/>
    <cellStyle name="Note 40 3_est. MEAT" xfId="24937"/>
    <cellStyle name="Note 41 2 2_est. MEAT" xfId="24938"/>
    <cellStyle name="Note 41 3_est. MEAT" xfId="24939"/>
    <cellStyle name="Note 42 2 2_est. MEAT" xfId="24940"/>
    <cellStyle name="Note 42 3_est. MEAT" xfId="24941"/>
    <cellStyle name="Note 43 2 2_est. MEAT" xfId="24942"/>
    <cellStyle name="Note 43 3_est. MEAT" xfId="24943"/>
    <cellStyle name="Note 44 2 2_est. MEAT" xfId="24944"/>
    <cellStyle name="Note 44 3_est. MEAT" xfId="24945"/>
    <cellStyle name="Note 45 2 2_est. MEAT" xfId="24946"/>
    <cellStyle name="Note 45 3_est. MEAT" xfId="24947"/>
    <cellStyle name="Note 46 2 2_est. MEAT" xfId="24948"/>
    <cellStyle name="Note 46 3_est. MEAT" xfId="24949"/>
    <cellStyle name="Note 47 2 2_est. MEAT" xfId="24950"/>
    <cellStyle name="Note 47 3_est. MEAT" xfId="24951"/>
    <cellStyle name="Note 48 2 2_est. MEAT" xfId="24952"/>
    <cellStyle name="Note 48 3_est. MEAT" xfId="24953"/>
    <cellStyle name="Note 49 2 2_est. MEAT" xfId="24954"/>
    <cellStyle name="Note 49 3_est. MEAT" xfId="24955"/>
    <cellStyle name="Note 5 2 2 2_est. MEAT" xfId="24956"/>
    <cellStyle name="Note 5 2 3_est. MEAT" xfId="24957"/>
    <cellStyle name="Note 5 3 2_est. MEAT" xfId="24958"/>
    <cellStyle name="Note 5 4_est. MEAT" xfId="24959"/>
    <cellStyle name="Note 50 2 2_est. MEAT" xfId="24960"/>
    <cellStyle name="Note 50 3_est. MEAT" xfId="24961"/>
    <cellStyle name="Note 51 2 2_est. MEAT" xfId="24962"/>
    <cellStyle name="Note 51 3_est. MEAT" xfId="24963"/>
    <cellStyle name="Note 52 2 2_est. MEAT" xfId="24964"/>
    <cellStyle name="Note 52 3_est. MEAT" xfId="24965"/>
    <cellStyle name="Note 53 2 2_est. MEAT" xfId="24966"/>
    <cellStyle name="Note 53 3_est. MEAT" xfId="24967"/>
    <cellStyle name="Note 54 2 2_est. MEAT" xfId="24968"/>
    <cellStyle name="Note 54 3_est. MEAT" xfId="24969"/>
    <cellStyle name="Note 55 2 2_est. MEAT" xfId="24970"/>
    <cellStyle name="Note 55 3_est. MEAT" xfId="24971"/>
    <cellStyle name="Note 56 2 2_est. MEAT" xfId="24972"/>
    <cellStyle name="Note 56 3_est. MEAT" xfId="24973"/>
    <cellStyle name="Note 57 2 2_est. MEAT" xfId="24974"/>
    <cellStyle name="Note 57 3_est. MEAT" xfId="24975"/>
    <cellStyle name="Note 58 2 2_est. MEAT" xfId="24976"/>
    <cellStyle name="Note 58 3_est. MEAT" xfId="24977"/>
    <cellStyle name="Note 59 2 2_est. MEAT" xfId="24978"/>
    <cellStyle name="Note 59 3_est. MEAT" xfId="24979"/>
    <cellStyle name="Note 6 2 2_est. MEAT" xfId="24980"/>
    <cellStyle name="Note 6 3_est. MEAT" xfId="24981"/>
    <cellStyle name="Note 60 2 2_est. MEAT" xfId="24982"/>
    <cellStyle name="Note 60 3_est. MEAT" xfId="24983"/>
    <cellStyle name="Note 61 2_est. MEAT" xfId="24984"/>
    <cellStyle name="Note 62 2_est. MEAT" xfId="24985"/>
    <cellStyle name="Note 63 2_est. MEAT" xfId="24986"/>
    <cellStyle name="Note 64 2_est. MEAT" xfId="24987"/>
    <cellStyle name="Note 65 2_est. MEAT" xfId="24988"/>
    <cellStyle name="Note 66 2_est. MEAT" xfId="24989"/>
    <cellStyle name="Note 67 2_est. MEAT" xfId="24990"/>
    <cellStyle name="Note 68 2_est. MEAT" xfId="24991"/>
    <cellStyle name="Note 69 2_est. MEAT" xfId="24992"/>
    <cellStyle name="Note 7 2 2_est. MEAT" xfId="24993"/>
    <cellStyle name="Note 7 3_est. MEAT" xfId="24994"/>
    <cellStyle name="Note 70 2_est. MEAT" xfId="24995"/>
    <cellStyle name="Note 71 2_est. MEAT" xfId="24996"/>
    <cellStyle name="Note 72 2_est. MEAT" xfId="24997"/>
    <cellStyle name="Note 73 2_est. MEAT" xfId="24998"/>
    <cellStyle name="Note 74 2_est. MEAT" xfId="24999"/>
    <cellStyle name="Note 75 2_est. MEAT" xfId="25000"/>
    <cellStyle name="Note 76 2_est. MEAT" xfId="25001"/>
    <cellStyle name="Note 77 2_est. MEAT" xfId="25002"/>
    <cellStyle name="Note 78 2_est. MEAT" xfId="25003"/>
    <cellStyle name="Note 79 2_est. MEAT" xfId="25004"/>
    <cellStyle name="Note 8 2 2_est. MEAT" xfId="25005"/>
    <cellStyle name="Note 8 3_est. MEAT" xfId="25006"/>
    <cellStyle name="Note 80 2_est. MEAT" xfId="25007"/>
    <cellStyle name="Note 81 2_est. MEAT" xfId="25008"/>
    <cellStyle name="Note 82 2_est. MEAT" xfId="25009"/>
    <cellStyle name="Note 83 2_est. MEAT" xfId="25010"/>
    <cellStyle name="Note 84 2_est. MEAT" xfId="25011"/>
    <cellStyle name="Note 85 2_est. MEAT" xfId="25012"/>
    <cellStyle name="Note 86 2_est. MEAT" xfId="25013"/>
    <cellStyle name="Note 87 2_est. MEAT" xfId="25014"/>
    <cellStyle name="Note 88 2_est. MEAT" xfId="25015"/>
    <cellStyle name="Note 89 2_est. MEAT" xfId="25016"/>
    <cellStyle name="Note 9 2 2_est. MEAT" xfId="25017"/>
    <cellStyle name="Note 9 3_est. MEAT" xfId="25018"/>
    <cellStyle name="Note 90 2_est. MEAT" xfId="25019"/>
    <cellStyle name="Note 91 2_est. MEAT" xfId="25020"/>
    <cellStyle name="Note 92 2_est. MEAT" xfId="25021"/>
    <cellStyle name="Note 93 2_est. MEAT" xfId="25022"/>
    <cellStyle name="Note 94 2_est. MEAT" xfId="25023"/>
    <cellStyle name="Note 95 2_est. MEAT" xfId="25024"/>
    <cellStyle name="Note 96 2_est. MEAT" xfId="25025"/>
    <cellStyle name="Note 97 2_est. MEAT" xfId="25026"/>
    <cellStyle name="Note 98 2_est. MEAT" xfId="25027"/>
    <cellStyle name="Note 99 2_est. MEAT" xfId="25028"/>
    <cellStyle name="Note_AE 2014" xfId="25029"/>
    <cellStyle name="Notiz 10 2_est. MEAT" xfId="25030"/>
    <cellStyle name="Notiz 100 2_est. MEAT" xfId="25031"/>
    <cellStyle name="Notiz 101 2_est. MEAT" xfId="25032"/>
    <cellStyle name="Notiz 102 2_est. MEAT" xfId="25033"/>
    <cellStyle name="Notiz 103 2_est. MEAT" xfId="25034"/>
    <cellStyle name="Notiz 104 2_est. MEAT" xfId="25035"/>
    <cellStyle name="Notiz 105 2_est. MEAT" xfId="25036"/>
    <cellStyle name="Notiz 106 2_est. MEAT" xfId="25037"/>
    <cellStyle name="Notiz 107 2_est. MEAT" xfId="25038"/>
    <cellStyle name="Notiz 108 2_est. MEAT" xfId="25039"/>
    <cellStyle name="Notiz 109 2_est. MEAT" xfId="25040"/>
    <cellStyle name="Notiz 11 2_est. MEAT" xfId="25041"/>
    <cellStyle name="Notiz 110 2_est. MEAT" xfId="25042"/>
    <cellStyle name="Notiz 111 2_est. MEAT" xfId="25043"/>
    <cellStyle name="Notiz 112 2_est. MEAT" xfId="25044"/>
    <cellStyle name="Notiz 113 2_est. MEAT" xfId="25045"/>
    <cellStyle name="Notiz 114 2_est. MEAT" xfId="25046"/>
    <cellStyle name="Notiz 115 2_est. MEAT" xfId="25047"/>
    <cellStyle name="Notiz 116 2_est. MEAT" xfId="25048"/>
    <cellStyle name="Notiz 117 2_est. MEAT" xfId="25049"/>
    <cellStyle name="Notiz 118 2_est. MEAT" xfId="25050"/>
    <cellStyle name="Notiz 119 2_est. MEAT" xfId="25051"/>
    <cellStyle name="Notiz 12 2_est. MEAT" xfId="25052"/>
    <cellStyle name="Notiz 120 2_est. MEAT" xfId="25053"/>
    <cellStyle name="Notiz 121 2_est. MEAT" xfId="25054"/>
    <cellStyle name="Notiz 122 2_est. MEAT" xfId="25055"/>
    <cellStyle name="Notiz 123 2_est. MEAT" xfId="25056"/>
    <cellStyle name="Notiz 124 2_est. MEAT" xfId="25057"/>
    <cellStyle name="Notiz 125 2_est. MEAT" xfId="25058"/>
    <cellStyle name="Notiz 126 2_est. MEAT" xfId="25059"/>
    <cellStyle name="Notiz 127 2_est. MEAT" xfId="25060"/>
    <cellStyle name="Notiz 128 2_est. MEAT" xfId="25061"/>
    <cellStyle name="Notiz 129 2_est. MEAT" xfId="25062"/>
    <cellStyle name="Notiz 13 2_est. MEAT" xfId="25063"/>
    <cellStyle name="Notiz 130 2_est. MEAT" xfId="25064"/>
    <cellStyle name="Notiz 131 2_est. MEAT" xfId="25065"/>
    <cellStyle name="Notiz 132 2_est. MEAT" xfId="25066"/>
    <cellStyle name="Notiz 133 2_est. MEAT" xfId="25067"/>
    <cellStyle name="Notiz 134 2_est. MEAT" xfId="25068"/>
    <cellStyle name="Notiz 135 2_est. MEAT" xfId="25069"/>
    <cellStyle name="Notiz 136 2_est. MEAT" xfId="25070"/>
    <cellStyle name="Notiz 137 2_est. MEAT" xfId="25071"/>
    <cellStyle name="Notiz 138 2_est. MEAT" xfId="25072"/>
    <cellStyle name="Notiz 139 2_est. MEAT" xfId="25073"/>
    <cellStyle name="Notiz 14 2_est. MEAT" xfId="25074"/>
    <cellStyle name="Notiz 140 2_est. MEAT" xfId="25075"/>
    <cellStyle name="Notiz 141 2_est. MEAT" xfId="25076"/>
    <cellStyle name="Notiz 142 2_est. MEAT" xfId="25077"/>
    <cellStyle name="Notiz 143 2_est. MEAT" xfId="25078"/>
    <cellStyle name="Notiz 144 2_est. MEAT" xfId="25079"/>
    <cellStyle name="Notiz 145 2_est. MEAT" xfId="25080"/>
    <cellStyle name="Notiz 146 2_est. MEAT" xfId="25081"/>
    <cellStyle name="Notiz 147 2_est. MEAT" xfId="25082"/>
    <cellStyle name="Notiz 148 2_est. MEAT" xfId="25083"/>
    <cellStyle name="Notiz 149 2_est. MEAT" xfId="25084"/>
    <cellStyle name="Notiz 15 2 2_est. MEAT" xfId="25085"/>
    <cellStyle name="Notiz 15 3_est. MEAT" xfId="25086"/>
    <cellStyle name="Notiz 150 2_est. MEAT" xfId="25087"/>
    <cellStyle name="Notiz 151 2_est. MEAT" xfId="25088"/>
    <cellStyle name="Notiz 16 2 2_est. MEAT" xfId="25089"/>
    <cellStyle name="Notiz 16 3_est. MEAT" xfId="25090"/>
    <cellStyle name="Notiz 17 2 2_est. MEAT" xfId="25091"/>
    <cellStyle name="Notiz 17 3_est. MEAT" xfId="25092"/>
    <cellStyle name="Notiz 18 2 2_est. MEAT" xfId="25093"/>
    <cellStyle name="Notiz 18 3_est. MEAT" xfId="25094"/>
    <cellStyle name="Notiz 19 2 2_est. MEAT" xfId="25095"/>
    <cellStyle name="Notiz 19 3_est. MEAT" xfId="25096"/>
    <cellStyle name="Notiz 2 2 2_est. MEAT" xfId="25097"/>
    <cellStyle name="Notiz 2 3 2_est. MEAT" xfId="25098"/>
    <cellStyle name="Notiz 2 4 2_est. MEAT" xfId="25099"/>
    <cellStyle name="Notiz 2 5_est. MEAT" xfId="25100"/>
    <cellStyle name="Notiz 20 2 2_est. MEAT" xfId="25101"/>
    <cellStyle name="Notiz 20 3_est. MEAT" xfId="25102"/>
    <cellStyle name="Notiz 21 2 2_est. MEAT" xfId="25103"/>
    <cellStyle name="Notiz 21 3_est. MEAT" xfId="25104"/>
    <cellStyle name="Notiz 22 2 2_est. MEAT" xfId="25105"/>
    <cellStyle name="Notiz 22 3_est. MEAT" xfId="25106"/>
    <cellStyle name="Notiz 23 2 2_est. MEAT" xfId="25107"/>
    <cellStyle name="Notiz 23 3_est. MEAT" xfId="25108"/>
    <cellStyle name="Notiz 24 2 2_est. MEAT" xfId="25109"/>
    <cellStyle name="Notiz 24 3_est. MEAT" xfId="25110"/>
    <cellStyle name="Notiz 25 2 2_est. MEAT" xfId="25111"/>
    <cellStyle name="Notiz 25 3_est. MEAT" xfId="25112"/>
    <cellStyle name="Notiz 26 2 2_est. MEAT" xfId="25113"/>
    <cellStyle name="Notiz 26 3_est. MEAT" xfId="25114"/>
    <cellStyle name="Notiz 27 2 2_est. MEAT" xfId="25115"/>
    <cellStyle name="Notiz 27 3_est. MEAT" xfId="25116"/>
    <cellStyle name="Notiz 28 2 2_est. MEAT" xfId="25117"/>
    <cellStyle name="Notiz 28 3_est. MEAT" xfId="25118"/>
    <cellStyle name="Notiz 29 2 2_est. MEAT" xfId="25119"/>
    <cellStyle name="Notiz 29 3_est. MEAT" xfId="25120"/>
    <cellStyle name="Notiz 3 2 2_est. MEAT" xfId="25121"/>
    <cellStyle name="Notiz 3 3 2_est. MEAT" xfId="25122"/>
    <cellStyle name="Notiz 3 4 2_est. MEAT" xfId="25123"/>
    <cellStyle name="Notiz 3 5_est. MEAT" xfId="25124"/>
    <cellStyle name="Notiz 30 2 2_est. MEAT" xfId="25125"/>
    <cellStyle name="Notiz 30 3_est. MEAT" xfId="25126"/>
    <cellStyle name="Notiz 31 2 2_est. MEAT" xfId="25127"/>
    <cellStyle name="Notiz 31 3_est. MEAT" xfId="25128"/>
    <cellStyle name="Notiz 32 2 2_est. MEAT" xfId="25129"/>
    <cellStyle name="Notiz 32 3_est. MEAT" xfId="25130"/>
    <cellStyle name="Notiz 33 2 2_est. MEAT" xfId="25131"/>
    <cellStyle name="Notiz 33 3_est. MEAT" xfId="25132"/>
    <cellStyle name="Notiz 34 2 2_est. MEAT" xfId="25133"/>
    <cellStyle name="Notiz 34 3_est. MEAT" xfId="25134"/>
    <cellStyle name="Notiz 35 2 2_est. MEAT" xfId="25135"/>
    <cellStyle name="Notiz 35 3_est. MEAT" xfId="25136"/>
    <cellStyle name="Notiz 36 2 2_est. MEAT" xfId="25137"/>
    <cellStyle name="Notiz 36 3_est. MEAT" xfId="25138"/>
    <cellStyle name="Notiz 37 2 2_est. MEAT" xfId="25139"/>
    <cellStyle name="Notiz 37 3_est. MEAT" xfId="25140"/>
    <cellStyle name="Notiz 38 2 2_est. MEAT" xfId="25141"/>
    <cellStyle name="Notiz 38 3_est. MEAT" xfId="25142"/>
    <cellStyle name="Notiz 39 2 2_est. MEAT" xfId="25143"/>
    <cellStyle name="Notiz 39 3_est. MEAT" xfId="25144"/>
    <cellStyle name="Notiz 4 2 2_est. MEAT" xfId="25145"/>
    <cellStyle name="Notiz 4 3 2_est. MEAT" xfId="25146"/>
    <cellStyle name="Notiz 4 4 2_est. MEAT" xfId="25147"/>
    <cellStyle name="Notiz 4 5_est. MEAT" xfId="25148"/>
    <cellStyle name="Notiz 40 2 2_est. MEAT" xfId="25149"/>
    <cellStyle name="Notiz 40 3_est. MEAT" xfId="25150"/>
    <cellStyle name="Notiz 41 2 2_est. MEAT" xfId="25151"/>
    <cellStyle name="Notiz 41 3_est. MEAT" xfId="25152"/>
    <cellStyle name="Notiz 42 2 2_est. MEAT" xfId="25153"/>
    <cellStyle name="Notiz 42 3_est. MEAT" xfId="25154"/>
    <cellStyle name="Notiz 43 2 2_est. MEAT" xfId="25155"/>
    <cellStyle name="Notiz 43 3_est. MEAT" xfId="25156"/>
    <cellStyle name="Notiz 44 2 2_est. MEAT" xfId="25157"/>
    <cellStyle name="Notiz 44 3_est. MEAT" xfId="25158"/>
    <cellStyle name="Notiz 45 2 2_est. MEAT" xfId="25159"/>
    <cellStyle name="Notiz 45 3_est. MEAT" xfId="25160"/>
    <cellStyle name="Notiz 46 2 2_est. MEAT" xfId="25161"/>
    <cellStyle name="Notiz 46 3_est. MEAT" xfId="25162"/>
    <cellStyle name="Notiz 47 2 2_est. MEAT" xfId="25163"/>
    <cellStyle name="Notiz 47 3_est. MEAT" xfId="25164"/>
    <cellStyle name="Notiz 48 2 2_est. MEAT" xfId="25165"/>
    <cellStyle name="Notiz 48 3_est. MEAT" xfId="25166"/>
    <cellStyle name="Notiz 49 2 2_est. MEAT" xfId="25167"/>
    <cellStyle name="Notiz 49 3_est. MEAT" xfId="25168"/>
    <cellStyle name="Notiz 5 2 2_est. MEAT" xfId="25169"/>
    <cellStyle name="Notiz 5 3 2_est. MEAT" xfId="25170"/>
    <cellStyle name="Notiz 5 4 2_est. MEAT" xfId="25171"/>
    <cellStyle name="Notiz 5 5_est. MEAT" xfId="25172"/>
    <cellStyle name="Notiz 50 2 2_est. MEAT" xfId="25173"/>
    <cellStyle name="Notiz 50 3_est. MEAT" xfId="25174"/>
    <cellStyle name="Notiz 51 2 2_est. MEAT" xfId="25175"/>
    <cellStyle name="Notiz 51 3_est. MEAT" xfId="25176"/>
    <cellStyle name="Notiz 52 2 2_est. MEAT" xfId="25177"/>
    <cellStyle name="Notiz 52 3_est. MEAT" xfId="25178"/>
    <cellStyle name="Notiz 53 2 2_est. MEAT" xfId="25179"/>
    <cellStyle name="Notiz 53 3_est. MEAT" xfId="25180"/>
    <cellStyle name="Notiz 54 2 2_est. MEAT" xfId="25181"/>
    <cellStyle name="Notiz 54 3_est. MEAT" xfId="25182"/>
    <cellStyle name="Notiz 55 2 2_est. MEAT" xfId="25183"/>
    <cellStyle name="Notiz 55 3_est. MEAT" xfId="25184"/>
    <cellStyle name="Notiz 56 2 2_est. MEAT" xfId="25185"/>
    <cellStyle name="Notiz 56 3_est. MEAT" xfId="25186"/>
    <cellStyle name="Notiz 57 2 2_est. MEAT" xfId="25187"/>
    <cellStyle name="Notiz 57 3_est. MEAT" xfId="25188"/>
    <cellStyle name="Notiz 58 2 2_est. MEAT" xfId="25189"/>
    <cellStyle name="Notiz 58 3_est. MEAT" xfId="25190"/>
    <cellStyle name="Notiz 59 2 2_est. MEAT" xfId="25191"/>
    <cellStyle name="Notiz 59 3_est. MEAT" xfId="25192"/>
    <cellStyle name="Notiz 6 2_est. MEAT" xfId="25193"/>
    <cellStyle name="Notiz 60 2 2_est. MEAT" xfId="25194"/>
    <cellStyle name="Notiz 60 3_est. MEAT" xfId="25195"/>
    <cellStyle name="Notiz 61 2 2_est. MEAT" xfId="25196"/>
    <cellStyle name="Notiz 61 3_est. MEAT" xfId="25197"/>
    <cellStyle name="Notiz 62 2 2_est. MEAT" xfId="25198"/>
    <cellStyle name="Notiz 62 3_est. MEAT" xfId="25199"/>
    <cellStyle name="Notiz 63 2 2_est. MEAT" xfId="25200"/>
    <cellStyle name="Notiz 63 3_est. MEAT" xfId="25201"/>
    <cellStyle name="Notiz 64 2 2_est. MEAT" xfId="25202"/>
    <cellStyle name="Notiz 64 3_est. MEAT" xfId="25203"/>
    <cellStyle name="Notiz 65 2 2_est. MEAT" xfId="25204"/>
    <cellStyle name="Notiz 65 3_est. MEAT" xfId="25205"/>
    <cellStyle name="Notiz 66 2 2_est. MEAT" xfId="25206"/>
    <cellStyle name="Notiz 66 3_est. MEAT" xfId="25207"/>
    <cellStyle name="Notiz 67 2 2_est. MEAT" xfId="25208"/>
    <cellStyle name="Notiz 67 3_est. MEAT" xfId="25209"/>
    <cellStyle name="Notiz 68 2 2_est. MEAT" xfId="25210"/>
    <cellStyle name="Notiz 68 3_est. MEAT" xfId="25211"/>
    <cellStyle name="Notiz 69 2 2_est. MEAT" xfId="25212"/>
    <cellStyle name="Notiz 69 3_est. MEAT" xfId="25213"/>
    <cellStyle name="Notiz 7 2_est. MEAT" xfId="25214"/>
    <cellStyle name="Notiz 70 2 2_est. MEAT" xfId="25215"/>
    <cellStyle name="Notiz 70 3_est. MEAT" xfId="25216"/>
    <cellStyle name="Notiz 71 2 2_est. MEAT" xfId="25217"/>
    <cellStyle name="Notiz 71 3_est. MEAT" xfId="25218"/>
    <cellStyle name="Notiz 72 2 2_est. MEAT" xfId="25219"/>
    <cellStyle name="Notiz 72 3_est. MEAT" xfId="25220"/>
    <cellStyle name="Notiz 73 2 2_est. MEAT" xfId="25221"/>
    <cellStyle name="Notiz 73 3_est. MEAT" xfId="25222"/>
    <cellStyle name="Notiz 74 2 2_est. MEAT" xfId="25223"/>
    <cellStyle name="Notiz 74 3_est. MEAT" xfId="25224"/>
    <cellStyle name="Notiz 75 2 2_est. MEAT" xfId="25225"/>
    <cellStyle name="Notiz 75 3_est. MEAT" xfId="25226"/>
    <cellStyle name="Notiz 76 2 2_est. MEAT" xfId="25227"/>
    <cellStyle name="Notiz 76 3_est. MEAT" xfId="25228"/>
    <cellStyle name="Notiz 77 2 2_est. MEAT" xfId="25229"/>
    <cellStyle name="Notiz 77 3_est. MEAT" xfId="25230"/>
    <cellStyle name="Notiz 78 2 2_est. MEAT" xfId="25231"/>
    <cellStyle name="Notiz 78 3_est. MEAT" xfId="25232"/>
    <cellStyle name="Notiz 79 2 2_est. MEAT" xfId="25233"/>
    <cellStyle name="Notiz 79 3_est. MEAT" xfId="25234"/>
    <cellStyle name="Notiz 8 2_est. MEAT" xfId="25235"/>
    <cellStyle name="Notiz 80 2 2_est. MEAT" xfId="25236"/>
    <cellStyle name="Notiz 80 3_est. MEAT" xfId="25237"/>
    <cellStyle name="Notiz 81 2 2_est. MEAT" xfId="25238"/>
    <cellStyle name="Notiz 81 3_est. MEAT" xfId="25239"/>
    <cellStyle name="Notiz 82 2 2_est. MEAT" xfId="25240"/>
    <cellStyle name="Notiz 82 3_est. MEAT" xfId="25241"/>
    <cellStyle name="Notiz 83 2 2_est. MEAT" xfId="25242"/>
    <cellStyle name="Notiz 83 3_est. MEAT" xfId="25243"/>
    <cellStyle name="Notiz 84 2 2_est. MEAT" xfId="25244"/>
    <cellStyle name="Notiz 84 3_est. MEAT" xfId="25245"/>
    <cellStyle name="Notiz 85 2 2_est. MEAT" xfId="25246"/>
    <cellStyle name="Notiz 85 3_est. MEAT" xfId="25247"/>
    <cellStyle name="Notiz 86 2 2_est. MEAT" xfId="25248"/>
    <cellStyle name="Notiz 86 3_est. MEAT" xfId="25249"/>
    <cellStyle name="Notiz 87 2 2_est. MEAT" xfId="25250"/>
    <cellStyle name="Notiz 87 3_est. MEAT" xfId="25251"/>
    <cellStyle name="Notiz 88 2 2_est. MEAT" xfId="25252"/>
    <cellStyle name="Notiz 88 3_est. MEAT" xfId="25253"/>
    <cellStyle name="Notiz 89 2 2_est. MEAT" xfId="25254"/>
    <cellStyle name="Notiz 89 3_est. MEAT" xfId="25255"/>
    <cellStyle name="Notiz 9 2_est. MEAT" xfId="25256"/>
    <cellStyle name="Notiz 90 2 2_est. MEAT" xfId="25257"/>
    <cellStyle name="Notiz 90 3_est. MEAT" xfId="25258"/>
    <cellStyle name="Notiz 91 2_est. MEAT" xfId="25259"/>
    <cellStyle name="Notiz 92 2_est. MEAT" xfId="25260"/>
    <cellStyle name="Notiz 93 2_est. MEAT" xfId="25261"/>
    <cellStyle name="Notiz 94 2_est. MEAT" xfId="25262"/>
    <cellStyle name="Notiz 95 2_est. MEAT" xfId="25263"/>
    <cellStyle name="Notiz 96 2_est. MEAT" xfId="25264"/>
    <cellStyle name="Notiz 97 2_est. MEAT" xfId="25265"/>
    <cellStyle name="Notiz 98 2_est. MEAT" xfId="25266"/>
    <cellStyle name="Notiz 99 2_est. MEAT" xfId="25267"/>
    <cellStyle name="Output 2_est. MEAT" xfId="25268"/>
    <cellStyle name="Percent 2_est. MEAT" xfId="25269"/>
    <cellStyle name="Percent 3_est. MEAT" xfId="25270"/>
    <cellStyle name="Promille(0)_est. MEAT" xfId="25271"/>
    <cellStyle name="Promille(0,00)_est. MEAT" xfId="25272"/>
    <cellStyle name="Prozent 2 2_est. MEAT" xfId="25273"/>
    <cellStyle name="Prozent 3 2_est. MEAT" xfId="25274"/>
    <cellStyle name="Prozent 3 3_est. MEAT" xfId="25275"/>
    <cellStyle name="Prozent 4_est. MEAT" xfId="25276"/>
    <cellStyle name="Prozent(0)_est. MEAT" xfId="25277"/>
    <cellStyle name="Prozent(0,00)_est. MEAT" xfId="25278"/>
    <cellStyle name="SAPBEXaggData_est. MEAT" xfId="25279"/>
    <cellStyle name="SAPBEXaggDataEmph_est. MEAT" xfId="25280"/>
    <cellStyle name="SAPBEXaggItem_est. MEAT" xfId="25281"/>
    <cellStyle name="SAPBEXaggItemX_est. MEAT" xfId="25282"/>
    <cellStyle name="SAPBEXchaText_est. MEAT" xfId="25283"/>
    <cellStyle name="SAPBEXexcBad7_est. MEAT" xfId="25284"/>
    <cellStyle name="SAPBEXexcBad8_est. MEAT" xfId="25285"/>
    <cellStyle name="SAPBEXexcBad9_est. MEAT" xfId="25286"/>
    <cellStyle name="SAPBEXexcCritical4_est. MEAT" xfId="25287"/>
    <cellStyle name="SAPBEXexcCritical5_est. MEAT" xfId="25288"/>
    <cellStyle name="SAPBEXexcCritical6_est. MEAT" xfId="25289"/>
    <cellStyle name="SAPBEXexcGood1_est. MEAT" xfId="25290"/>
    <cellStyle name="SAPBEXexcGood2_est. MEAT" xfId="25291"/>
    <cellStyle name="SAPBEXexcGood3_est. MEAT" xfId="25292"/>
    <cellStyle name="SAPBEXfilterDrill_est. MEAT" xfId="25293"/>
    <cellStyle name="SAPBEXfilterItem_est. MEAT" xfId="25294"/>
    <cellStyle name="SAPBEXfilterText_est. MEAT" xfId="25295"/>
    <cellStyle name="SAPBEXformats_est. MEAT" xfId="25296"/>
    <cellStyle name="SAPBEXheaderItem_est. MEAT" xfId="25297"/>
    <cellStyle name="SAPBEXheaderText_est. MEAT" xfId="25298"/>
    <cellStyle name="SAPBEXHLevel0_est. MEAT" xfId="25299"/>
    <cellStyle name="SAPBEXHLevel0X_est. MEAT" xfId="25300"/>
    <cellStyle name="SAPBEXHLevel1_est. MEAT" xfId="25301"/>
    <cellStyle name="SAPBEXHLevel1X_est. MEAT" xfId="25302"/>
    <cellStyle name="SAPBEXHLevel2_est. MEAT" xfId="25303"/>
    <cellStyle name="SAPBEXHLevel2X_est. MEAT" xfId="25304"/>
    <cellStyle name="SAPBEXHLevel3_est. MEAT" xfId="25305"/>
    <cellStyle name="SAPBEXHLevel3X_est. MEAT" xfId="25306"/>
    <cellStyle name="SAPBEXresData_est. MEAT" xfId="25307"/>
    <cellStyle name="SAPBEXresDataEmph_est. MEAT" xfId="25308"/>
    <cellStyle name="SAPBEXresItem_est. MEAT" xfId="25309"/>
    <cellStyle name="SAPBEXresItemX_est. MEAT" xfId="25310"/>
    <cellStyle name="SAPBEXstdData_est. MEAT" xfId="25311"/>
    <cellStyle name="SAPBEXstdDataEmph_est. MEAT" xfId="25312"/>
    <cellStyle name="SAPBEXstdItem_est. MEAT" xfId="25313"/>
    <cellStyle name="SAPBEXstdItemX_est. MEAT" xfId="25314"/>
    <cellStyle name="SAPBEXtitle_est. MEAT" xfId="25315"/>
    <cellStyle name="SAPBEXundefined_est. MEAT" xfId="25316"/>
    <cellStyle name="Schlecht 10 2_est. MEAT" xfId="25317"/>
    <cellStyle name="Schlecht 100_est. MEAT" xfId="25318"/>
    <cellStyle name="Schlecht 101_est. MEAT" xfId="25319"/>
    <cellStyle name="Schlecht 102_est. MEAT" xfId="25320"/>
    <cellStyle name="Schlecht 103_est. MEAT" xfId="25321"/>
    <cellStyle name="Schlecht 104_est. MEAT" xfId="25322"/>
    <cellStyle name="Schlecht 105_est. MEAT" xfId="25323"/>
    <cellStyle name="Schlecht 106_est. MEAT" xfId="25324"/>
    <cellStyle name="Schlecht 107_est. MEAT" xfId="25325"/>
    <cellStyle name="Schlecht 108_est. MEAT" xfId="25326"/>
    <cellStyle name="Schlecht 109_est. MEAT" xfId="25327"/>
    <cellStyle name="Schlecht 11 2_est. MEAT" xfId="25328"/>
    <cellStyle name="Schlecht 110_est. MEAT" xfId="25329"/>
    <cellStyle name="Schlecht 111_est. MEAT" xfId="25330"/>
    <cellStyle name="Schlecht 112_est. MEAT" xfId="25331"/>
    <cellStyle name="Schlecht 113_est. MEAT" xfId="25332"/>
    <cellStyle name="Schlecht 114_est. MEAT" xfId="25333"/>
    <cellStyle name="Schlecht 115_est. MEAT" xfId="25334"/>
    <cellStyle name="Schlecht 116_est. MEAT" xfId="25335"/>
    <cellStyle name="Schlecht 117_est. MEAT" xfId="25336"/>
    <cellStyle name="Schlecht 118_est. MEAT" xfId="25337"/>
    <cellStyle name="Schlecht 119_est. MEAT" xfId="25338"/>
    <cellStyle name="Schlecht 12 2_est. MEAT" xfId="25339"/>
    <cellStyle name="Schlecht 120_est. MEAT" xfId="25340"/>
    <cellStyle name="Schlecht 121_est. MEAT" xfId="25341"/>
    <cellStyle name="Schlecht 122_est. MEAT" xfId="25342"/>
    <cellStyle name="Schlecht 123_est. MEAT" xfId="25343"/>
    <cellStyle name="Schlecht 124_est. MEAT" xfId="25344"/>
    <cellStyle name="Schlecht 125_est. MEAT" xfId="25345"/>
    <cellStyle name="Schlecht 126_est. MEAT" xfId="25346"/>
    <cellStyle name="Schlecht 127_est. MEAT" xfId="25347"/>
    <cellStyle name="Schlecht 128_est. MEAT" xfId="25348"/>
    <cellStyle name="Schlecht 129_est. MEAT" xfId="25349"/>
    <cellStyle name="Schlecht 13 2_est. MEAT" xfId="25350"/>
    <cellStyle name="Schlecht 130_est. MEAT" xfId="25351"/>
    <cellStyle name="Schlecht 131_est. MEAT" xfId="25352"/>
    <cellStyle name="Schlecht 132_est. MEAT" xfId="25353"/>
    <cellStyle name="Schlecht 133_est. MEAT" xfId="25354"/>
    <cellStyle name="Schlecht 134_est. MEAT" xfId="25355"/>
    <cellStyle name="Schlecht 135_est. MEAT" xfId="25356"/>
    <cellStyle name="Schlecht 136_est. MEAT" xfId="25357"/>
    <cellStyle name="Schlecht 137_est. MEAT" xfId="25358"/>
    <cellStyle name="Schlecht 138_est. MEAT" xfId="25359"/>
    <cellStyle name="Schlecht 139_est. MEAT" xfId="25360"/>
    <cellStyle name="Schlecht 14 2_est. MEAT" xfId="25361"/>
    <cellStyle name="Schlecht 140_est. MEAT" xfId="25362"/>
    <cellStyle name="Schlecht 141_est. MEAT" xfId="25363"/>
    <cellStyle name="Schlecht 142_est. MEAT" xfId="25364"/>
    <cellStyle name="Schlecht 143_est. MEAT" xfId="25365"/>
    <cellStyle name="Schlecht 144_est. MEAT" xfId="25366"/>
    <cellStyle name="Schlecht 145_est. MEAT" xfId="25367"/>
    <cellStyle name="Schlecht 146_est. MEAT" xfId="25368"/>
    <cellStyle name="Schlecht 147_est. MEAT" xfId="25369"/>
    <cellStyle name="Schlecht 148_est. MEAT" xfId="25370"/>
    <cellStyle name="Schlecht 149_est. MEAT" xfId="25371"/>
    <cellStyle name="Schlecht 15_est. MEAT" xfId="25372"/>
    <cellStyle name="Schlecht 150_est. MEAT" xfId="25373"/>
    <cellStyle name="Schlecht 151_est. MEAT" xfId="25374"/>
    <cellStyle name="Schlecht 16_est. MEAT" xfId="25375"/>
    <cellStyle name="Schlecht 17_est. MEAT" xfId="25376"/>
    <cellStyle name="Schlecht 18_est. MEAT" xfId="25377"/>
    <cellStyle name="Schlecht 19_est. MEAT" xfId="25378"/>
    <cellStyle name="Schlecht 2 2_est. MEAT" xfId="25379"/>
    <cellStyle name="Schlecht 20_est. MEAT" xfId="25380"/>
    <cellStyle name="Schlecht 21_est. MEAT" xfId="25381"/>
    <cellStyle name="Schlecht 22_est. MEAT" xfId="25382"/>
    <cellStyle name="Schlecht 23_est. MEAT" xfId="25383"/>
    <cellStyle name="Schlecht 24_est. MEAT" xfId="25384"/>
    <cellStyle name="Schlecht 25_est. MEAT" xfId="25385"/>
    <cellStyle name="Schlecht 26_est. MEAT" xfId="25386"/>
    <cellStyle name="Schlecht 27_est. MEAT" xfId="25387"/>
    <cellStyle name="Schlecht 28_est. MEAT" xfId="25388"/>
    <cellStyle name="Schlecht 29_est. MEAT" xfId="25389"/>
    <cellStyle name="Schlecht 3 2_est. MEAT" xfId="25390"/>
    <cellStyle name="Schlecht 30_est. MEAT" xfId="25391"/>
    <cellStyle name="Schlecht 31_est. MEAT" xfId="25392"/>
    <cellStyle name="Schlecht 32_est. MEAT" xfId="25393"/>
    <cellStyle name="Schlecht 33_est. MEAT" xfId="25394"/>
    <cellStyle name="Schlecht 34_est. MEAT" xfId="25395"/>
    <cellStyle name="Schlecht 35_est. MEAT" xfId="25396"/>
    <cellStyle name="Schlecht 36_est. MEAT" xfId="25397"/>
    <cellStyle name="Schlecht 37_est. MEAT" xfId="25398"/>
    <cellStyle name="Schlecht 38_est. MEAT" xfId="25399"/>
    <cellStyle name="Schlecht 39_est. MEAT" xfId="25400"/>
    <cellStyle name="Schlecht 4 2_est. MEAT" xfId="25401"/>
    <cellStyle name="Schlecht 40_est. MEAT" xfId="25402"/>
    <cellStyle name="Schlecht 41_est. MEAT" xfId="25403"/>
    <cellStyle name="Schlecht 42_est. MEAT" xfId="25404"/>
    <cellStyle name="Schlecht 43_est. MEAT" xfId="25405"/>
    <cellStyle name="Schlecht 44_est. MEAT" xfId="25406"/>
    <cellStyle name="Schlecht 45_est. MEAT" xfId="25407"/>
    <cellStyle name="Schlecht 46_est. MEAT" xfId="25408"/>
    <cellStyle name="Schlecht 47_est. MEAT" xfId="25409"/>
    <cellStyle name="Schlecht 48_est. MEAT" xfId="25410"/>
    <cellStyle name="Schlecht 49_est. MEAT" xfId="25411"/>
    <cellStyle name="Schlecht 5 2_est. MEAT" xfId="25412"/>
    <cellStyle name="Schlecht 50_est. MEAT" xfId="25413"/>
    <cellStyle name="Schlecht 51_est. MEAT" xfId="25414"/>
    <cellStyle name="Schlecht 52_est. MEAT" xfId="25415"/>
    <cellStyle name="Schlecht 53_est. MEAT" xfId="25416"/>
    <cellStyle name="Schlecht 54_est. MEAT" xfId="25417"/>
    <cellStyle name="Schlecht 55_est. MEAT" xfId="25418"/>
    <cellStyle name="Schlecht 56_est. MEAT" xfId="25419"/>
    <cellStyle name="Schlecht 57_est. MEAT" xfId="25420"/>
    <cellStyle name="Schlecht 58_est. MEAT" xfId="25421"/>
    <cellStyle name="Schlecht 59_est. MEAT" xfId="25422"/>
    <cellStyle name="Schlecht 6 2_est. MEAT" xfId="25423"/>
    <cellStyle name="Schlecht 60_est. MEAT" xfId="25424"/>
    <cellStyle name="Schlecht 61_est. MEAT" xfId="25425"/>
    <cellStyle name="Schlecht 62_est. MEAT" xfId="25426"/>
    <cellStyle name="Schlecht 63_est. MEAT" xfId="25427"/>
    <cellStyle name="Schlecht 64_est. MEAT" xfId="25428"/>
    <cellStyle name="Schlecht 65_est. MEAT" xfId="25429"/>
    <cellStyle name="Schlecht 66_est. MEAT" xfId="25430"/>
    <cellStyle name="Schlecht 67_est. MEAT" xfId="25431"/>
    <cellStyle name="Schlecht 68_est. MEAT" xfId="25432"/>
    <cellStyle name="Schlecht 69_est. MEAT" xfId="25433"/>
    <cellStyle name="Schlecht 7 2_est. MEAT" xfId="25434"/>
    <cellStyle name="Schlecht 70_est. MEAT" xfId="25435"/>
    <cellStyle name="Schlecht 71_est. MEAT" xfId="25436"/>
    <cellStyle name="Schlecht 72_est. MEAT" xfId="25437"/>
    <cellStyle name="Schlecht 73_est. MEAT" xfId="25438"/>
    <cellStyle name="Schlecht 74_est. MEAT" xfId="25439"/>
    <cellStyle name="Schlecht 75_est. MEAT" xfId="25440"/>
    <cellStyle name="Schlecht 76_est. MEAT" xfId="25441"/>
    <cellStyle name="Schlecht 77_est. MEAT" xfId="25442"/>
    <cellStyle name="Schlecht 78_est. MEAT" xfId="25443"/>
    <cellStyle name="Schlecht 79_est. MEAT" xfId="25444"/>
    <cellStyle name="Schlecht 8 2_est. MEAT" xfId="25445"/>
    <cellStyle name="Schlecht 80_est. MEAT" xfId="25446"/>
    <cellStyle name="Schlecht 81_est. MEAT" xfId="25447"/>
    <cellStyle name="Schlecht 82_est. MEAT" xfId="25448"/>
    <cellStyle name="Schlecht 83_est. MEAT" xfId="25449"/>
    <cellStyle name="Schlecht 84_est. MEAT" xfId="25450"/>
    <cellStyle name="Schlecht 85_est. MEAT" xfId="25451"/>
    <cellStyle name="Schlecht 86_est. MEAT" xfId="25452"/>
    <cellStyle name="Schlecht 87_est. MEAT" xfId="25453"/>
    <cellStyle name="Schlecht 88_est. MEAT" xfId="25454"/>
    <cellStyle name="Schlecht 89_est. MEAT" xfId="25455"/>
    <cellStyle name="Schlecht 9 2_est. MEAT" xfId="25456"/>
    <cellStyle name="Schlecht 90_est. MEAT" xfId="25457"/>
    <cellStyle name="Schlecht 91_est. MEAT" xfId="25458"/>
    <cellStyle name="Schlecht 92_est. MEAT" xfId="25459"/>
    <cellStyle name="Schlecht 93_est. MEAT" xfId="25460"/>
    <cellStyle name="Schlecht 94_est. MEAT" xfId="25461"/>
    <cellStyle name="Schlecht 95_est. MEAT" xfId="25462"/>
    <cellStyle name="Schlecht 96_est. MEAT" xfId="25463"/>
    <cellStyle name="Schlecht 97_est. MEAT" xfId="25464"/>
    <cellStyle name="Schlecht 98_est. MEAT" xfId="25465"/>
    <cellStyle name="Schlecht 99_est. MEAT" xfId="25466"/>
    <cellStyle name="Standard 10 2_est. MEAT" xfId="25467"/>
    <cellStyle name="Standard 10 3_est. MEAT" xfId="25468"/>
    <cellStyle name="Standard 10 4 2 2_est. MEAT" xfId="25469"/>
    <cellStyle name="Standard 10 4 3 2_est. MEAT" xfId="25470"/>
    <cellStyle name="Standard 10 4 4_est. MEAT" xfId="25471"/>
    <cellStyle name="Standard 10 4 5_est. MEAT" xfId="25472"/>
    <cellStyle name="Standard 10 5 2_est. MEAT" xfId="25473"/>
    <cellStyle name="Standard 10 6_est. MEAT" xfId="25474"/>
    <cellStyle name="Standard 10 7_est. MEAT" xfId="25475"/>
    <cellStyle name="Standard 10 8_est. MEAT" xfId="25476"/>
    <cellStyle name="Standard 100_est. MEAT" xfId="25477"/>
    <cellStyle name="Standard 101_est. MEAT" xfId="25478"/>
    <cellStyle name="Standard 102_est. MEAT" xfId="25479"/>
    <cellStyle name="Standard 103_est. MEAT" xfId="25480"/>
    <cellStyle name="Standard 104_est. MEAT" xfId="25481"/>
    <cellStyle name="Standard 105_est. MEAT" xfId="25482"/>
    <cellStyle name="Standard 106_est. MEAT" xfId="25483"/>
    <cellStyle name="Standard 107_est. MEAT" xfId="25484"/>
    <cellStyle name="Standard 108_est. MEAT" xfId="25485"/>
    <cellStyle name="Standard 109_est. MEAT" xfId="25486"/>
    <cellStyle name="Standard 11 2 2_est. MEAT" xfId="25487"/>
    <cellStyle name="Standard 11 3_est. MEAT" xfId="25488"/>
    <cellStyle name="Standard 11 4 2_est. MEAT" xfId="25489"/>
    <cellStyle name="Standard 11 5_est. MEAT" xfId="25490"/>
    <cellStyle name="Standard 110_est. MEAT" xfId="25491"/>
    <cellStyle name="Standard 111_est. MEAT" xfId="25492"/>
    <cellStyle name="Standard 112_est. MEAT" xfId="25493"/>
    <cellStyle name="Standard 113_est. MEAT" xfId="25494"/>
    <cellStyle name="Standard 114_est. MEAT" xfId="25495"/>
    <cellStyle name="Standard 115_est. MEAT" xfId="25496"/>
    <cellStyle name="Standard 116_est. MEAT" xfId="25497"/>
    <cellStyle name="Standard 117_est. MEAT" xfId="25498"/>
    <cellStyle name="Standard 118_est. MEAT" xfId="25499"/>
    <cellStyle name="Standard 119_est. MEAT" xfId="25500"/>
    <cellStyle name="Standard 12 2_est. MEAT" xfId="25501"/>
    <cellStyle name="Standard 12 3_est. MEAT" xfId="25502"/>
    <cellStyle name="Standard 12 4 2 2_est. MEAT" xfId="25503"/>
    <cellStyle name="Standard 12 4 3_est. MEAT" xfId="25504"/>
    <cellStyle name="Standard 12 5_est. MEAT" xfId="25505"/>
    <cellStyle name="Standard 12 6_est. MEAT" xfId="25506"/>
    <cellStyle name="Standard 120_est. MEAT" xfId="25507"/>
    <cellStyle name="Standard 121_est. MEAT" xfId="25508"/>
    <cellStyle name="Standard 122_est. MEAT" xfId="25509"/>
    <cellStyle name="Standard 123_est. MEAT" xfId="25510"/>
    <cellStyle name="Standard 124_est. MEAT" xfId="25511"/>
    <cellStyle name="Standard 125_est. MEAT" xfId="25512"/>
    <cellStyle name="Standard 126_est. MEAT" xfId="25513"/>
    <cellStyle name="Standard 127_est. MEAT" xfId="25514"/>
    <cellStyle name="Standard 128_est. MEAT" xfId="25515"/>
    <cellStyle name="Standard 129_est. MEAT" xfId="25516"/>
    <cellStyle name="Standard 13 2_est. MEAT" xfId="25517"/>
    <cellStyle name="Standard 13 3_est. MEAT" xfId="25518"/>
    <cellStyle name="Standard 13 4 2 2_est. MEAT" xfId="25519"/>
    <cellStyle name="Standard 13 4 3_est. MEAT" xfId="25520"/>
    <cellStyle name="Standard 13 5_est. MEAT" xfId="25521"/>
    <cellStyle name="Standard 13 6_est. MEAT" xfId="25522"/>
    <cellStyle name="Standard 131 2_est. MEAT" xfId="25523"/>
    <cellStyle name="Standard 132_est. MEAT" xfId="25524"/>
    <cellStyle name="Standard 14 2_est. MEAT" xfId="25525"/>
    <cellStyle name="Standard 15 2_est. MEAT" xfId="25526"/>
    <cellStyle name="Standard 15 3 2_est. MEAT" xfId="25527"/>
    <cellStyle name="Standard 15 4_est. MEAT" xfId="25528"/>
    <cellStyle name="Standard 16 2 2_est. MEAT" xfId="25529"/>
    <cellStyle name="Standard 16 3_est. MEAT" xfId="25530"/>
    <cellStyle name="Standard 17 2 2_est. MEAT" xfId="25531"/>
    <cellStyle name="Standard 17 3_est. MEAT" xfId="25532"/>
    <cellStyle name="Standard 18 2 2_est. MEAT" xfId="25533"/>
    <cellStyle name="Standard 18 3_est. MEAT" xfId="25534"/>
    <cellStyle name="Standard 19 2 2_est. MEAT" xfId="25535"/>
    <cellStyle name="Standard 19 3_est. MEAT" xfId="25536"/>
    <cellStyle name="Standard 2 2 2 2_est. MEAT" xfId="25537"/>
    <cellStyle name="Standard 2 2 3_est. MEAT" xfId="25538"/>
    <cellStyle name="Standard 2 3 2 2_est. MEAT" xfId="25539"/>
    <cellStyle name="Standard 2 3 3_est. MEAT" xfId="25540"/>
    <cellStyle name="Standard 2 4 2 2_est. MEAT" xfId="25541"/>
    <cellStyle name="Standard 2 4 3_est. MEAT" xfId="25542"/>
    <cellStyle name="Standard 2 5 2_est. MEAT" xfId="25543"/>
    <cellStyle name="Standard 2 6 2 2_est. MEAT" xfId="25544"/>
    <cellStyle name="Standard 2 6 3_est. MEAT" xfId="25545"/>
    <cellStyle name="Standard 2 7_est. MEAT" xfId="25546"/>
    <cellStyle name="Standard 2 8_est. MEAT" xfId="25547"/>
    <cellStyle name="Standard 20 2 2_est. MEAT" xfId="25548"/>
    <cellStyle name="Standard 20 3_est. MEAT" xfId="25549"/>
    <cellStyle name="Standard 21 2 2_est. MEAT" xfId="25550"/>
    <cellStyle name="Standard 21 3_est. MEAT" xfId="25551"/>
    <cellStyle name="Standard 22 2 2_est. MEAT" xfId="25552"/>
    <cellStyle name="Standard 22 3_est. MEAT" xfId="25553"/>
    <cellStyle name="Standard 23 2 2_est. MEAT" xfId="25554"/>
    <cellStyle name="Standard 23 3_est. MEAT" xfId="25555"/>
    <cellStyle name="Standard 24 2 2_est. MEAT" xfId="25556"/>
    <cellStyle name="Standard 24 3_est. MEAT" xfId="25557"/>
    <cellStyle name="Standard 25 2 2_est. MEAT" xfId="25558"/>
    <cellStyle name="Standard 25 3_est. MEAT" xfId="25559"/>
    <cellStyle name="Standard 26 2 2_est. MEAT" xfId="25560"/>
    <cellStyle name="Standard 26 3_est. MEAT" xfId="25561"/>
    <cellStyle name="Standard 27 2 2_est. MEAT" xfId="25562"/>
    <cellStyle name="Standard 27 3_est. MEAT" xfId="25563"/>
    <cellStyle name="Standard 28 2 2_est. MEAT" xfId="25564"/>
    <cellStyle name="Standard 28 3_est. MEAT" xfId="25565"/>
    <cellStyle name="Standard 29 2 2_est. MEAT" xfId="25566"/>
    <cellStyle name="Standard 29 3_est. MEAT" xfId="25567"/>
    <cellStyle name="Standard 3 2_est. MEAT" xfId="25568"/>
    <cellStyle name="Standard 3 3_est. MEAT" xfId="25569"/>
    <cellStyle name="Standard 3 4 2_est. MEAT" xfId="25570"/>
    <cellStyle name="Standard 3 5_est. MEAT" xfId="25571"/>
    <cellStyle name="Standard 30 2 2_est. MEAT" xfId="25572"/>
    <cellStyle name="Standard 30 3_est. MEAT" xfId="25573"/>
    <cellStyle name="Standard 31 2 2_est. MEAT" xfId="25574"/>
    <cellStyle name="Standard 31 3_est. MEAT" xfId="25575"/>
    <cellStyle name="Standard 32 2 2_est. MEAT" xfId="25576"/>
    <cellStyle name="Standard 32 3_est. MEAT" xfId="25577"/>
    <cellStyle name="Standard 33 2 2_est. MEAT" xfId="25578"/>
    <cellStyle name="Standard 33 3_est. MEAT" xfId="25579"/>
    <cellStyle name="Standard 34 2 2_est. MEAT" xfId="25580"/>
    <cellStyle name="Standard 34 3_est. MEAT" xfId="25581"/>
    <cellStyle name="Standard 35 2 2_est. MEAT" xfId="25582"/>
    <cellStyle name="Standard 35 3_est. MEAT" xfId="25583"/>
    <cellStyle name="Standard 36 2 2_est. MEAT" xfId="25584"/>
    <cellStyle name="Standard 36 3_est. MEAT" xfId="25585"/>
    <cellStyle name="Standard 37 2 2_est. MEAT" xfId="25586"/>
    <cellStyle name="Standard 37 3_est. MEAT" xfId="25587"/>
    <cellStyle name="Standard 38 2 2_est. MEAT" xfId="25588"/>
    <cellStyle name="Standard 38 3_est. MEAT" xfId="25589"/>
    <cellStyle name="Standard 39 2 2_est. MEAT" xfId="25590"/>
    <cellStyle name="Standard 39 3_est. MEAT" xfId="25591"/>
    <cellStyle name="Standard 4 2_est. MEAT" xfId="25592"/>
    <cellStyle name="Standard 4 3_est. MEAT" xfId="25593"/>
    <cellStyle name="Standard 4 4 2_est. MEAT" xfId="25594"/>
    <cellStyle name="Standard 4 5_est. MEAT" xfId="25595"/>
    <cellStyle name="Standard 40 2 2_est. MEAT" xfId="25596"/>
    <cellStyle name="Standard 40 3_est. MEAT" xfId="25597"/>
    <cellStyle name="Standard 41 2 2_est. MEAT" xfId="25598"/>
    <cellStyle name="Standard 41 3_est. MEAT" xfId="25599"/>
    <cellStyle name="Standard 42 2 2_est. MEAT" xfId="25600"/>
    <cellStyle name="Standard 42 3_est. MEAT" xfId="25601"/>
    <cellStyle name="Standard 43 2 2_est. MEAT" xfId="25602"/>
    <cellStyle name="Standard 43 3_est. MEAT" xfId="25603"/>
    <cellStyle name="Standard 44 2 2_est. MEAT" xfId="25604"/>
    <cellStyle name="Standard 44 3_est. MEAT" xfId="25605"/>
    <cellStyle name="Standard 45 2 2_est. MEAT" xfId="25606"/>
    <cellStyle name="Standard 45 3_est. MEAT" xfId="25607"/>
    <cellStyle name="Standard 46 2 2_est. MEAT" xfId="25608"/>
    <cellStyle name="Standard 46 3_est. MEAT" xfId="25609"/>
    <cellStyle name="Standard 47 2 2_est. MEAT" xfId="25610"/>
    <cellStyle name="Standard 47 3_est. MEAT" xfId="25611"/>
    <cellStyle name="Standard 48 2 2_est. MEAT" xfId="25612"/>
    <cellStyle name="Standard 48 3_est. MEAT" xfId="25613"/>
    <cellStyle name="Standard 49 2 2_est. MEAT" xfId="25614"/>
    <cellStyle name="Standard 49 3_est. MEAT" xfId="25615"/>
    <cellStyle name="Standard 5 2_est. MEAT" xfId="25616"/>
    <cellStyle name="Standard 5 3_est. MEAT" xfId="25617"/>
    <cellStyle name="Standard 5 4 2_est. MEAT" xfId="25618"/>
    <cellStyle name="Standard 5 5_est. MEAT" xfId="25619"/>
    <cellStyle name="Standard 50 2 2_est. MEAT" xfId="25620"/>
    <cellStyle name="Standard 50 3_est. MEAT" xfId="25621"/>
    <cellStyle name="Standard 51 2 2_est. MEAT" xfId="25622"/>
    <cellStyle name="Standard 51 3_est. MEAT" xfId="25623"/>
    <cellStyle name="Standard 52 2 2_est. MEAT" xfId="25624"/>
    <cellStyle name="Standard 52 3_est. MEAT" xfId="25625"/>
    <cellStyle name="Standard 53 2 2_est. MEAT" xfId="25626"/>
    <cellStyle name="Standard 53 3_est. MEAT" xfId="25627"/>
    <cellStyle name="Standard 54 2 2_est. MEAT" xfId="25628"/>
    <cellStyle name="Standard 54 3_est. MEAT" xfId="25629"/>
    <cellStyle name="Standard 55_est. MEAT" xfId="25630"/>
    <cellStyle name="Standard 56 2 2_est. MEAT" xfId="25631"/>
    <cellStyle name="Standard 56 3_est. MEAT" xfId="25632"/>
    <cellStyle name="Standard 57 2 2_est. MEAT" xfId="25633"/>
    <cellStyle name="Standard 57 3_est. MEAT" xfId="25634"/>
    <cellStyle name="Standard 58 2 2_est. MEAT" xfId="25635"/>
    <cellStyle name="Standard 58 3_est. MEAT" xfId="25636"/>
    <cellStyle name="Standard 59 2 2_est. MEAT" xfId="25637"/>
    <cellStyle name="Standard 59 3_est. MEAT" xfId="25638"/>
    <cellStyle name="Standard 6 2_est. MEAT" xfId="25639"/>
    <cellStyle name="Standard 6 3_est. MEAT" xfId="25640"/>
    <cellStyle name="Standard 6 4 2_est. MEAT" xfId="25641"/>
    <cellStyle name="Standard 6 5_est. MEAT" xfId="25642"/>
    <cellStyle name="Standard 60 2 2_est. MEAT" xfId="25643"/>
    <cellStyle name="Standard 60 3_est. MEAT" xfId="25644"/>
    <cellStyle name="Standard 61 2 2_est. MEAT" xfId="25645"/>
    <cellStyle name="Standard 61 3_est. MEAT" xfId="25646"/>
    <cellStyle name="Standard 62 2 2_est. MEAT" xfId="25647"/>
    <cellStyle name="Standard 62 3_est. MEAT" xfId="25648"/>
    <cellStyle name="Standard 63 2 2_est. MEAT" xfId="25649"/>
    <cellStyle name="Standard 63 3_est. MEAT" xfId="25650"/>
    <cellStyle name="Standard 64 2 2_est. MEAT" xfId="25651"/>
    <cellStyle name="Standard 64 3_est. MEAT" xfId="25652"/>
    <cellStyle name="Standard 65 2 2_est. MEAT" xfId="25653"/>
    <cellStyle name="Standard 65 3_est. MEAT" xfId="25654"/>
    <cellStyle name="Standard 66 2 2_est. MEAT" xfId="25655"/>
    <cellStyle name="Standard 66 3_est. MEAT" xfId="25656"/>
    <cellStyle name="Standard 67 2 2_est. MEAT" xfId="25657"/>
    <cellStyle name="Standard 67 3_est. MEAT" xfId="25658"/>
    <cellStyle name="Standard 68 2 2_est. MEAT" xfId="25659"/>
    <cellStyle name="Standard 68 3_est. MEAT" xfId="25660"/>
    <cellStyle name="Standard 69_est. MEAT" xfId="25661"/>
    <cellStyle name="Standard 7 2_est. MEAT" xfId="25662"/>
    <cellStyle name="Standard 7 3_est. MEAT" xfId="25663"/>
    <cellStyle name="Standard 7 4 2_est. MEAT" xfId="25664"/>
    <cellStyle name="Standard 7 5_est. MEAT" xfId="25665"/>
    <cellStyle name="Standard 70 2 2_est. MEAT" xfId="25666"/>
    <cellStyle name="Standard 70 3_est. MEAT" xfId="25667"/>
    <cellStyle name="Standard 71 2 2_est. MEAT" xfId="25668"/>
    <cellStyle name="Standard 71 3_est. MEAT" xfId="25669"/>
    <cellStyle name="Standard 72 2 2_est. MEAT" xfId="25670"/>
    <cellStyle name="Standard 72 3_est. MEAT" xfId="25671"/>
    <cellStyle name="Standard 73 2 2_est. MEAT" xfId="25672"/>
    <cellStyle name="Standard 73 3_est. MEAT" xfId="25673"/>
    <cellStyle name="Standard 74 2 2_est. MEAT" xfId="25674"/>
    <cellStyle name="Standard 74 3_est. MEAT" xfId="25675"/>
    <cellStyle name="Standard 75 2 2_est. MEAT" xfId="25676"/>
    <cellStyle name="Standard 75 3_est. MEAT" xfId="25677"/>
    <cellStyle name="Standard 76 2 2_est. MEAT" xfId="25678"/>
    <cellStyle name="Standard 76 3_est. MEAT" xfId="25679"/>
    <cellStyle name="Standard 77 2 2_est. MEAT" xfId="25680"/>
    <cellStyle name="Standard 77 3_est. MEAT" xfId="25681"/>
    <cellStyle name="Standard 78 2 2_est. MEAT" xfId="25682"/>
    <cellStyle name="Standard 78 3_est. MEAT" xfId="25683"/>
    <cellStyle name="Standard 79 2 2_est. MEAT" xfId="25684"/>
    <cellStyle name="Standard 79 3_est. MEAT" xfId="25685"/>
    <cellStyle name="Standard 8 2_est. MEAT" xfId="25686"/>
    <cellStyle name="Standard 8 3_est. MEAT" xfId="25687"/>
    <cellStyle name="Standard 8 4 2_est. MEAT" xfId="25688"/>
    <cellStyle name="Standard 8 5_est. MEAT" xfId="25689"/>
    <cellStyle name="Standard 8 6_est. MEAT" xfId="25690"/>
    <cellStyle name="Standard 80 2 2_est. MEAT" xfId="25691"/>
    <cellStyle name="Standard 80 3_est. MEAT" xfId="25692"/>
    <cellStyle name="Standard 81 2 2_est. MEAT" xfId="25693"/>
    <cellStyle name="Standard 81 3_est. MEAT" xfId="25694"/>
    <cellStyle name="Standard 82 2 2_est. MEAT" xfId="25695"/>
    <cellStyle name="Standard 82 3_est. MEAT" xfId="25696"/>
    <cellStyle name="Standard 83 2 2_est. MEAT" xfId="25697"/>
    <cellStyle name="Standard 83 3_est. MEAT" xfId="25698"/>
    <cellStyle name="Standard 84 2 2_est. MEAT" xfId="25699"/>
    <cellStyle name="Standard 84 3_est. MEAT" xfId="25700"/>
    <cellStyle name="Standard 85 2 2_est. MEAT" xfId="25701"/>
    <cellStyle name="Standard 85 3_est. MEAT" xfId="25702"/>
    <cellStyle name="Standard 86 2 2_est. MEAT" xfId="25703"/>
    <cellStyle name="Standard 86 3_est. MEAT" xfId="25704"/>
    <cellStyle name="Standard 87 2 2_est. MEAT" xfId="25705"/>
    <cellStyle name="Standard 87 3_est. MEAT" xfId="25706"/>
    <cellStyle name="Standard 88 2 2_est. MEAT" xfId="25707"/>
    <cellStyle name="Standard 88 3_est. MEAT" xfId="25708"/>
    <cellStyle name="Standard 89 2 2_est. MEAT" xfId="25709"/>
    <cellStyle name="Standard 89 3_est. MEAT" xfId="25710"/>
    <cellStyle name="Standard 9 2_est. MEAT" xfId="25711"/>
    <cellStyle name="Standard 9 3_est. MEAT" xfId="25712"/>
    <cellStyle name="Standard 9 4 2_est. MEAT" xfId="25713"/>
    <cellStyle name="Standard 9 5_est. MEAT" xfId="25714"/>
    <cellStyle name="Standard 90 2 2_est. MEAT" xfId="25715"/>
    <cellStyle name="Standard 90 3_est. MEAT" xfId="25716"/>
    <cellStyle name="Standard 91_est. MEAT" xfId="25717"/>
    <cellStyle name="Standard 92_est. MEAT" xfId="25718"/>
    <cellStyle name="Standard 93 2_est. MEAT" xfId="25719"/>
    <cellStyle name="Standard 94_est. MEAT" xfId="25720"/>
    <cellStyle name="Standard 95_est. MEAT" xfId="25721"/>
    <cellStyle name="Standard 96_est. MEAT" xfId="25722"/>
    <cellStyle name="Standard 97_est. MEAT" xfId="25723"/>
    <cellStyle name="Standard 98_est. MEAT" xfId="25724"/>
    <cellStyle name="Standard 99_est. MEAT" xfId="25725"/>
    <cellStyle name="Stil 1_est. MEAT" xfId="25726"/>
    <cellStyle name="Tabelle Text 10 Z_est. MEAT" xfId="25727"/>
    <cellStyle name="Tabelle Text 11 Z_est. MEAT" xfId="25728"/>
    <cellStyle name="Tabelle Text 12 Z_est. MEAT" xfId="25729"/>
    <cellStyle name="Tabelle Text 8 Z_est. MEAT" xfId="25730"/>
    <cellStyle name="Tabelle Text 9 Z_est. MEAT" xfId="25731"/>
    <cellStyle name="Tabelle Überschrift 10_est. MEAT" xfId="25732"/>
    <cellStyle name="Tabelle Überschrift 11_est. MEAT" xfId="25733"/>
    <cellStyle name="Tabelle Überschrift 12_est. MEAT" xfId="25734"/>
    <cellStyle name="Tabelle Überschrift 8_est. MEAT" xfId="25735"/>
    <cellStyle name="Tabelle Überschrift 9_est. MEAT" xfId="25736"/>
    <cellStyle name="Tabelle Zahl 0 10_est. MEAT" xfId="25737"/>
    <cellStyle name="Tabelle Zahl 0 11_est. MEAT" xfId="25738"/>
    <cellStyle name="Tabelle Zahl 0 12_est. MEAT" xfId="25739"/>
    <cellStyle name="Tabelle Zahl 0 8_est. MEAT" xfId="25740"/>
    <cellStyle name="Tabelle Zahl 0 9_est. MEAT" xfId="25741"/>
    <cellStyle name="Tabelle Zahl 1 10_est. MEAT" xfId="25742"/>
    <cellStyle name="Tabelle Zahl 1 11_est. MEAT" xfId="25743"/>
    <cellStyle name="Tabelle Zahl 1 12_est. MEAT" xfId="25744"/>
    <cellStyle name="Tabelle Zahl 1 8_est. MEAT" xfId="25745"/>
    <cellStyle name="Tabelle Zahl 1 9_est. MEAT" xfId="25746"/>
    <cellStyle name="Tabelle Zahl 2 10 2_est. MEAT" xfId="25747"/>
    <cellStyle name="Tabelle Zahl 2 11_est. MEAT" xfId="25748"/>
    <cellStyle name="Tabelle Zahl 2 12_est. MEAT" xfId="25749"/>
    <cellStyle name="Tabelle Zahl 2 8_est. MEAT" xfId="25750"/>
    <cellStyle name="Tabelle Zahl 2 9_est. MEAT" xfId="25751"/>
    <cellStyle name="Title" xfId="25752"/>
    <cellStyle name="Tonne (0)_est. MEAT" xfId="25753"/>
    <cellStyle name="Tonne (0,00)_est. MEAT" xfId="25754"/>
    <cellStyle name="Total 2_est. MEAT" xfId="25755"/>
    <cellStyle name="Überschr.12f_est. MEAT" xfId="25756"/>
    <cellStyle name="Überschr.14f_est. MEAT" xfId="25757"/>
    <cellStyle name="Überschrift 1 10 2_est. MEAT" xfId="25758"/>
    <cellStyle name="Überschrift 1 100_est. MEAT" xfId="25759"/>
    <cellStyle name="Überschrift 1 101_est. MEAT" xfId="25760"/>
    <cellStyle name="Überschrift 1 102_est. MEAT" xfId="25761"/>
    <cellStyle name="Überschrift 1 103_est. MEAT" xfId="25762"/>
    <cellStyle name="Überschrift 1 104_est. MEAT" xfId="25763"/>
    <cellStyle name="Überschrift 1 105_est. MEAT" xfId="25764"/>
    <cellStyle name="Überschrift 1 106_est. MEAT" xfId="25765"/>
    <cellStyle name="Überschrift 1 107_est. MEAT" xfId="25766"/>
    <cellStyle name="Überschrift 1 108_est. MEAT" xfId="25767"/>
    <cellStyle name="Überschrift 1 109_est. MEAT" xfId="25768"/>
    <cellStyle name="Überschrift 1 11 2_est. MEAT" xfId="25769"/>
    <cellStyle name="Überschrift 1 110_est. MEAT" xfId="25770"/>
    <cellStyle name="Überschrift 1 111_est. MEAT" xfId="25771"/>
    <cellStyle name="Überschrift 1 112_est. MEAT" xfId="25772"/>
    <cellStyle name="Überschrift 1 113_est. MEAT" xfId="25773"/>
    <cellStyle name="Überschrift 1 114_est. MEAT" xfId="25774"/>
    <cellStyle name="Überschrift 1 115_est. MEAT" xfId="25775"/>
    <cellStyle name="Überschrift 1 116_est. MEAT" xfId="25776"/>
    <cellStyle name="Überschrift 1 117_est. MEAT" xfId="25777"/>
    <cellStyle name="Überschrift 1 118_est. MEAT" xfId="25778"/>
    <cellStyle name="Überschrift 1 119_est. MEAT" xfId="25779"/>
    <cellStyle name="Überschrift 1 12 2_est. MEAT" xfId="25780"/>
    <cellStyle name="Überschrift 1 120_est. MEAT" xfId="25781"/>
    <cellStyle name="Überschrift 1 121_est. MEAT" xfId="25782"/>
    <cellStyle name="Überschrift 1 122_est. MEAT" xfId="25783"/>
    <cellStyle name="Überschrift 1 123_est. MEAT" xfId="25784"/>
    <cellStyle name="Überschrift 1 124_est. MEAT" xfId="25785"/>
    <cellStyle name="Überschrift 1 125_est. MEAT" xfId="25786"/>
    <cellStyle name="Überschrift 1 126_est. MEAT" xfId="25787"/>
    <cellStyle name="Überschrift 1 127_est. MEAT" xfId="25788"/>
    <cellStyle name="Überschrift 1 128_est. MEAT" xfId="25789"/>
    <cellStyle name="Überschrift 1 129_est. MEAT" xfId="25790"/>
    <cellStyle name="Überschrift 1 13 2_est. MEAT" xfId="25791"/>
    <cellStyle name="Überschrift 1 130_est. MEAT" xfId="25792"/>
    <cellStyle name="Überschrift 1 131_est. MEAT" xfId="25793"/>
    <cellStyle name="Überschrift 1 132_est. MEAT" xfId="25794"/>
    <cellStyle name="Überschrift 1 133_est. MEAT" xfId="25795"/>
    <cellStyle name="Überschrift 1 134_est. MEAT" xfId="25796"/>
    <cellStyle name="Überschrift 1 135_est. MEAT" xfId="25797"/>
    <cellStyle name="Überschrift 1 136_est. MEAT" xfId="25798"/>
    <cellStyle name="Überschrift 1 137_est. MEAT" xfId="25799"/>
    <cellStyle name="Überschrift 1 138_est. MEAT" xfId="25800"/>
    <cellStyle name="Überschrift 1 139_est. MEAT" xfId="25801"/>
    <cellStyle name="Überschrift 1 14 2_est. MEAT" xfId="25802"/>
    <cellStyle name="Überschrift 1 140_est. MEAT" xfId="25803"/>
    <cellStyle name="Überschrift 1 141_est. MEAT" xfId="25804"/>
    <cellStyle name="Überschrift 1 142_est. MEAT" xfId="25805"/>
    <cellStyle name="Überschrift 1 143_est. MEAT" xfId="25806"/>
    <cellStyle name="Überschrift 1 144_est. MEAT" xfId="25807"/>
    <cellStyle name="Überschrift 1 145_est. MEAT" xfId="25808"/>
    <cellStyle name="Überschrift 1 146_est. MEAT" xfId="25809"/>
    <cellStyle name="Überschrift 1 147_est. MEAT" xfId="25810"/>
    <cellStyle name="Überschrift 1 148_est. MEAT" xfId="25811"/>
    <cellStyle name="Überschrift 1 149_est. MEAT" xfId="25812"/>
    <cellStyle name="Überschrift 1 15_est. MEAT" xfId="25813"/>
    <cellStyle name="Überschrift 1 150_est. MEAT" xfId="25814"/>
    <cellStyle name="Überschrift 1 151_est. MEAT" xfId="25815"/>
    <cellStyle name="Überschrift 1 16_est. MEAT" xfId="25816"/>
    <cellStyle name="Überschrift 1 17_est. MEAT" xfId="25817"/>
    <cellStyle name="Überschrift 1 18_est. MEAT" xfId="25818"/>
    <cellStyle name="Überschrift 1 19_est. MEAT" xfId="25819"/>
    <cellStyle name="Überschrift 1 2 2_est. MEAT" xfId="25820"/>
    <cellStyle name="Überschrift 1 20_est. MEAT" xfId="25821"/>
    <cellStyle name="Überschrift 1 21_est. MEAT" xfId="25822"/>
    <cellStyle name="Überschrift 1 22_est. MEAT" xfId="25823"/>
    <cellStyle name="Überschrift 1 23_est. MEAT" xfId="25824"/>
    <cellStyle name="Überschrift 1 24_est. MEAT" xfId="25825"/>
    <cellStyle name="Überschrift 1 25_est. MEAT" xfId="25826"/>
    <cellStyle name="Überschrift 1 26_est. MEAT" xfId="25827"/>
    <cellStyle name="Überschrift 1 27_est. MEAT" xfId="25828"/>
    <cellStyle name="Überschrift 1 28_est. MEAT" xfId="25829"/>
    <cellStyle name="Überschrift 1 29_est. MEAT" xfId="25830"/>
    <cellStyle name="Überschrift 1 3 2_est. MEAT" xfId="25831"/>
    <cellStyle name="Überschrift 1 30_est. MEAT" xfId="25832"/>
    <cellStyle name="Überschrift 1 31_est. MEAT" xfId="25833"/>
    <cellStyle name="Überschrift 1 32_est. MEAT" xfId="25834"/>
    <cellStyle name="Überschrift 1 33_est. MEAT" xfId="25835"/>
    <cellStyle name="Überschrift 1 34_est. MEAT" xfId="25836"/>
    <cellStyle name="Überschrift 1 35_est. MEAT" xfId="25837"/>
    <cellStyle name="Überschrift 1 36_est. MEAT" xfId="25838"/>
    <cellStyle name="Überschrift 1 37_est. MEAT" xfId="25839"/>
    <cellStyle name="Überschrift 1 38_est. MEAT" xfId="25840"/>
    <cellStyle name="Überschrift 1 39_est. MEAT" xfId="25841"/>
    <cellStyle name="Überschrift 1 4 2_est. MEAT" xfId="25842"/>
    <cellStyle name="Überschrift 1 40_est. MEAT" xfId="25843"/>
    <cellStyle name="Überschrift 1 41_est. MEAT" xfId="25844"/>
    <cellStyle name="Überschrift 1 42_est. MEAT" xfId="25845"/>
    <cellStyle name="Überschrift 1 43_est. MEAT" xfId="25846"/>
    <cellStyle name="Überschrift 1 44_est. MEAT" xfId="25847"/>
    <cellStyle name="Überschrift 1 45_est. MEAT" xfId="25848"/>
    <cellStyle name="Überschrift 1 46_est. MEAT" xfId="25849"/>
    <cellStyle name="Überschrift 1 47_est. MEAT" xfId="25850"/>
    <cellStyle name="Überschrift 1 48_est. MEAT" xfId="25851"/>
    <cellStyle name="Überschrift 1 49_est. MEAT" xfId="25852"/>
    <cellStyle name="Überschrift 1 5 2_est. MEAT" xfId="25853"/>
    <cellStyle name="Überschrift 1 50_est. MEAT" xfId="25854"/>
    <cellStyle name="Überschrift 1 51_est. MEAT" xfId="25855"/>
    <cellStyle name="Überschrift 1 52_est. MEAT" xfId="25856"/>
    <cellStyle name="Überschrift 1 53_est. MEAT" xfId="25857"/>
    <cellStyle name="Überschrift 1 54_est. MEAT" xfId="25858"/>
    <cellStyle name="Überschrift 1 55_est. MEAT" xfId="25859"/>
    <cellStyle name="Überschrift 1 56_est. MEAT" xfId="25860"/>
    <cellStyle name="Überschrift 1 57_est. MEAT" xfId="25861"/>
    <cellStyle name="Überschrift 1 58_est. MEAT" xfId="25862"/>
    <cellStyle name="Überschrift 1 59_est. MEAT" xfId="25863"/>
    <cellStyle name="Überschrift 1 6 2_est. MEAT" xfId="25864"/>
    <cellStyle name="Überschrift 1 60_est. MEAT" xfId="25865"/>
    <cellStyle name="Überschrift 1 61_est. MEAT" xfId="25866"/>
    <cellStyle name="Überschrift 1 62_est. MEAT" xfId="25867"/>
    <cellStyle name="Überschrift 1 63_est. MEAT" xfId="25868"/>
    <cellStyle name="Überschrift 1 64_est. MEAT" xfId="25869"/>
    <cellStyle name="Überschrift 1 65_est. MEAT" xfId="25870"/>
    <cellStyle name="Überschrift 1 66_est. MEAT" xfId="25871"/>
    <cellStyle name="Überschrift 1 67_est. MEAT" xfId="25872"/>
    <cellStyle name="Überschrift 1 68_est. MEAT" xfId="25873"/>
    <cellStyle name="Überschrift 1 69_est. MEAT" xfId="25874"/>
    <cellStyle name="Überschrift 1 7 2_est. MEAT" xfId="25875"/>
    <cellStyle name="Überschrift 1 70_est. MEAT" xfId="25876"/>
    <cellStyle name="Überschrift 1 71_est. MEAT" xfId="25877"/>
    <cellStyle name="Überschrift 1 72_est. MEAT" xfId="25878"/>
    <cellStyle name="Überschrift 1 73_est. MEAT" xfId="25879"/>
    <cellStyle name="Überschrift 1 74_est. MEAT" xfId="25880"/>
    <cellStyle name="Überschrift 1 75_est. MEAT" xfId="25881"/>
    <cellStyle name="Überschrift 1 76_est. MEAT" xfId="25882"/>
    <cellStyle name="Überschrift 1 77_est. MEAT" xfId="25883"/>
    <cellStyle name="Überschrift 1 78_est. MEAT" xfId="25884"/>
    <cellStyle name="Überschrift 1 79_est. MEAT" xfId="25885"/>
    <cellStyle name="Überschrift 1 8 2_est. MEAT" xfId="25886"/>
    <cellStyle name="Überschrift 1 80_est. MEAT" xfId="25887"/>
    <cellStyle name="Überschrift 1 81_est. MEAT" xfId="25888"/>
    <cellStyle name="Überschrift 1 82_est. MEAT" xfId="25889"/>
    <cellStyle name="Überschrift 1 83_est. MEAT" xfId="25890"/>
    <cellStyle name="Überschrift 1 84_est. MEAT" xfId="25891"/>
    <cellStyle name="Überschrift 1 85_est. MEAT" xfId="25892"/>
    <cellStyle name="Überschrift 1 86_est. MEAT" xfId="25893"/>
    <cellStyle name="Überschrift 1 87_est. MEAT" xfId="25894"/>
    <cellStyle name="Überschrift 1 88_est. MEAT" xfId="25895"/>
    <cellStyle name="Überschrift 1 89_est. MEAT" xfId="25896"/>
    <cellStyle name="Überschrift 1 9 2_est. MEAT" xfId="25897"/>
    <cellStyle name="Überschrift 1 90_est. MEAT" xfId="25898"/>
    <cellStyle name="Überschrift 1 91_est. MEAT" xfId="25899"/>
    <cellStyle name="Überschrift 1 92_est. MEAT" xfId="25900"/>
    <cellStyle name="Überschrift 1 93_est. MEAT" xfId="25901"/>
    <cellStyle name="Überschrift 1 94_est. MEAT" xfId="25902"/>
    <cellStyle name="Überschrift 1 95_est. MEAT" xfId="25903"/>
    <cellStyle name="Überschrift 1 96_est. MEAT" xfId="25904"/>
    <cellStyle name="Überschrift 1 97_est. MEAT" xfId="25905"/>
    <cellStyle name="Überschrift 1 98_est. MEAT" xfId="25906"/>
    <cellStyle name="Überschrift 1 99_est. MEAT" xfId="25907"/>
    <cellStyle name="Überschrift 10 2_est. MEAT" xfId="25908"/>
    <cellStyle name="Überschrift 100_est. MEAT" xfId="25909"/>
    <cellStyle name="Überschrift 101_est. MEAT" xfId="25910"/>
    <cellStyle name="Überschrift 102_est. MEAT" xfId="25911"/>
    <cellStyle name="Überschrift 103_est. MEAT" xfId="25912"/>
    <cellStyle name="Überschrift 104_est. MEAT" xfId="25913"/>
    <cellStyle name="Überschrift 105_est. MEAT" xfId="25914"/>
    <cellStyle name="Überschrift 106_est. MEAT" xfId="25915"/>
    <cellStyle name="Überschrift 107_est. MEAT" xfId="25916"/>
    <cellStyle name="Überschrift 108_est. MEAT" xfId="25917"/>
    <cellStyle name="Überschrift 109_est. MEAT" xfId="25918"/>
    <cellStyle name="Überschrift 11 2_est. MEAT" xfId="25919"/>
    <cellStyle name="Überschrift 110_est. MEAT" xfId="25920"/>
    <cellStyle name="Überschrift 111_est. MEAT" xfId="25921"/>
    <cellStyle name="Überschrift 112_est. MEAT" xfId="25922"/>
    <cellStyle name="Überschrift 113_est. MEAT" xfId="25923"/>
    <cellStyle name="Überschrift 114_est. MEAT" xfId="25924"/>
    <cellStyle name="Überschrift 115_est. MEAT" xfId="25925"/>
    <cellStyle name="Überschrift 116_est. MEAT" xfId="25926"/>
    <cellStyle name="Überschrift 117_est. MEAT" xfId="25927"/>
    <cellStyle name="Überschrift 118_est. MEAT" xfId="25928"/>
    <cellStyle name="Überschrift 119_est. MEAT" xfId="25929"/>
    <cellStyle name="Überschrift 12 2_est. MEAT" xfId="25930"/>
    <cellStyle name="Überschrift 120_est. MEAT" xfId="25931"/>
    <cellStyle name="Überschrift 121_est. MEAT" xfId="25932"/>
    <cellStyle name="Überschrift 122_est. MEAT" xfId="25933"/>
    <cellStyle name="Überschrift 123_est. MEAT" xfId="25934"/>
    <cellStyle name="Überschrift 124_est. MEAT" xfId="25935"/>
    <cellStyle name="Überschrift 125_est. MEAT" xfId="25936"/>
    <cellStyle name="Überschrift 126_est. MEAT" xfId="25937"/>
    <cellStyle name="Überschrift 127_est. MEAT" xfId="25938"/>
    <cellStyle name="Überschrift 128_est. MEAT" xfId="25939"/>
    <cellStyle name="Überschrift 129_est. MEAT" xfId="25940"/>
    <cellStyle name="Überschrift 13 2_est. MEAT" xfId="25941"/>
    <cellStyle name="Überschrift 130_est. MEAT" xfId="25942"/>
    <cellStyle name="Überschrift 131_est. MEAT" xfId="25943"/>
    <cellStyle name="Überschrift 132_est. MEAT" xfId="25944"/>
    <cellStyle name="Überschrift 133_est. MEAT" xfId="25945"/>
    <cellStyle name="Überschrift 134_est. MEAT" xfId="25946"/>
    <cellStyle name="Überschrift 135_est. MEAT" xfId="25947"/>
    <cellStyle name="Überschrift 136_est. MEAT" xfId="25948"/>
    <cellStyle name="Überschrift 137_est. MEAT" xfId="25949"/>
    <cellStyle name="Überschrift 138_est. MEAT" xfId="25950"/>
    <cellStyle name="Überschrift 139_est. MEAT" xfId="25951"/>
    <cellStyle name="Überschrift 14 2_est. MEAT" xfId="25952"/>
    <cellStyle name="Überschrift 140_est. MEAT" xfId="25953"/>
    <cellStyle name="Überschrift 141_est. MEAT" xfId="25954"/>
    <cellStyle name="Überschrift 142_est. MEAT" xfId="25955"/>
    <cellStyle name="Überschrift 143_est. MEAT" xfId="25956"/>
    <cellStyle name="Überschrift 144_est. MEAT" xfId="25957"/>
    <cellStyle name="Überschrift 145_est. MEAT" xfId="25958"/>
    <cellStyle name="Überschrift 146_est. MEAT" xfId="25959"/>
    <cellStyle name="Überschrift 147_est. MEAT" xfId="25960"/>
    <cellStyle name="Überschrift 148_est. MEAT" xfId="25961"/>
    <cellStyle name="Überschrift 149_est. MEAT" xfId="25962"/>
    <cellStyle name="Überschrift 15 2_est. MEAT" xfId="25963"/>
    <cellStyle name="Überschrift 150_est. MEAT" xfId="25964"/>
    <cellStyle name="Überschrift 151_est. MEAT" xfId="25965"/>
    <cellStyle name="Überschrift 152_est. MEAT" xfId="25966"/>
    <cellStyle name="Überschrift 153_est. MEAT" xfId="25967"/>
    <cellStyle name="Überschrift 154_est. MEAT" xfId="25968"/>
    <cellStyle name="Überschrift 16 2_est. MEAT" xfId="25969"/>
    <cellStyle name="Überschrift 17 2_est. MEAT" xfId="25970"/>
    <cellStyle name="Überschrift 18_est. MEAT" xfId="25971"/>
    <cellStyle name="Überschrift 19_est. MEAT" xfId="25972"/>
    <cellStyle name="Überschrift 2 10 2_est. MEAT" xfId="25973"/>
    <cellStyle name="Überschrift 2 100_est. MEAT" xfId="25974"/>
    <cellStyle name="Überschrift 2 101_est. MEAT" xfId="25975"/>
    <cellStyle name="Überschrift 2 102_est. MEAT" xfId="25976"/>
    <cellStyle name="Überschrift 2 103_est. MEAT" xfId="25977"/>
    <cellStyle name="Überschrift 2 104_est. MEAT" xfId="25978"/>
    <cellStyle name="Überschrift 2 105_est. MEAT" xfId="25979"/>
    <cellStyle name="Überschrift 2 106_est. MEAT" xfId="25980"/>
    <cellStyle name="Überschrift 2 107_est. MEAT" xfId="25981"/>
    <cellStyle name="Überschrift 2 108_est. MEAT" xfId="25982"/>
    <cellStyle name="Überschrift 2 109_est. MEAT" xfId="25983"/>
    <cellStyle name="Überschrift 2 11 2_est. MEAT" xfId="25984"/>
    <cellStyle name="Überschrift 2 110_est. MEAT" xfId="25985"/>
    <cellStyle name="Überschrift 2 111_est. MEAT" xfId="25986"/>
    <cellStyle name="Überschrift 2 112_est. MEAT" xfId="25987"/>
    <cellStyle name="Überschrift 2 113_est. MEAT" xfId="25988"/>
    <cellStyle name="Überschrift 2 114_est. MEAT" xfId="25989"/>
    <cellStyle name="Überschrift 2 115_est. MEAT" xfId="25990"/>
    <cellStyle name="Überschrift 2 116_est. MEAT" xfId="25991"/>
    <cellStyle name="Überschrift 2 117_est. MEAT" xfId="25992"/>
    <cellStyle name="Überschrift 2 118_est. MEAT" xfId="25993"/>
    <cellStyle name="Überschrift 2 119_est. MEAT" xfId="25994"/>
    <cellStyle name="Überschrift 2 12 2_est. MEAT" xfId="25995"/>
    <cellStyle name="Überschrift 2 120_est. MEAT" xfId="25996"/>
    <cellStyle name="Überschrift 2 121_est. MEAT" xfId="25997"/>
    <cellStyle name="Überschrift 2 122_est. MEAT" xfId="25998"/>
    <cellStyle name="Überschrift 2 123_est. MEAT" xfId="25999"/>
    <cellStyle name="Überschrift 2 124_est. MEAT" xfId="26000"/>
    <cellStyle name="Überschrift 2 125_est. MEAT" xfId="26001"/>
    <cellStyle name="Überschrift 2 126_est. MEAT" xfId="26002"/>
    <cellStyle name="Überschrift 2 127_est. MEAT" xfId="26003"/>
    <cellStyle name="Überschrift 2 128_est. MEAT" xfId="26004"/>
    <cellStyle name="Überschrift 2 129_est. MEAT" xfId="26005"/>
    <cellStyle name="Überschrift 2 13 2_est. MEAT" xfId="26006"/>
    <cellStyle name="Überschrift 2 130_est. MEAT" xfId="26007"/>
    <cellStyle name="Überschrift 2 131_est. MEAT" xfId="26008"/>
    <cellStyle name="Überschrift 2 132_est. MEAT" xfId="26009"/>
    <cellStyle name="Überschrift 2 133_est. MEAT" xfId="26010"/>
    <cellStyle name="Überschrift 2 134_est. MEAT" xfId="26011"/>
    <cellStyle name="Überschrift 2 135_est. MEAT" xfId="26012"/>
    <cellStyle name="Überschrift 2 136_est. MEAT" xfId="26013"/>
    <cellStyle name="Überschrift 2 137_est. MEAT" xfId="26014"/>
    <cellStyle name="Überschrift 2 138_est. MEAT" xfId="26015"/>
    <cellStyle name="Überschrift 2 139_est. MEAT" xfId="26016"/>
    <cellStyle name="Überschrift 2 14 2_est. MEAT" xfId="26017"/>
    <cellStyle name="Überschrift 2 140_est. MEAT" xfId="26018"/>
    <cellStyle name="Überschrift 2 141_est. MEAT" xfId="26019"/>
    <cellStyle name="Überschrift 2 142_est. MEAT" xfId="26020"/>
    <cellStyle name="Überschrift 2 143_est. MEAT" xfId="26021"/>
    <cellStyle name="Überschrift 2 144_est. MEAT" xfId="26022"/>
    <cellStyle name="Überschrift 2 145_est. MEAT" xfId="26023"/>
    <cellStyle name="Überschrift 2 146_est. MEAT" xfId="26024"/>
    <cellStyle name="Überschrift 2 147_est. MEAT" xfId="26025"/>
    <cellStyle name="Überschrift 2 148_est. MEAT" xfId="26026"/>
    <cellStyle name="Überschrift 2 149_est. MEAT" xfId="26027"/>
    <cellStyle name="Überschrift 2 15_est. MEAT" xfId="26028"/>
    <cellStyle name="Überschrift 2 150_est. MEAT" xfId="26029"/>
    <cellStyle name="Überschrift 2 151_est. MEAT" xfId="26030"/>
    <cellStyle name="Überschrift 2 16_est. MEAT" xfId="26031"/>
    <cellStyle name="Überschrift 2 17_est. MEAT" xfId="26032"/>
    <cellStyle name="Überschrift 2 18_est. MEAT" xfId="26033"/>
    <cellStyle name="Überschrift 2 19_est. MEAT" xfId="26034"/>
    <cellStyle name="Überschrift 2 2 2_est. MEAT" xfId="26035"/>
    <cellStyle name="Überschrift 2 20_est. MEAT" xfId="26036"/>
    <cellStyle name="Überschrift 2 21_est. MEAT" xfId="26037"/>
    <cellStyle name="Überschrift 2 22_est. MEAT" xfId="26038"/>
    <cellStyle name="Überschrift 2 23_est. MEAT" xfId="26039"/>
    <cellStyle name="Überschrift 2 24_est. MEAT" xfId="26040"/>
    <cellStyle name="Überschrift 2 25_est. MEAT" xfId="26041"/>
    <cellStyle name="Überschrift 2 26_est. MEAT" xfId="26042"/>
    <cellStyle name="Überschrift 2 27_est. MEAT" xfId="26043"/>
    <cellStyle name="Überschrift 2 28_est. MEAT" xfId="26044"/>
    <cellStyle name="Überschrift 2 29_est. MEAT" xfId="26045"/>
    <cellStyle name="Überschrift 2 3 2_est. MEAT" xfId="26046"/>
    <cellStyle name="Überschrift 2 30_est. MEAT" xfId="26047"/>
    <cellStyle name="Überschrift 2 31_est. MEAT" xfId="26048"/>
    <cellStyle name="Überschrift 2 32_est. MEAT" xfId="26049"/>
    <cellStyle name="Überschrift 2 33_est. MEAT" xfId="26050"/>
    <cellStyle name="Überschrift 2 34_est. MEAT" xfId="26051"/>
    <cellStyle name="Überschrift 2 35_est. MEAT" xfId="26052"/>
    <cellStyle name="Überschrift 2 36_est. MEAT" xfId="26053"/>
    <cellStyle name="Überschrift 2 37_est. MEAT" xfId="26054"/>
    <cellStyle name="Überschrift 2 38_est. MEAT" xfId="26055"/>
    <cellStyle name="Überschrift 2 39_est. MEAT" xfId="26056"/>
    <cellStyle name="Überschrift 2 4 2_est. MEAT" xfId="26057"/>
    <cellStyle name="Überschrift 2 40_est. MEAT" xfId="26058"/>
    <cellStyle name="Überschrift 2 41_est. MEAT" xfId="26059"/>
    <cellStyle name="Überschrift 2 42_est. MEAT" xfId="26060"/>
    <cellStyle name="Überschrift 2 43_est. MEAT" xfId="26061"/>
    <cellStyle name="Überschrift 2 44_est. MEAT" xfId="26062"/>
    <cellStyle name="Überschrift 2 45_est. MEAT" xfId="26063"/>
    <cellStyle name="Überschrift 2 46_est. MEAT" xfId="26064"/>
    <cellStyle name="Überschrift 2 47_est. MEAT" xfId="26065"/>
    <cellStyle name="Überschrift 2 48_est. MEAT" xfId="26066"/>
    <cellStyle name="Überschrift 2 49_est. MEAT" xfId="26067"/>
    <cellStyle name="Überschrift 2 5 2_est. MEAT" xfId="26068"/>
    <cellStyle name="Überschrift 2 50_est. MEAT" xfId="26069"/>
    <cellStyle name="Überschrift 2 51_est. MEAT" xfId="26070"/>
    <cellStyle name="Überschrift 2 52_est. MEAT" xfId="26071"/>
    <cellStyle name="Überschrift 2 53_est. MEAT" xfId="26072"/>
    <cellStyle name="Überschrift 2 54_est. MEAT" xfId="26073"/>
    <cellStyle name="Überschrift 2 55_est. MEAT" xfId="26074"/>
    <cellStyle name="Überschrift 2 56_est. MEAT" xfId="26075"/>
    <cellStyle name="Überschrift 2 57_est. MEAT" xfId="26076"/>
    <cellStyle name="Überschrift 2 58_est. MEAT" xfId="26077"/>
    <cellStyle name="Überschrift 2 59_est. MEAT" xfId="26078"/>
    <cellStyle name="Überschrift 2 6 2_est. MEAT" xfId="26079"/>
    <cellStyle name="Überschrift 2 60_est. MEAT" xfId="26080"/>
    <cellStyle name="Überschrift 2 61_est. MEAT" xfId="26081"/>
    <cellStyle name="Überschrift 2 62_est. MEAT" xfId="26082"/>
    <cellStyle name="Überschrift 2 63_est. MEAT" xfId="26083"/>
    <cellStyle name="Überschrift 2 64_est. MEAT" xfId="26084"/>
    <cellStyle name="Überschrift 2 65_est. MEAT" xfId="26085"/>
    <cellStyle name="Überschrift 2 66_est. MEAT" xfId="26086"/>
    <cellStyle name="Überschrift 2 67_est. MEAT" xfId="26087"/>
    <cellStyle name="Überschrift 2 68_est. MEAT" xfId="26088"/>
    <cellStyle name="Überschrift 2 69_est. MEAT" xfId="26089"/>
    <cellStyle name="Überschrift 2 7 2_est. MEAT" xfId="26090"/>
    <cellStyle name="Überschrift 2 70_est. MEAT" xfId="26091"/>
    <cellStyle name="Überschrift 2 71_est. MEAT" xfId="26092"/>
    <cellStyle name="Überschrift 2 72_est. MEAT" xfId="26093"/>
    <cellStyle name="Überschrift 2 73_est. MEAT" xfId="26094"/>
    <cellStyle name="Überschrift 2 74_est. MEAT" xfId="26095"/>
    <cellStyle name="Überschrift 2 75_est. MEAT" xfId="26096"/>
    <cellStyle name="Überschrift 2 76_est. MEAT" xfId="26097"/>
    <cellStyle name="Überschrift 2 77_est. MEAT" xfId="26098"/>
    <cellStyle name="Überschrift 2 78_est. MEAT" xfId="26099"/>
    <cellStyle name="Überschrift 2 79_est. MEAT" xfId="26100"/>
    <cellStyle name="Überschrift 2 8 2_est. MEAT" xfId="26101"/>
    <cellStyle name="Überschrift 2 80_est. MEAT" xfId="26102"/>
    <cellStyle name="Überschrift 2 81_est. MEAT" xfId="26103"/>
    <cellStyle name="Überschrift 2 82_est. MEAT" xfId="26104"/>
    <cellStyle name="Überschrift 2 83_est. MEAT" xfId="26105"/>
    <cellStyle name="Überschrift 2 84_est. MEAT" xfId="26106"/>
    <cellStyle name="Überschrift 2 85_est. MEAT" xfId="26107"/>
    <cellStyle name="Überschrift 2 86_est. MEAT" xfId="26108"/>
    <cellStyle name="Überschrift 2 87_est. MEAT" xfId="26109"/>
    <cellStyle name="Überschrift 2 88_est. MEAT" xfId="26110"/>
    <cellStyle name="Überschrift 2 89_est. MEAT" xfId="26111"/>
    <cellStyle name="Überschrift 2 9 2_est. MEAT" xfId="26112"/>
    <cellStyle name="Überschrift 2 90_est. MEAT" xfId="26113"/>
    <cellStyle name="Überschrift 2 91_est. MEAT" xfId="26114"/>
    <cellStyle name="Überschrift 2 92_est. MEAT" xfId="26115"/>
    <cellStyle name="Überschrift 2 93_est. MEAT" xfId="26116"/>
    <cellStyle name="Überschrift 2 94_est. MEAT" xfId="26117"/>
    <cellStyle name="Überschrift 2 95_est. MEAT" xfId="26118"/>
    <cellStyle name="Überschrift 2 96_est. MEAT" xfId="26119"/>
    <cellStyle name="Überschrift 2 97_est. MEAT" xfId="26120"/>
    <cellStyle name="Überschrift 2 98_est. MEAT" xfId="26121"/>
    <cellStyle name="Überschrift 2 99_est. MEAT" xfId="26122"/>
    <cellStyle name="Überschrift 20_est. MEAT" xfId="26123"/>
    <cellStyle name="Überschrift 21_est. MEAT" xfId="26124"/>
    <cellStyle name="Überschrift 22_est. MEAT" xfId="26125"/>
    <cellStyle name="Überschrift 23_est. MEAT" xfId="26126"/>
    <cellStyle name="Überschrift 24_est. MEAT" xfId="26127"/>
    <cellStyle name="Überschrift 25_est. MEAT" xfId="26128"/>
    <cellStyle name="Überschrift 26_est. MEAT" xfId="26129"/>
    <cellStyle name="Überschrift 27_est. MEAT" xfId="26130"/>
    <cellStyle name="Überschrift 28_est. MEAT" xfId="26131"/>
    <cellStyle name="Überschrift 29_est. MEAT" xfId="26132"/>
    <cellStyle name="Überschrift 3 10 2_est. MEAT" xfId="26133"/>
    <cellStyle name="Überschrift 3 100_est. MEAT" xfId="26134"/>
    <cellStyle name="Überschrift 3 101_est. MEAT" xfId="26135"/>
    <cellStyle name="Überschrift 3 102_est. MEAT" xfId="26136"/>
    <cellStyle name="Überschrift 3 103_est. MEAT" xfId="26137"/>
    <cellStyle name="Überschrift 3 104_est. MEAT" xfId="26138"/>
    <cellStyle name="Überschrift 3 105_est. MEAT" xfId="26139"/>
    <cellStyle name="Überschrift 3 106_est. MEAT" xfId="26140"/>
    <cellStyle name="Überschrift 3 107_est. MEAT" xfId="26141"/>
    <cellStyle name="Überschrift 3 108_est. MEAT" xfId="26142"/>
    <cellStyle name="Überschrift 3 109_est. MEAT" xfId="26143"/>
    <cellStyle name="Überschrift 3 11 2_est. MEAT" xfId="26144"/>
    <cellStyle name="Überschrift 3 110_est. MEAT" xfId="26145"/>
    <cellStyle name="Überschrift 3 111_est. MEAT" xfId="26146"/>
    <cellStyle name="Überschrift 3 112_est. MEAT" xfId="26147"/>
    <cellStyle name="Überschrift 3 113_est. MEAT" xfId="26148"/>
    <cellStyle name="Überschrift 3 114_est. MEAT" xfId="26149"/>
    <cellStyle name="Überschrift 3 115_est. MEAT" xfId="26150"/>
    <cellStyle name="Überschrift 3 116_est. MEAT" xfId="26151"/>
    <cellStyle name="Überschrift 3 117_est. MEAT" xfId="26152"/>
    <cellStyle name="Überschrift 3 118_est. MEAT" xfId="26153"/>
    <cellStyle name="Überschrift 3 119_est. MEAT" xfId="26154"/>
    <cellStyle name="Überschrift 3 12 2_est. MEAT" xfId="26155"/>
    <cellStyle name="Überschrift 3 120_est. MEAT" xfId="26156"/>
    <cellStyle name="Überschrift 3 121_est. MEAT" xfId="26157"/>
    <cellStyle name="Überschrift 3 122_est. MEAT" xfId="26158"/>
    <cellStyle name="Überschrift 3 123_est. MEAT" xfId="26159"/>
    <cellStyle name="Überschrift 3 124_est. MEAT" xfId="26160"/>
    <cellStyle name="Überschrift 3 125_est. MEAT" xfId="26161"/>
    <cellStyle name="Überschrift 3 126_est. MEAT" xfId="26162"/>
    <cellStyle name="Überschrift 3 127_est. MEAT" xfId="26163"/>
    <cellStyle name="Überschrift 3 128_est. MEAT" xfId="26164"/>
    <cellStyle name="Überschrift 3 129_est. MEAT" xfId="26165"/>
    <cellStyle name="Überschrift 3 13 2_est. MEAT" xfId="26166"/>
    <cellStyle name="Überschrift 3 130_est. MEAT" xfId="26167"/>
    <cellStyle name="Überschrift 3 131_est. MEAT" xfId="26168"/>
    <cellStyle name="Überschrift 3 132_est. MEAT" xfId="26169"/>
    <cellStyle name="Überschrift 3 133_est. MEAT" xfId="26170"/>
    <cellStyle name="Überschrift 3 134_est. MEAT" xfId="26171"/>
    <cellStyle name="Überschrift 3 135_est. MEAT" xfId="26172"/>
    <cellStyle name="Überschrift 3 136_est. MEAT" xfId="26173"/>
    <cellStyle name="Überschrift 3 137_est. MEAT" xfId="26174"/>
    <cellStyle name="Überschrift 3 138_est. MEAT" xfId="26175"/>
    <cellStyle name="Überschrift 3 139_est. MEAT" xfId="26176"/>
    <cellStyle name="Überschrift 3 14 2_est. MEAT" xfId="26177"/>
    <cellStyle name="Überschrift 3 140_est. MEAT" xfId="26178"/>
    <cellStyle name="Überschrift 3 141_est. MEAT" xfId="26179"/>
    <cellStyle name="Überschrift 3 142_est. MEAT" xfId="26180"/>
    <cellStyle name="Überschrift 3 143_est. MEAT" xfId="26181"/>
    <cellStyle name="Überschrift 3 144_est. MEAT" xfId="26182"/>
    <cellStyle name="Überschrift 3 145_est. MEAT" xfId="26183"/>
    <cellStyle name="Überschrift 3 146_est. MEAT" xfId="26184"/>
    <cellStyle name="Überschrift 3 147_est. MEAT" xfId="26185"/>
    <cellStyle name="Überschrift 3 148_est. MEAT" xfId="26186"/>
    <cellStyle name="Überschrift 3 149_est. MEAT" xfId="26187"/>
    <cellStyle name="Überschrift 3 15_est. MEAT" xfId="26188"/>
    <cellStyle name="Überschrift 3 150_est. MEAT" xfId="26189"/>
    <cellStyle name="Überschrift 3 151_est. MEAT" xfId="26190"/>
    <cellStyle name="Überschrift 3 16_est. MEAT" xfId="26191"/>
    <cellStyle name="Überschrift 3 17_est. MEAT" xfId="26192"/>
    <cellStyle name="Überschrift 3 18_est. MEAT" xfId="26193"/>
    <cellStyle name="Überschrift 3 19_est. MEAT" xfId="26194"/>
    <cellStyle name="Überschrift 3 2 2_est. MEAT" xfId="26195"/>
    <cellStyle name="Überschrift 3 20_est. MEAT" xfId="26196"/>
    <cellStyle name="Überschrift 3 21_est. MEAT" xfId="26197"/>
    <cellStyle name="Überschrift 3 22_est. MEAT" xfId="26198"/>
    <cellStyle name="Überschrift 3 23_est. MEAT" xfId="26199"/>
    <cellStyle name="Überschrift 3 24_est. MEAT" xfId="26200"/>
    <cellStyle name="Überschrift 3 25_est. MEAT" xfId="26201"/>
    <cellStyle name="Überschrift 3 26_est. MEAT" xfId="26202"/>
    <cellStyle name="Überschrift 3 27_est. MEAT" xfId="26203"/>
    <cellStyle name="Überschrift 3 28_est. MEAT" xfId="26204"/>
    <cellStyle name="Überschrift 3 29_est. MEAT" xfId="26205"/>
    <cellStyle name="Überschrift 3 3 2_est. MEAT" xfId="26206"/>
    <cellStyle name="Überschrift 3 30_est. MEAT" xfId="26207"/>
    <cellStyle name="Überschrift 3 31_est. MEAT" xfId="26208"/>
    <cellStyle name="Überschrift 3 32_est. MEAT" xfId="26209"/>
    <cellStyle name="Überschrift 3 33_est. MEAT" xfId="26210"/>
    <cellStyle name="Überschrift 3 34_est. MEAT" xfId="26211"/>
    <cellStyle name="Überschrift 3 35_est. MEAT" xfId="26212"/>
    <cellStyle name="Überschrift 3 36_est. MEAT" xfId="26213"/>
    <cellStyle name="Überschrift 3 37_est. MEAT" xfId="26214"/>
    <cellStyle name="Überschrift 3 38_est. MEAT" xfId="26215"/>
    <cellStyle name="Überschrift 3 39_est. MEAT" xfId="26216"/>
    <cellStyle name="Überschrift 3 4 2_est. MEAT" xfId="26217"/>
    <cellStyle name="Überschrift 3 40_est. MEAT" xfId="26218"/>
    <cellStyle name="Überschrift 3 41_est. MEAT" xfId="26219"/>
    <cellStyle name="Überschrift 3 42_est. MEAT" xfId="26220"/>
    <cellStyle name="Überschrift 3 43_est. MEAT" xfId="26221"/>
    <cellStyle name="Überschrift 3 44_est. MEAT" xfId="26222"/>
    <cellStyle name="Überschrift 3 45_est. MEAT" xfId="26223"/>
    <cellStyle name="Überschrift 3 46_est. MEAT" xfId="26224"/>
    <cellStyle name="Überschrift 3 47_est. MEAT" xfId="26225"/>
    <cellStyle name="Überschrift 3 48_est. MEAT" xfId="26226"/>
    <cellStyle name="Überschrift 3 49_est. MEAT" xfId="26227"/>
    <cellStyle name="Überschrift 3 5 2_est. MEAT" xfId="26228"/>
    <cellStyle name="Überschrift 3 50_est. MEAT" xfId="26229"/>
    <cellStyle name="Überschrift 3 51_est. MEAT" xfId="26230"/>
    <cellStyle name="Überschrift 3 52_est. MEAT" xfId="26231"/>
    <cellStyle name="Überschrift 3 53_est. MEAT" xfId="26232"/>
    <cellStyle name="Überschrift 3 54_est. MEAT" xfId="26233"/>
    <cellStyle name="Überschrift 3 55_est. MEAT" xfId="26234"/>
    <cellStyle name="Überschrift 3 56_est. MEAT" xfId="26235"/>
    <cellStyle name="Überschrift 3 57_est. MEAT" xfId="26236"/>
    <cellStyle name="Überschrift 3 58_est. MEAT" xfId="26237"/>
    <cellStyle name="Überschrift 3 59_est. MEAT" xfId="26238"/>
    <cellStyle name="Überschrift 3 6 2_est. MEAT" xfId="26239"/>
    <cellStyle name="Überschrift 3 60_est. MEAT" xfId="26240"/>
    <cellStyle name="Überschrift 3 61_est. MEAT" xfId="26241"/>
    <cellStyle name="Überschrift 3 62_est. MEAT" xfId="26242"/>
    <cellStyle name="Überschrift 3 63_est. MEAT" xfId="26243"/>
    <cellStyle name="Überschrift 3 64_est. MEAT" xfId="26244"/>
    <cellStyle name="Überschrift 3 65_est. MEAT" xfId="26245"/>
    <cellStyle name="Überschrift 3 66_est. MEAT" xfId="26246"/>
    <cellStyle name="Überschrift 3 67_est. MEAT" xfId="26247"/>
    <cellStyle name="Überschrift 3 68_est. MEAT" xfId="26248"/>
    <cellStyle name="Überschrift 3 69_est. MEAT" xfId="26249"/>
    <cellStyle name="Überschrift 3 7 2_est. MEAT" xfId="26250"/>
    <cellStyle name="Überschrift 3 70_est. MEAT" xfId="26251"/>
    <cellStyle name="Überschrift 3 71_est. MEAT" xfId="26252"/>
    <cellStyle name="Überschrift 3 72_est. MEAT" xfId="26253"/>
    <cellStyle name="Überschrift 3 73_est. MEAT" xfId="26254"/>
    <cellStyle name="Überschrift 3 74_est. MEAT" xfId="26255"/>
    <cellStyle name="Überschrift 3 75_est. MEAT" xfId="26256"/>
    <cellStyle name="Überschrift 3 76_est. MEAT" xfId="26257"/>
    <cellStyle name="Überschrift 3 77_est. MEAT" xfId="26258"/>
    <cellStyle name="Überschrift 3 78_est. MEAT" xfId="26259"/>
    <cellStyle name="Überschrift 3 79_est. MEAT" xfId="26260"/>
    <cellStyle name="Überschrift 3 8 2_est. MEAT" xfId="26261"/>
    <cellStyle name="Überschrift 3 80_est. MEAT" xfId="26262"/>
    <cellStyle name="Überschrift 3 81_est. MEAT" xfId="26263"/>
    <cellStyle name="Überschrift 3 82_est. MEAT" xfId="26264"/>
    <cellStyle name="Überschrift 3 83_est. MEAT" xfId="26265"/>
    <cellStyle name="Überschrift 3 84_est. MEAT" xfId="26266"/>
    <cellStyle name="Überschrift 3 85_est. MEAT" xfId="26267"/>
    <cellStyle name="Überschrift 3 86_est. MEAT" xfId="26268"/>
    <cellStyle name="Überschrift 3 87_est. MEAT" xfId="26269"/>
    <cellStyle name="Überschrift 3 88_est. MEAT" xfId="26270"/>
    <cellStyle name="Überschrift 3 89_est. MEAT" xfId="26271"/>
    <cellStyle name="Überschrift 3 9 2_est. MEAT" xfId="26272"/>
    <cellStyle name="Überschrift 3 90_est. MEAT" xfId="26273"/>
    <cellStyle name="Überschrift 3 91_est. MEAT" xfId="26274"/>
    <cellStyle name="Überschrift 3 92_est. MEAT" xfId="26275"/>
    <cellStyle name="Überschrift 3 93_est. MEAT" xfId="26276"/>
    <cellStyle name="Überschrift 3 94_est. MEAT" xfId="26277"/>
    <cellStyle name="Überschrift 3 95_est. MEAT" xfId="26278"/>
    <cellStyle name="Überschrift 3 96_est. MEAT" xfId="26279"/>
    <cellStyle name="Überschrift 3 97_est. MEAT" xfId="26280"/>
    <cellStyle name="Überschrift 3 98_est. MEAT" xfId="26281"/>
    <cellStyle name="Überschrift 3 99_est. MEAT" xfId="26282"/>
    <cellStyle name="Überschrift 30_est. MEAT" xfId="26283"/>
    <cellStyle name="Überschrift 31_est. MEAT" xfId="26284"/>
    <cellStyle name="Überschrift 32_est. MEAT" xfId="26285"/>
    <cellStyle name="Überschrift 33_est. MEAT" xfId="26286"/>
    <cellStyle name="Überschrift 34_est. MEAT" xfId="26287"/>
    <cellStyle name="Überschrift 35_est. MEAT" xfId="26288"/>
    <cellStyle name="Überschrift 36_est. MEAT" xfId="26289"/>
    <cellStyle name="Überschrift 37_est. MEAT" xfId="26290"/>
    <cellStyle name="Überschrift 38_est. MEAT" xfId="26291"/>
    <cellStyle name="Überschrift 39_est. MEAT" xfId="26292"/>
    <cellStyle name="Überschrift 4 10 2_est. MEAT" xfId="26293"/>
    <cellStyle name="Überschrift 4 100_est. MEAT" xfId="26294"/>
    <cellStyle name="Überschrift 4 101_est. MEAT" xfId="26295"/>
    <cellStyle name="Überschrift 4 102_est. MEAT" xfId="26296"/>
    <cellStyle name="Überschrift 4 103_est. MEAT" xfId="26297"/>
    <cellStyle name="Überschrift 4 104_est. MEAT" xfId="26298"/>
    <cellStyle name="Überschrift 4 105_est. MEAT" xfId="26299"/>
    <cellStyle name="Überschrift 4 106_est. MEAT" xfId="26300"/>
    <cellStyle name="Überschrift 4 107_est. MEAT" xfId="26301"/>
    <cellStyle name="Überschrift 4 108_est. MEAT" xfId="26302"/>
    <cellStyle name="Überschrift 4 109_est. MEAT" xfId="26303"/>
    <cellStyle name="Überschrift 4 11 2_est. MEAT" xfId="26304"/>
    <cellStyle name="Überschrift 4 110_est. MEAT" xfId="26305"/>
    <cellStyle name="Überschrift 4 111_est. MEAT" xfId="26306"/>
    <cellStyle name="Überschrift 4 112_est. MEAT" xfId="26307"/>
    <cellStyle name="Überschrift 4 113_est. MEAT" xfId="26308"/>
    <cellStyle name="Überschrift 4 114_est. MEAT" xfId="26309"/>
    <cellStyle name="Überschrift 4 115_est. MEAT" xfId="26310"/>
    <cellStyle name="Überschrift 4 116_est. MEAT" xfId="26311"/>
    <cellStyle name="Überschrift 4 117_est. MEAT" xfId="26312"/>
    <cellStyle name="Überschrift 4 118_est. MEAT" xfId="26313"/>
    <cellStyle name="Überschrift 4 119_est. MEAT" xfId="26314"/>
    <cellStyle name="Überschrift 4 12 2_est. MEAT" xfId="26315"/>
    <cellStyle name="Überschrift 4 120_est. MEAT" xfId="26316"/>
    <cellStyle name="Überschrift 4 121_est. MEAT" xfId="26317"/>
    <cellStyle name="Überschrift 4 122_est. MEAT" xfId="26318"/>
    <cellStyle name="Überschrift 4 123_est. MEAT" xfId="26319"/>
    <cellStyle name="Überschrift 4 124_est. MEAT" xfId="26320"/>
    <cellStyle name="Überschrift 4 125_est. MEAT" xfId="26321"/>
    <cellStyle name="Überschrift 4 126_est. MEAT" xfId="26322"/>
    <cellStyle name="Überschrift 4 127_est. MEAT" xfId="26323"/>
    <cellStyle name="Überschrift 4 128_est. MEAT" xfId="26324"/>
    <cellStyle name="Überschrift 4 129_est. MEAT" xfId="26325"/>
    <cellStyle name="Überschrift 4 13 2_est. MEAT" xfId="26326"/>
    <cellStyle name="Überschrift 4 130_est. MEAT" xfId="26327"/>
    <cellStyle name="Überschrift 4 131_est. MEAT" xfId="26328"/>
    <cellStyle name="Überschrift 4 132_est. MEAT" xfId="26329"/>
    <cellStyle name="Überschrift 4 133_est. MEAT" xfId="26330"/>
    <cellStyle name="Überschrift 4 134_est. MEAT" xfId="26331"/>
    <cellStyle name="Überschrift 4 135_est. MEAT" xfId="26332"/>
    <cellStyle name="Überschrift 4 136_est. MEAT" xfId="26333"/>
    <cellStyle name="Überschrift 4 137_est. MEAT" xfId="26334"/>
    <cellStyle name="Überschrift 4 138_est. MEAT" xfId="26335"/>
    <cellStyle name="Überschrift 4 139_est. MEAT" xfId="26336"/>
    <cellStyle name="Überschrift 4 14 2_est. MEAT" xfId="26337"/>
    <cellStyle name="Überschrift 4 140_est. MEAT" xfId="26338"/>
    <cellStyle name="Überschrift 4 141_est. MEAT" xfId="26339"/>
    <cellStyle name="Überschrift 4 142_est. MEAT" xfId="26340"/>
    <cellStyle name="Überschrift 4 143_est. MEAT" xfId="26341"/>
    <cellStyle name="Überschrift 4 144_est. MEAT" xfId="26342"/>
    <cellStyle name="Überschrift 4 145_est. MEAT" xfId="26343"/>
    <cellStyle name="Überschrift 4 146_est. MEAT" xfId="26344"/>
    <cellStyle name="Überschrift 4 147_est. MEAT" xfId="26345"/>
    <cellStyle name="Überschrift 4 148_est. MEAT" xfId="26346"/>
    <cellStyle name="Überschrift 4 149_est. MEAT" xfId="26347"/>
    <cellStyle name="Überschrift 4 15_est. MEAT" xfId="26348"/>
    <cellStyle name="Überschrift 4 150_est. MEAT" xfId="26349"/>
    <cellStyle name="Überschrift 4 151_est. MEAT" xfId="26350"/>
    <cellStyle name="Überschrift 4 16_est. MEAT" xfId="26351"/>
    <cellStyle name="Überschrift 4 17_est. MEAT" xfId="26352"/>
    <cellStyle name="Überschrift 4 18_est. MEAT" xfId="26353"/>
    <cellStyle name="Überschrift 4 19_est. MEAT" xfId="26354"/>
    <cellStyle name="Überschrift 4 2 2_est. MEAT" xfId="26355"/>
    <cellStyle name="Überschrift 4 20_est. MEAT" xfId="26356"/>
    <cellStyle name="Überschrift 4 21_est. MEAT" xfId="26357"/>
    <cellStyle name="Überschrift 4 22_est. MEAT" xfId="26358"/>
    <cellStyle name="Überschrift 4 23_est. MEAT" xfId="26359"/>
    <cellStyle name="Überschrift 4 24_est. MEAT" xfId="26360"/>
    <cellStyle name="Überschrift 4 25_est. MEAT" xfId="26361"/>
    <cellStyle name="Überschrift 4 26_est. MEAT" xfId="26362"/>
    <cellStyle name="Überschrift 4 27_est. MEAT" xfId="26363"/>
    <cellStyle name="Überschrift 4 28_est. MEAT" xfId="26364"/>
    <cellStyle name="Überschrift 4 29_est. MEAT" xfId="26365"/>
    <cellStyle name="Überschrift 4 3 2_est. MEAT" xfId="26366"/>
    <cellStyle name="Überschrift 4 30_est. MEAT" xfId="26367"/>
    <cellStyle name="Überschrift 4 31_est. MEAT" xfId="26368"/>
    <cellStyle name="Überschrift 4 32_est. MEAT" xfId="26369"/>
    <cellStyle name="Überschrift 4 33_est. MEAT" xfId="26370"/>
    <cellStyle name="Überschrift 4 34_est. MEAT" xfId="26371"/>
    <cellStyle name="Überschrift 4 35_est. MEAT" xfId="26372"/>
    <cellStyle name="Überschrift 4 36_est. MEAT" xfId="26373"/>
    <cellStyle name="Überschrift 4 37_est. MEAT" xfId="26374"/>
    <cellStyle name="Überschrift 4 38_est. MEAT" xfId="26375"/>
    <cellStyle name="Überschrift 4 39_est. MEAT" xfId="26376"/>
    <cellStyle name="Überschrift 4 4 2_est. MEAT" xfId="26377"/>
    <cellStyle name="Überschrift 4 40_est. MEAT" xfId="26378"/>
    <cellStyle name="Überschrift 4 41_est. MEAT" xfId="26379"/>
    <cellStyle name="Überschrift 4 42_est. MEAT" xfId="26380"/>
    <cellStyle name="Überschrift 4 43_est. MEAT" xfId="26381"/>
    <cellStyle name="Überschrift 4 44_est. MEAT" xfId="26382"/>
    <cellStyle name="Überschrift 4 45_est. MEAT" xfId="26383"/>
    <cellStyle name="Überschrift 4 46_est. MEAT" xfId="26384"/>
    <cellStyle name="Überschrift 4 47_est. MEAT" xfId="26385"/>
    <cellStyle name="Überschrift 4 48_est. MEAT" xfId="26386"/>
    <cellStyle name="Überschrift 4 49_est. MEAT" xfId="26387"/>
    <cellStyle name="Überschrift 4 5 2_est. MEAT" xfId="26388"/>
    <cellStyle name="Überschrift 4 50_est. MEAT" xfId="26389"/>
    <cellStyle name="Überschrift 4 51_est. MEAT" xfId="26390"/>
    <cellStyle name="Überschrift 4 52_est. MEAT" xfId="26391"/>
    <cellStyle name="Überschrift 4 53_est. MEAT" xfId="26392"/>
    <cellStyle name="Überschrift 4 54_est. MEAT" xfId="26393"/>
    <cellStyle name="Überschrift 4 55_est. MEAT" xfId="26394"/>
    <cellStyle name="Überschrift 4 56_est. MEAT" xfId="26395"/>
    <cellStyle name="Überschrift 4 57_est. MEAT" xfId="26396"/>
    <cellStyle name="Überschrift 4 58_est. MEAT" xfId="26397"/>
    <cellStyle name="Überschrift 4 59_est. MEAT" xfId="26398"/>
    <cellStyle name="Überschrift 4 6 2_est. MEAT" xfId="26399"/>
    <cellStyle name="Überschrift 4 60_est. MEAT" xfId="26400"/>
    <cellStyle name="Überschrift 4 61_est. MEAT" xfId="26401"/>
    <cellStyle name="Überschrift 4 62_est. MEAT" xfId="26402"/>
    <cellStyle name="Überschrift 4 63_est. MEAT" xfId="26403"/>
    <cellStyle name="Überschrift 4 64_est. MEAT" xfId="26404"/>
    <cellStyle name="Überschrift 4 65_est. MEAT" xfId="26405"/>
    <cellStyle name="Überschrift 4 66_est. MEAT" xfId="26406"/>
    <cellStyle name="Überschrift 4 67_est. MEAT" xfId="26407"/>
    <cellStyle name="Überschrift 4 68_est. MEAT" xfId="26408"/>
    <cellStyle name="Überschrift 4 69_est. MEAT" xfId="26409"/>
    <cellStyle name="Überschrift 4 7 2_est. MEAT" xfId="26410"/>
    <cellStyle name="Überschrift 4 70_est. MEAT" xfId="26411"/>
    <cellStyle name="Überschrift 4 71_est. MEAT" xfId="26412"/>
    <cellStyle name="Überschrift 4 72_est. MEAT" xfId="26413"/>
    <cellStyle name="Überschrift 4 73_est. MEAT" xfId="26414"/>
    <cellStyle name="Überschrift 4 74_est. MEAT" xfId="26415"/>
    <cellStyle name="Überschrift 4 75_est. MEAT" xfId="26416"/>
    <cellStyle name="Überschrift 4 76_est. MEAT" xfId="26417"/>
    <cellStyle name="Überschrift 4 77_est. MEAT" xfId="26418"/>
    <cellStyle name="Überschrift 4 78_est. MEAT" xfId="26419"/>
    <cellStyle name="Überschrift 4 79_est. MEAT" xfId="26420"/>
    <cellStyle name="Überschrift 4 8 2_est. MEAT" xfId="26421"/>
    <cellStyle name="Überschrift 4 80_est. MEAT" xfId="26422"/>
    <cellStyle name="Überschrift 4 81_est. MEAT" xfId="26423"/>
    <cellStyle name="Überschrift 4 82_est. MEAT" xfId="26424"/>
    <cellStyle name="Überschrift 4 83_est. MEAT" xfId="26425"/>
    <cellStyle name="Überschrift 4 84_est. MEAT" xfId="26426"/>
    <cellStyle name="Überschrift 4 85_est. MEAT" xfId="26427"/>
    <cellStyle name="Überschrift 4 86_est. MEAT" xfId="26428"/>
    <cellStyle name="Überschrift 4 87_est. MEAT" xfId="26429"/>
    <cellStyle name="Überschrift 4 88_est. MEAT" xfId="26430"/>
    <cellStyle name="Überschrift 4 89_est. MEAT" xfId="26431"/>
    <cellStyle name="Überschrift 4 9 2_est. MEAT" xfId="26432"/>
    <cellStyle name="Überschrift 4 90_est. MEAT" xfId="26433"/>
    <cellStyle name="Überschrift 4 91_est. MEAT" xfId="26434"/>
    <cellStyle name="Überschrift 4 92_est. MEAT" xfId="26435"/>
    <cellStyle name="Überschrift 4 93_est. MEAT" xfId="26436"/>
    <cellStyle name="Überschrift 4 94_est. MEAT" xfId="26437"/>
    <cellStyle name="Überschrift 4 95_est. MEAT" xfId="26438"/>
    <cellStyle name="Überschrift 4 96_est. MEAT" xfId="26439"/>
    <cellStyle name="Überschrift 4 97_est. MEAT" xfId="26440"/>
    <cellStyle name="Überschrift 4 98_est. MEAT" xfId="26441"/>
    <cellStyle name="Überschrift 4 99_est. MEAT" xfId="26442"/>
    <cellStyle name="Überschrift 40_est. MEAT" xfId="26443"/>
    <cellStyle name="Überschrift 41_est. MEAT" xfId="26444"/>
    <cellStyle name="Überschrift 42_est. MEAT" xfId="26445"/>
    <cellStyle name="Überschrift 43_est. MEAT" xfId="26446"/>
    <cellStyle name="Überschrift 44_est. MEAT" xfId="26447"/>
    <cellStyle name="Überschrift 45_est. MEAT" xfId="26448"/>
    <cellStyle name="Überschrift 46_est. MEAT" xfId="26449"/>
    <cellStyle name="Überschrift 47_est. MEAT" xfId="26450"/>
    <cellStyle name="Überschrift 48_est. MEAT" xfId="26451"/>
    <cellStyle name="Überschrift 49_est. MEAT" xfId="26452"/>
    <cellStyle name="Überschrift 5 2_est. MEAT" xfId="26453"/>
    <cellStyle name="Überschrift 50_est. MEAT" xfId="26454"/>
    <cellStyle name="Überschrift 51_est. MEAT" xfId="26455"/>
    <cellStyle name="Überschrift 52_est. MEAT" xfId="26456"/>
    <cellStyle name="Überschrift 53_est. MEAT" xfId="26457"/>
    <cellStyle name="Überschrift 54_est. MEAT" xfId="26458"/>
    <cellStyle name="Überschrift 55_est. MEAT" xfId="26459"/>
    <cellStyle name="Überschrift 56_est. MEAT" xfId="26460"/>
    <cellStyle name="Überschrift 57_est. MEAT" xfId="26461"/>
    <cellStyle name="Überschrift 58_est. MEAT" xfId="26462"/>
    <cellStyle name="Überschrift 59_est. MEAT" xfId="26463"/>
    <cellStyle name="Überschrift 6 2_est. MEAT" xfId="26464"/>
    <cellStyle name="Überschrift 60_est. MEAT" xfId="26465"/>
    <cellStyle name="Überschrift 61_est. MEAT" xfId="26466"/>
    <cellStyle name="Überschrift 62_est. MEAT" xfId="26467"/>
    <cellStyle name="Überschrift 63_est. MEAT" xfId="26468"/>
    <cellStyle name="Überschrift 64_est. MEAT" xfId="26469"/>
    <cellStyle name="Überschrift 65_est. MEAT" xfId="26470"/>
    <cellStyle name="Überschrift 66_est. MEAT" xfId="26471"/>
    <cellStyle name="Überschrift 67_est. MEAT" xfId="26472"/>
    <cellStyle name="Überschrift 68_est. MEAT" xfId="26473"/>
    <cellStyle name="Überschrift 69_est. MEAT" xfId="26474"/>
    <cellStyle name="Überschrift 7 2_est. MEAT" xfId="26475"/>
    <cellStyle name="Überschrift 70_est. MEAT" xfId="26476"/>
    <cellStyle name="Überschrift 71_est. MEAT" xfId="26477"/>
    <cellStyle name="Überschrift 72_est. MEAT" xfId="26478"/>
    <cellStyle name="Überschrift 73_est. MEAT" xfId="26479"/>
    <cellStyle name="Überschrift 74_est. MEAT" xfId="26480"/>
    <cellStyle name="Überschrift 75_est. MEAT" xfId="26481"/>
    <cellStyle name="Überschrift 76_est. MEAT" xfId="26482"/>
    <cellStyle name="Überschrift 77_est. MEAT" xfId="26483"/>
    <cellStyle name="Überschrift 78_est. MEAT" xfId="26484"/>
    <cellStyle name="Überschrift 79_est. MEAT" xfId="26485"/>
    <cellStyle name="Überschrift 8 2_est. MEAT" xfId="26486"/>
    <cellStyle name="Überschrift 80_est. MEAT" xfId="26487"/>
    <cellStyle name="Überschrift 81_est. MEAT" xfId="26488"/>
    <cellStyle name="Überschrift 82_est. MEAT" xfId="26489"/>
    <cellStyle name="Überschrift 83_est. MEAT" xfId="26490"/>
    <cellStyle name="Überschrift 84_est. MEAT" xfId="26491"/>
    <cellStyle name="Überschrift 85_est. MEAT" xfId="26492"/>
    <cellStyle name="Überschrift 86_est. MEAT" xfId="26493"/>
    <cellStyle name="Überschrift 87_est. MEAT" xfId="26494"/>
    <cellStyle name="Überschrift 88_est. MEAT" xfId="26495"/>
    <cellStyle name="Überschrift 89_est. MEAT" xfId="26496"/>
    <cellStyle name="Überschrift 9 2_est. MEAT" xfId="26497"/>
    <cellStyle name="Überschrift 90_est. MEAT" xfId="26498"/>
    <cellStyle name="Überschrift 91_est. MEAT" xfId="26499"/>
    <cellStyle name="Überschrift 92_est. MEAT" xfId="26500"/>
    <cellStyle name="Überschrift 93_est. MEAT" xfId="26501"/>
    <cellStyle name="Überschrift 94_est. MEAT" xfId="26502"/>
    <cellStyle name="Überschrift 95_est. MEAT" xfId="26503"/>
    <cellStyle name="Überschrift 96_est. MEAT" xfId="26504"/>
    <cellStyle name="Überschrift 97_est. MEAT" xfId="26505"/>
    <cellStyle name="Überschrift 98_est. MEAT" xfId="26506"/>
    <cellStyle name="Überschrift 99_est. MEAT" xfId="26507"/>
    <cellStyle name="Verknüpfte Zelle 10 2_est. MEAT" xfId="26508"/>
    <cellStyle name="Verknüpfte Zelle 100_est. MEAT" xfId="26509"/>
    <cellStyle name="Verknüpfte Zelle 101_est. MEAT" xfId="26510"/>
    <cellStyle name="Verknüpfte Zelle 102_est. MEAT" xfId="26511"/>
    <cellStyle name="Verknüpfte Zelle 103_est. MEAT" xfId="26512"/>
    <cellStyle name="Verknüpfte Zelle 104_est. MEAT" xfId="26513"/>
    <cellStyle name="Verknüpfte Zelle 105_est. MEAT" xfId="26514"/>
    <cellStyle name="Verknüpfte Zelle 106_est. MEAT" xfId="26515"/>
    <cellStyle name="Verknüpfte Zelle 107_est. MEAT" xfId="26516"/>
    <cellStyle name="Verknüpfte Zelle 108_est. MEAT" xfId="26517"/>
    <cellStyle name="Verknüpfte Zelle 109_est. MEAT" xfId="26518"/>
    <cellStyle name="Verknüpfte Zelle 11 2_est. MEAT" xfId="26519"/>
    <cellStyle name="Verknüpfte Zelle 110_est. MEAT" xfId="26520"/>
    <cellStyle name="Verknüpfte Zelle 111_est. MEAT" xfId="26521"/>
    <cellStyle name="Verknüpfte Zelle 112_est. MEAT" xfId="26522"/>
    <cellStyle name="Verknüpfte Zelle 113_est. MEAT" xfId="26523"/>
    <cellStyle name="Verknüpfte Zelle 114_est. MEAT" xfId="26524"/>
    <cellStyle name="Verknüpfte Zelle 115_est. MEAT" xfId="26525"/>
    <cellStyle name="Verknüpfte Zelle 116_est. MEAT" xfId="26526"/>
    <cellStyle name="Verknüpfte Zelle 117_est. MEAT" xfId="26527"/>
    <cellStyle name="Verknüpfte Zelle 118_est. MEAT" xfId="26528"/>
    <cellStyle name="Verknüpfte Zelle 119_est. MEAT" xfId="26529"/>
    <cellStyle name="Verknüpfte Zelle 12 2_est. MEAT" xfId="26530"/>
    <cellStyle name="Verknüpfte Zelle 120_est. MEAT" xfId="26531"/>
    <cellStyle name="Verknüpfte Zelle 121_est. MEAT" xfId="26532"/>
    <cellStyle name="Verknüpfte Zelle 122_est. MEAT" xfId="26533"/>
    <cellStyle name="Verknüpfte Zelle 123_est. MEAT" xfId="26534"/>
    <cellStyle name="Verknüpfte Zelle 124_est. MEAT" xfId="26535"/>
    <cellStyle name="Verknüpfte Zelle 125_est. MEAT" xfId="26536"/>
    <cellStyle name="Verknüpfte Zelle 126_est. MEAT" xfId="26537"/>
    <cellStyle name="Verknüpfte Zelle 127_est. MEAT" xfId="26538"/>
    <cellStyle name="Verknüpfte Zelle 128_est. MEAT" xfId="26539"/>
    <cellStyle name="Verknüpfte Zelle 129_est. MEAT" xfId="26540"/>
    <cellStyle name="Verknüpfte Zelle 13 2_est. MEAT" xfId="26541"/>
    <cellStyle name="Verknüpfte Zelle 130_est. MEAT" xfId="26542"/>
    <cellStyle name="Verknüpfte Zelle 131_est. MEAT" xfId="26543"/>
    <cellStyle name="Verknüpfte Zelle 132_est. MEAT" xfId="26544"/>
    <cellStyle name="Verknüpfte Zelle 133_est. MEAT" xfId="26545"/>
    <cellStyle name="Verknüpfte Zelle 134_est. MEAT" xfId="26546"/>
    <cellStyle name="Verknüpfte Zelle 135_est. MEAT" xfId="26547"/>
    <cellStyle name="Verknüpfte Zelle 136_est. MEAT" xfId="26548"/>
    <cellStyle name="Verknüpfte Zelle 137_est. MEAT" xfId="26549"/>
    <cellStyle name="Verknüpfte Zelle 138_est. MEAT" xfId="26550"/>
    <cellStyle name="Verknüpfte Zelle 139_est. MEAT" xfId="26551"/>
    <cellStyle name="Verknüpfte Zelle 14 2_est. MEAT" xfId="26552"/>
    <cellStyle name="Verknüpfte Zelle 140_est. MEAT" xfId="26553"/>
    <cellStyle name="Verknüpfte Zelle 141_est. MEAT" xfId="26554"/>
    <cellStyle name="Verknüpfte Zelle 142_est. MEAT" xfId="26555"/>
    <cellStyle name="Verknüpfte Zelle 143_est. MEAT" xfId="26556"/>
    <cellStyle name="Verknüpfte Zelle 144_est. MEAT" xfId="26557"/>
    <cellStyle name="Verknüpfte Zelle 145_est. MEAT" xfId="26558"/>
    <cellStyle name="Verknüpfte Zelle 146_est. MEAT" xfId="26559"/>
    <cellStyle name="Verknüpfte Zelle 147_est. MEAT" xfId="26560"/>
    <cellStyle name="Verknüpfte Zelle 148_est. MEAT" xfId="26561"/>
    <cellStyle name="Verknüpfte Zelle 149_est. MEAT" xfId="26562"/>
    <cellStyle name="Verknüpfte Zelle 15_est. MEAT" xfId="26563"/>
    <cellStyle name="Verknüpfte Zelle 150_est. MEAT" xfId="26564"/>
    <cellStyle name="Verknüpfte Zelle 151_est. MEAT" xfId="26565"/>
    <cellStyle name="Verknüpfte Zelle 16_est. MEAT" xfId="26566"/>
    <cellStyle name="Verknüpfte Zelle 17_est. MEAT" xfId="26567"/>
    <cellStyle name="Verknüpfte Zelle 18_est. MEAT" xfId="26568"/>
    <cellStyle name="Verknüpfte Zelle 19_est. MEAT" xfId="26569"/>
    <cellStyle name="Verknüpfte Zelle 2 2_est. MEAT" xfId="26570"/>
    <cellStyle name="Verknüpfte Zelle 20_est. MEAT" xfId="26571"/>
    <cellStyle name="Verknüpfte Zelle 21_est. MEAT" xfId="26572"/>
    <cellStyle name="Verknüpfte Zelle 22_est. MEAT" xfId="26573"/>
    <cellStyle name="Verknüpfte Zelle 23_est. MEAT" xfId="26574"/>
    <cellStyle name="Verknüpfte Zelle 24_est. MEAT" xfId="26575"/>
    <cellStyle name="Verknüpfte Zelle 25_est. MEAT" xfId="26576"/>
    <cellStyle name="Verknüpfte Zelle 26_est. MEAT" xfId="26577"/>
    <cellStyle name="Verknüpfte Zelle 27_est. MEAT" xfId="26578"/>
    <cellStyle name="Verknüpfte Zelle 28_est. MEAT" xfId="26579"/>
    <cellStyle name="Verknüpfte Zelle 29_est. MEAT" xfId="26580"/>
    <cellStyle name="Verknüpfte Zelle 3 2_est. MEAT" xfId="26581"/>
    <cellStyle name="Verknüpfte Zelle 30_est. MEAT" xfId="26582"/>
    <cellStyle name="Verknüpfte Zelle 31_est. MEAT" xfId="26583"/>
    <cellStyle name="Verknüpfte Zelle 32_est. MEAT" xfId="26584"/>
    <cellStyle name="Verknüpfte Zelle 33_est. MEAT" xfId="26585"/>
    <cellStyle name="Verknüpfte Zelle 34_est. MEAT" xfId="26586"/>
    <cellStyle name="Verknüpfte Zelle 35_est. MEAT" xfId="26587"/>
    <cellStyle name="Verknüpfte Zelle 36_est. MEAT" xfId="26588"/>
    <cellStyle name="Verknüpfte Zelle 37_est. MEAT" xfId="26589"/>
    <cellStyle name="Verknüpfte Zelle 38_est. MEAT" xfId="26590"/>
    <cellStyle name="Verknüpfte Zelle 39_est. MEAT" xfId="26591"/>
    <cellStyle name="Verknüpfte Zelle 4 2_est. MEAT" xfId="26592"/>
    <cellStyle name="Verknüpfte Zelle 40_est. MEAT" xfId="26593"/>
    <cellStyle name="Verknüpfte Zelle 41_est. MEAT" xfId="26594"/>
    <cellStyle name="Verknüpfte Zelle 42_est. MEAT" xfId="26595"/>
    <cellStyle name="Verknüpfte Zelle 43_est. MEAT" xfId="26596"/>
    <cellStyle name="Verknüpfte Zelle 44_est. MEAT" xfId="26597"/>
    <cellStyle name="Verknüpfte Zelle 45_est. MEAT" xfId="26598"/>
    <cellStyle name="Verknüpfte Zelle 46_est. MEAT" xfId="26599"/>
    <cellStyle name="Verknüpfte Zelle 47_est. MEAT" xfId="26600"/>
    <cellStyle name="Verknüpfte Zelle 48_est. MEAT" xfId="26601"/>
    <cellStyle name="Verknüpfte Zelle 49_est. MEAT" xfId="26602"/>
    <cellStyle name="Verknüpfte Zelle 5 2_est. MEAT" xfId="26603"/>
    <cellStyle name="Verknüpfte Zelle 50_est. MEAT" xfId="26604"/>
    <cellStyle name="Verknüpfte Zelle 51_est. MEAT" xfId="26605"/>
    <cellStyle name="Verknüpfte Zelle 52_est. MEAT" xfId="26606"/>
    <cellStyle name="Verknüpfte Zelle 53_est. MEAT" xfId="26607"/>
    <cellStyle name="Verknüpfte Zelle 54_est. MEAT" xfId="26608"/>
    <cellStyle name="Verknüpfte Zelle 55_est. MEAT" xfId="26609"/>
    <cellStyle name="Verknüpfte Zelle 56_est. MEAT" xfId="26610"/>
    <cellStyle name="Verknüpfte Zelle 57_est. MEAT" xfId="26611"/>
    <cellStyle name="Verknüpfte Zelle 58_est. MEAT" xfId="26612"/>
    <cellStyle name="Verknüpfte Zelle 59_est. MEAT" xfId="26613"/>
    <cellStyle name="Verknüpfte Zelle 6 2_est. MEAT" xfId="26614"/>
    <cellStyle name="Verknüpfte Zelle 60_est. MEAT" xfId="26615"/>
    <cellStyle name="Verknüpfte Zelle 61_est. MEAT" xfId="26616"/>
    <cellStyle name="Verknüpfte Zelle 62_est. MEAT" xfId="26617"/>
    <cellStyle name="Verknüpfte Zelle 63_est. MEAT" xfId="26618"/>
    <cellStyle name="Verknüpfte Zelle 64_est. MEAT" xfId="26619"/>
    <cellStyle name="Verknüpfte Zelle 65_est. MEAT" xfId="26620"/>
    <cellStyle name="Verknüpfte Zelle 66_est. MEAT" xfId="26621"/>
    <cellStyle name="Verknüpfte Zelle 67_est. MEAT" xfId="26622"/>
    <cellStyle name="Verknüpfte Zelle 68_est. MEAT" xfId="26623"/>
    <cellStyle name="Verknüpfte Zelle 69_est. MEAT" xfId="26624"/>
    <cellStyle name="Verknüpfte Zelle 7 2_est. MEAT" xfId="26625"/>
    <cellStyle name="Verknüpfte Zelle 70_est. MEAT" xfId="26626"/>
    <cellStyle name="Verknüpfte Zelle 71_est. MEAT" xfId="26627"/>
    <cellStyle name="Verknüpfte Zelle 72_est. MEAT" xfId="26628"/>
    <cellStyle name="Verknüpfte Zelle 73_est. MEAT" xfId="26629"/>
    <cellStyle name="Verknüpfte Zelle 74_est. MEAT" xfId="26630"/>
    <cellStyle name="Verknüpfte Zelle 75_est. MEAT" xfId="26631"/>
    <cellStyle name="Verknüpfte Zelle 76_est. MEAT" xfId="26632"/>
    <cellStyle name="Verknüpfte Zelle 77_est. MEAT" xfId="26633"/>
    <cellStyle name="Verknüpfte Zelle 78_est. MEAT" xfId="26634"/>
    <cellStyle name="Verknüpfte Zelle 79_est. MEAT" xfId="26635"/>
    <cellStyle name="Verknüpfte Zelle 8 2_est. MEAT" xfId="26636"/>
    <cellStyle name="Verknüpfte Zelle 80_est. MEAT" xfId="26637"/>
    <cellStyle name="Verknüpfte Zelle 81_est. MEAT" xfId="26638"/>
    <cellStyle name="Verknüpfte Zelle 82_est. MEAT" xfId="26639"/>
    <cellStyle name="Verknüpfte Zelle 83_est. MEAT" xfId="26640"/>
    <cellStyle name="Verknüpfte Zelle 84_est. MEAT" xfId="26641"/>
    <cellStyle name="Verknüpfte Zelle 85_est. MEAT" xfId="26642"/>
    <cellStyle name="Verknüpfte Zelle 86_est. MEAT" xfId="26643"/>
    <cellStyle name="Verknüpfte Zelle 87_est. MEAT" xfId="26644"/>
    <cellStyle name="Verknüpfte Zelle 88_est. MEAT" xfId="26645"/>
    <cellStyle name="Verknüpfte Zelle 89_est. MEAT" xfId="26646"/>
    <cellStyle name="Verknüpfte Zelle 9 2_est. MEAT" xfId="26647"/>
    <cellStyle name="Verknüpfte Zelle 90_est. MEAT" xfId="26648"/>
    <cellStyle name="Verknüpfte Zelle 91_est. MEAT" xfId="26649"/>
    <cellStyle name="Verknüpfte Zelle 92_est. MEAT" xfId="26650"/>
    <cellStyle name="Verknüpfte Zelle 93_est. MEAT" xfId="26651"/>
    <cellStyle name="Verknüpfte Zelle 94_est. MEAT" xfId="26652"/>
    <cellStyle name="Verknüpfte Zelle 95_est. MEAT" xfId="26653"/>
    <cellStyle name="Verknüpfte Zelle 96_est. MEAT" xfId="26654"/>
    <cellStyle name="Verknüpfte Zelle 97_est. MEAT" xfId="26655"/>
    <cellStyle name="Verknüpfte Zelle 98_est. MEAT" xfId="26656"/>
    <cellStyle name="Verknüpfte Zelle 99_est. MEAT" xfId="26657"/>
    <cellStyle name="Währung 2_est. MEAT" xfId="26658"/>
    <cellStyle name="Währung 3_est. MEAT" xfId="26659"/>
    <cellStyle name="Warnender Text 10_est. MEAT" xfId="26660"/>
    <cellStyle name="Warnender Text 100_est. MEAT" xfId="26661"/>
    <cellStyle name="Warnender Text 101_est. MEAT" xfId="26662"/>
    <cellStyle name="Warnender Text 102_est. MEAT" xfId="26663"/>
    <cellStyle name="Warnender Text 103_est. MEAT" xfId="26664"/>
    <cellStyle name="Warnender Text 104_est. MEAT" xfId="26665"/>
    <cellStyle name="Warnender Text 105_est. MEAT" xfId="26666"/>
    <cellStyle name="Warnender Text 106_est. MEAT" xfId="26667"/>
    <cellStyle name="Warnender Text 107_est. MEAT" xfId="26668"/>
    <cellStyle name="Warnender Text 11_est. MEAT" xfId="26669"/>
    <cellStyle name="Warnender Text 12_est. MEAT" xfId="26670"/>
    <cellStyle name="Warnender Text 13_est. MEAT" xfId="26671"/>
    <cellStyle name="Warnender Text 14_est. MEAT" xfId="26672"/>
    <cellStyle name="Warnender Text 15_est. MEAT" xfId="26673"/>
    <cellStyle name="Warnender Text 16_est. MEAT" xfId="26674"/>
    <cellStyle name="Warnender Text 17_est. MEAT" xfId="26675"/>
    <cellStyle name="Warnender Text 18_est. MEAT" xfId="26676"/>
    <cellStyle name="Warnender Text 19_est. MEAT" xfId="26677"/>
    <cellStyle name="Warnender Text 2_est. MEAT" xfId="26678"/>
    <cellStyle name="Warnender Text 20_est. MEAT" xfId="26679"/>
    <cellStyle name="Warnender Text 21_est. MEAT" xfId="26680"/>
    <cellStyle name="Warnender Text 22_est. MEAT" xfId="26681"/>
    <cellStyle name="Warnender Text 23_est. MEAT" xfId="26682"/>
    <cellStyle name="Warnender Text 24_est. MEAT" xfId="26683"/>
    <cellStyle name="Warnender Text 25_est. MEAT" xfId="26684"/>
    <cellStyle name="Warnender Text 26_est. MEAT" xfId="26685"/>
    <cellStyle name="Warnender Text 27_est. MEAT" xfId="26686"/>
    <cellStyle name="Warnender Text 28_est. MEAT" xfId="26687"/>
    <cellStyle name="Warnender Text 29_est. MEAT" xfId="26688"/>
    <cellStyle name="Warnender Text 3_est. MEAT" xfId="26689"/>
    <cellStyle name="Warnender Text 30_est. MEAT" xfId="26690"/>
    <cellStyle name="Warnender Text 31_est. MEAT" xfId="26691"/>
    <cellStyle name="Warnender Text 32_est. MEAT" xfId="26692"/>
    <cellStyle name="Warnender Text 33_est. MEAT" xfId="26693"/>
    <cellStyle name="Warnender Text 34_est. MEAT" xfId="26694"/>
    <cellStyle name="Warnender Text 35_est. MEAT" xfId="26695"/>
    <cellStyle name="Warnender Text 36_est. MEAT" xfId="26696"/>
    <cellStyle name="Warnender Text 37_est. MEAT" xfId="26697"/>
    <cellStyle name="Warnender Text 38_est. MEAT" xfId="26698"/>
    <cellStyle name="Warnender Text 39_est. MEAT" xfId="26699"/>
    <cellStyle name="Warnender Text 4_est. MEAT" xfId="26700"/>
    <cellStyle name="Warnender Text 40_est. MEAT" xfId="26701"/>
    <cellStyle name="Warnender Text 41_est. MEAT" xfId="26702"/>
    <cellStyle name="Warnender Text 42_est. MEAT" xfId="26703"/>
    <cellStyle name="Warnender Text 43_est. MEAT" xfId="26704"/>
    <cellStyle name="Warnender Text 44_est. MEAT" xfId="26705"/>
    <cellStyle name="Warnender Text 45_est. MEAT" xfId="26706"/>
    <cellStyle name="Warnender Text 46_est. MEAT" xfId="26707"/>
    <cellStyle name="Warnender Text 47_est. MEAT" xfId="26708"/>
    <cellStyle name="Warnender Text 48_est. MEAT" xfId="26709"/>
    <cellStyle name="Warnender Text 49_est. MEAT" xfId="26710"/>
    <cellStyle name="Warnender Text 5_est. MEAT" xfId="26711"/>
    <cellStyle name="Warnender Text 50_est. MEAT" xfId="26712"/>
    <cellStyle name="Warnender Text 51_est. MEAT" xfId="26713"/>
    <cellStyle name="Warnender Text 52_est. MEAT" xfId="26714"/>
    <cellStyle name="Warnender Text 53_est. MEAT" xfId="26715"/>
    <cellStyle name="Warnender Text 54_est. MEAT" xfId="26716"/>
    <cellStyle name="Warnender Text 55_est. MEAT" xfId="26717"/>
    <cellStyle name="Warnender Text 56_est. MEAT" xfId="26718"/>
    <cellStyle name="Warnender Text 57_est. MEAT" xfId="26719"/>
    <cellStyle name="Warnender Text 58_est. MEAT" xfId="26720"/>
    <cellStyle name="Warnender Text 59_est. MEAT" xfId="26721"/>
    <cellStyle name="Warnender Text 6_est. MEAT" xfId="26722"/>
    <cellStyle name="Warnender Text 60_est. MEAT" xfId="26723"/>
    <cellStyle name="Warnender Text 61_est. MEAT" xfId="26724"/>
    <cellStyle name="Warnender Text 62_est. MEAT" xfId="26725"/>
    <cellStyle name="Warnender Text 63_est. MEAT" xfId="26726"/>
    <cellStyle name="Warnender Text 64_est. MEAT" xfId="26727"/>
    <cellStyle name="Warnender Text 65_est. MEAT" xfId="26728"/>
    <cellStyle name="Warnender Text 66_est. MEAT" xfId="26729"/>
    <cellStyle name="Warnender Text 67_est. MEAT" xfId="26730"/>
    <cellStyle name="Warnender Text 68_est. MEAT" xfId="26731"/>
    <cellStyle name="Warnender Text 69_est. MEAT" xfId="26732"/>
    <cellStyle name="Warnender Text 7_est. MEAT" xfId="26733"/>
    <cellStyle name="Warnender Text 70_est. MEAT" xfId="26734"/>
    <cellStyle name="Warnender Text 71_est. MEAT" xfId="26735"/>
    <cellStyle name="Warnender Text 72_est. MEAT" xfId="26736"/>
    <cellStyle name="Warnender Text 73_est. MEAT" xfId="26737"/>
    <cellStyle name="Warnender Text 74_est. MEAT" xfId="26738"/>
    <cellStyle name="Warnender Text 75_est. MEAT" xfId="26739"/>
    <cellStyle name="Warnender Text 76_est. MEAT" xfId="26740"/>
    <cellStyle name="Warnender Text 77_est. MEAT" xfId="26741"/>
    <cellStyle name="Warnender Text 78_est. MEAT" xfId="26742"/>
    <cellStyle name="Warnender Text 79_est. MEAT" xfId="26743"/>
    <cellStyle name="Warnender Text 8_est. MEAT" xfId="26744"/>
    <cellStyle name="Warnender Text 80_est. MEAT" xfId="26745"/>
    <cellStyle name="Warnender Text 81_est. MEAT" xfId="26746"/>
    <cellStyle name="Warnender Text 82_est. MEAT" xfId="26747"/>
    <cellStyle name="Warnender Text 83_est. MEAT" xfId="26748"/>
    <cellStyle name="Warnender Text 84_est. MEAT" xfId="26749"/>
    <cellStyle name="Warnender Text 85_est. MEAT" xfId="26750"/>
    <cellStyle name="Warnender Text 86_est. MEAT" xfId="26751"/>
    <cellStyle name="Warnender Text 87_est. MEAT" xfId="26752"/>
    <cellStyle name="Warnender Text 88_est. MEAT" xfId="26753"/>
    <cellStyle name="Warnender Text 89_est. MEAT" xfId="26754"/>
    <cellStyle name="Warnender Text 9_est. MEAT" xfId="26755"/>
    <cellStyle name="Warnender Text 90_est. MEAT" xfId="26756"/>
    <cellStyle name="Warnender Text 91_est. MEAT" xfId="26757"/>
    <cellStyle name="Warnender Text 92_est. MEAT" xfId="26758"/>
    <cellStyle name="Warnender Text 93_est. MEAT" xfId="26759"/>
    <cellStyle name="Warnender Text 94_est. MEAT" xfId="26760"/>
    <cellStyle name="Warnender Text 95_est. MEAT" xfId="26761"/>
    <cellStyle name="Warnender Text 96_est. MEAT" xfId="26762"/>
    <cellStyle name="Warnender Text 97_est. MEAT" xfId="26763"/>
    <cellStyle name="Warnender Text 98_est. MEAT" xfId="26764"/>
    <cellStyle name="Warnender Text 99_est. MEAT" xfId="26765"/>
    <cellStyle name="Warning Text 2_est. MEAT" xfId="26766"/>
    <cellStyle name="Zeilenbruch_est. MEAT" xfId="26767"/>
    <cellStyle name="Zelle überprüfen 10_est. MEAT" xfId="26768"/>
    <cellStyle name="Zelle überprüfen 100_est. MEAT" xfId="26769"/>
    <cellStyle name="Zelle überprüfen 101_est. MEAT" xfId="26770"/>
    <cellStyle name="Zelle überprüfen 102_est. MEAT" xfId="26771"/>
    <cellStyle name="Zelle überprüfen 103_est. MEAT" xfId="26772"/>
    <cellStyle name="Zelle überprüfen 104_est. MEAT" xfId="26773"/>
    <cellStyle name="Zelle überprüfen 105_est. MEAT" xfId="26774"/>
    <cellStyle name="Zelle überprüfen 106_est. MEAT" xfId="26775"/>
    <cellStyle name="Zelle überprüfen 107_est. MEAT" xfId="26776"/>
    <cellStyle name="Zelle überprüfen 11_est. MEAT" xfId="26777"/>
    <cellStyle name="Zelle überprüfen 12_est. MEAT" xfId="26778"/>
    <cellStyle name="Zelle überprüfen 13_est. MEAT" xfId="26779"/>
    <cellStyle name="Zelle überprüfen 14_est. MEAT" xfId="26780"/>
    <cellStyle name="Zelle überprüfen 15_est. MEAT" xfId="26781"/>
    <cellStyle name="Zelle überprüfen 16_est. MEAT" xfId="26782"/>
    <cellStyle name="Zelle überprüfen 17_est. MEAT" xfId="26783"/>
    <cellStyle name="Zelle überprüfen 18_est. MEAT" xfId="26784"/>
    <cellStyle name="Zelle überprüfen 19_est. MEAT" xfId="26785"/>
    <cellStyle name="Zelle überprüfen 2_est. MEAT" xfId="26786"/>
    <cellStyle name="Zelle überprüfen 20_est. MEAT" xfId="26787"/>
    <cellStyle name="Zelle überprüfen 21_est. MEAT" xfId="26788"/>
    <cellStyle name="Zelle überprüfen 22_est. MEAT" xfId="26789"/>
    <cellStyle name="Zelle überprüfen 23_est. MEAT" xfId="26790"/>
    <cellStyle name="Zelle überprüfen 24_est. MEAT" xfId="26791"/>
    <cellStyle name="Zelle überprüfen 25_est. MEAT" xfId="26792"/>
    <cellStyle name="Zelle überprüfen 26_est. MEAT" xfId="26793"/>
    <cellStyle name="Zelle überprüfen 27_est. MEAT" xfId="26794"/>
    <cellStyle name="Zelle überprüfen 28_est. MEAT" xfId="26795"/>
    <cellStyle name="Zelle überprüfen 29_est. MEAT" xfId="26796"/>
    <cellStyle name="Zelle überprüfen 3_est. MEAT" xfId="26797"/>
    <cellStyle name="Zelle überprüfen 30_est. MEAT" xfId="26798"/>
    <cellStyle name="Zelle überprüfen 31_est. MEAT" xfId="26799"/>
    <cellStyle name="Zelle überprüfen 32_est. MEAT" xfId="26800"/>
    <cellStyle name="Zelle überprüfen 33_est. MEAT" xfId="26801"/>
    <cellStyle name="Zelle überprüfen 34_est. MEAT" xfId="26802"/>
    <cellStyle name="Zelle überprüfen 35_est. MEAT" xfId="26803"/>
    <cellStyle name="Zelle überprüfen 36_est. MEAT" xfId="26804"/>
    <cellStyle name="Zelle überprüfen 37_est. MEAT" xfId="26805"/>
    <cellStyle name="Zelle überprüfen 38_est. MEAT" xfId="26806"/>
    <cellStyle name="Zelle überprüfen 39_est. MEAT" xfId="26807"/>
    <cellStyle name="Zelle überprüfen 4_est. MEAT" xfId="26808"/>
    <cellStyle name="Zelle überprüfen 40_est. MEAT" xfId="26809"/>
    <cellStyle name="Zelle überprüfen 41_est. MEAT" xfId="26810"/>
    <cellStyle name="Zelle überprüfen 42_est. MEAT" xfId="26811"/>
    <cellStyle name="Zelle überprüfen 43_est. MEAT" xfId="26812"/>
    <cellStyle name="Zelle überprüfen 44_est. MEAT" xfId="26813"/>
    <cellStyle name="Zelle überprüfen 45_est. MEAT" xfId="26814"/>
    <cellStyle name="Zelle überprüfen 46_est. MEAT" xfId="26815"/>
    <cellStyle name="Zelle überprüfen 47_est. MEAT" xfId="26816"/>
    <cellStyle name="Zelle überprüfen 48_est. MEAT" xfId="26817"/>
    <cellStyle name="Zelle überprüfen 49_est. MEAT" xfId="26818"/>
    <cellStyle name="Zelle überprüfen 5_est. MEAT" xfId="26819"/>
    <cellStyle name="Zelle überprüfen 50_est. MEAT" xfId="26820"/>
    <cellStyle name="Zelle überprüfen 51_est. MEAT" xfId="26821"/>
    <cellStyle name="Zelle überprüfen 52_est. MEAT" xfId="26822"/>
    <cellStyle name="Zelle überprüfen 53_est. MEAT" xfId="26823"/>
    <cellStyle name="Zelle überprüfen 54_est. MEAT" xfId="26824"/>
    <cellStyle name="Zelle überprüfen 55_est. MEAT" xfId="26825"/>
    <cellStyle name="Zelle überprüfen 56_est. MEAT" xfId="26826"/>
    <cellStyle name="Zelle überprüfen 57_est. MEAT" xfId="26827"/>
    <cellStyle name="Zelle überprüfen 58_est. MEAT" xfId="26828"/>
    <cellStyle name="Zelle überprüfen 59_est. MEAT" xfId="26829"/>
    <cellStyle name="Zelle überprüfen 6_est. MEAT" xfId="26830"/>
    <cellStyle name="Zelle überprüfen 60_est. MEAT" xfId="26831"/>
    <cellStyle name="Zelle überprüfen 61_est. MEAT" xfId="26832"/>
    <cellStyle name="Zelle überprüfen 62_est. MEAT" xfId="26833"/>
    <cellStyle name="Zelle überprüfen 63_est. MEAT" xfId="26834"/>
    <cellStyle name="Zelle überprüfen 64_est. MEAT" xfId="26835"/>
    <cellStyle name="Zelle überprüfen 65_est. MEAT" xfId="26836"/>
    <cellStyle name="Zelle überprüfen 66_est. MEAT" xfId="26837"/>
    <cellStyle name="Zelle überprüfen 67_est. MEAT" xfId="26838"/>
    <cellStyle name="Zelle überprüfen 68_est. MEAT" xfId="26839"/>
    <cellStyle name="Zelle überprüfen 69_est. MEAT" xfId="26840"/>
    <cellStyle name="Zelle überprüfen 7_est. MEAT" xfId="26841"/>
    <cellStyle name="Zelle überprüfen 70_est. MEAT" xfId="26842"/>
    <cellStyle name="Zelle überprüfen 71_est. MEAT" xfId="26843"/>
    <cellStyle name="Zelle überprüfen 72_est. MEAT" xfId="26844"/>
    <cellStyle name="Zelle überprüfen 73_est. MEAT" xfId="26845"/>
    <cellStyle name="Zelle überprüfen 74_est. MEAT" xfId="26846"/>
    <cellStyle name="Zelle überprüfen 75_est. MEAT" xfId="26847"/>
    <cellStyle name="Zelle überprüfen 76_est. MEAT" xfId="26848"/>
    <cellStyle name="Zelle überprüfen 77_est. MEAT" xfId="26849"/>
    <cellStyle name="Zelle überprüfen 78_est. MEAT" xfId="26850"/>
    <cellStyle name="Zelle überprüfen 79_est. MEAT" xfId="26851"/>
    <cellStyle name="Zelle überprüfen 8_est. MEAT" xfId="26852"/>
    <cellStyle name="Zelle überprüfen 80_est. MEAT" xfId="26853"/>
    <cellStyle name="Zelle überprüfen 81_est. MEAT" xfId="26854"/>
    <cellStyle name="Zelle überprüfen 82_est. MEAT" xfId="26855"/>
    <cellStyle name="Zelle überprüfen 83_est. MEAT" xfId="26856"/>
    <cellStyle name="Zelle überprüfen 84_est. MEAT" xfId="26857"/>
    <cellStyle name="Zelle überprüfen 85_est. MEAT" xfId="26858"/>
    <cellStyle name="Zelle überprüfen 86_est. MEAT" xfId="26859"/>
    <cellStyle name="Zelle überprüfen 87_est. MEAT" xfId="26860"/>
    <cellStyle name="Zelle überprüfen 88_est. MEAT" xfId="26861"/>
    <cellStyle name="Zelle überprüfen 89_est. MEAT" xfId="26862"/>
    <cellStyle name="Zelle überprüfen 9_est. MEAT" xfId="26863"/>
    <cellStyle name="Zelle überprüfen 90_est. MEAT" xfId="26864"/>
    <cellStyle name="Zelle überprüfen 91_est. MEAT" xfId="26865"/>
    <cellStyle name="Zelle überprüfen 92_est. MEAT" xfId="26866"/>
    <cellStyle name="Zelle überprüfen 93_est. MEAT" xfId="26867"/>
    <cellStyle name="Zelle überprüfen 94_est. MEAT" xfId="26868"/>
    <cellStyle name="Zelle überprüfen 95_est. MEAT" xfId="26869"/>
    <cellStyle name="Zelle überprüfen 96_est. MEAT" xfId="26870"/>
    <cellStyle name="Zelle überprüfen 97_est. MEAT" xfId="26871"/>
    <cellStyle name="Zelle überprüfen 98_est. MEAT" xfId="26872"/>
    <cellStyle name="Zelle überprüfen 99_est. MEAT" xfId="26873"/>
    <cellStyle name="zentr(hoch,quer)_est. MEAT" xfId="26874"/>
    <cellStyle name="Normal 137" xfId="26875"/>
    <cellStyle name="Percent 4" xfId="26876"/>
    <cellStyle name="Normal 3 8" xfId="26877"/>
    <cellStyle name="Currency 2 3" xfId="26878"/>
    <cellStyle name="Percent 2 3" xfId="26879"/>
    <cellStyle name="Percent 3 3" xfId="26880"/>
  </cellStyles>
  <dxfs count="789">
    <dxf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 style="thin">
          <color theme="4" tint="0.3999755851924192"/>
        </right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7030A0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font>
        <b val="1"/>
        <color rgb="FFFF0000"/>
      </font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ont>
        <b val="1"/>
        <color rgb="FFFF0000"/>
      </font>
    </dxf>
    <dxf>
      <fill>
        <patternFill>
          <bgColor rgb="FFFFFF00"/>
        </patternFill>
      </fill>
    </dxf>
    <dxf>
      <fill>
        <patternFill>
          <bgColor rgb="FFC5D9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b val="1"/>
        <color rgb="FFFF0000"/>
      </font>
    </dxf>
    <dxf>
      <numFmt numFmtId="13" formatCode="0%"/>
      <fill>
        <patternFill patternType="solid">
          <fgColor indexed="64"/>
          <bgColor theme="0" tint="-0.499984740745262"/>
        </patternFill>
      </fill>
      <alignment horizontal="center" vertical="bottom"/>
      <border>
        <left/>
        <right style="thin">
          <color theme="4" tint="0.3999755851924192"/>
        </right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 style="thin">
          <color theme="4" tint="0.3999755851924192"/>
        </right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6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dd/mm/yy;@"/>
      <fill>
        <patternFill patternType="solid">
          <fgColor indexed="64"/>
          <bgColor theme="0"/>
        </patternFill>
      </fill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7" formatCode="#,##0.00\ &quot;€&quot;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6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alignment horizontal="right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5" formatCode="#,##0\ &quot;€&quot;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dd/mm/yy;@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dd/mm/yy;@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border outline="0">
        <left style="thin">
          <color theme="4" tint="0.3999755851924192"/>
        </left>
      </border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ont>
        <color rgb="FFFF0000"/>
      </font>
    </dxf>
    <dxf>
      <fill>
        <patternFill patternType="darkDown"/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left" vertical="bottom"/>
    </dxf>
    <dxf>
      <numFmt numFmtId="0" formatCode="General"/>
    </dxf>
    <dxf>
      <fill>
        <patternFill>
          <fgColor indexed="64"/>
          <bgColor rgb="FF20376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pivotCacheDefinition" Target="/xl/pivotCache/pivotCacheDefinition1.xml" Id="rId16" /><Relationship Type="http://schemas.openxmlformats.org/officeDocument/2006/relationships/externalLink" Target="/xl/externalLinks/externalLink1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416962228097102"/>
          <y val="0.05148687349333132"/>
          <w val="0.8331266176226372"/>
          <h val="0.8843991263681967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Data'!$B$2</f>
              <strCache>
                <ptCount val="1"/>
                <pt idx="0">
                  <v xml:space="preserve"> Devis </v>
                </pt>
              </strCache>
            </strRef>
          </tx>
          <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</spPr>
          <invertIfNegative val="0"/>
          <val>
            <numRef>
              <f>'Weekly Data'!$C$2:$BB$2</f>
              <numCache>
                <formatCode>_-* #\ ##0\ [$€-407]_-;\-* #\ ##0\ [$€-407]_-;_-* "-"??\ [$€-407]_-;_-@_-</formatCode>
                <ptCount val="52"/>
                <pt idx="0">
                  <v>12719</v>
                </pt>
                <pt idx="1">
                  <v>43355</v>
                </pt>
                <pt idx="2">
                  <v>27121</v>
                </pt>
                <pt idx="3">
                  <v>660</v>
                </pt>
                <pt idx="4">
                  <v>21496</v>
                </pt>
                <pt idx="5">
                  <v>14804</v>
                </pt>
                <pt idx="6">
                  <v>71457.39999999999</v>
                </pt>
                <pt idx="7">
                  <v>1915</v>
                </pt>
                <pt idx="8">
                  <v>23765</v>
                </pt>
                <pt idx="9">
                  <v>5007</v>
                </pt>
                <pt idx="10">
                  <v>26736</v>
                </pt>
                <pt idx="11">
                  <v>707</v>
                </pt>
                <pt idx="12">
                  <v>3180</v>
                </pt>
                <pt idx="13">
                  <v>18533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1"/>
          <order val="1"/>
          <tx>
            <strRef>
              <f>'Weekly Data'!$B$3</f>
              <strCache>
                <ptCount val="1"/>
                <pt idx="0">
                  <v xml:space="preserve"> Cmde 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invertIfNegative val="0"/>
          <val>
            <numRef>
              <f>'Weekly Data'!$C$3:$BB$3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12384</v>
                </pt>
                <pt idx="2">
                  <v>660</v>
                </pt>
                <pt idx="3">
                  <v>8736</v>
                </pt>
                <pt idx="4">
                  <v>5150</v>
                </pt>
                <pt idx="5">
                  <v>3180</v>
                </pt>
                <pt idx="6">
                  <v>77275</v>
                </pt>
                <pt idx="7">
                  <v>33077</v>
                </pt>
                <pt idx="8">
                  <v>8097</v>
                </pt>
                <pt idx="9">
                  <v>13676</v>
                </pt>
                <pt idx="10">
                  <v>2396</v>
                </pt>
                <pt idx="11">
                  <v>12223</v>
                </pt>
                <pt idx="12">
                  <v>1386</v>
                </pt>
                <pt idx="13">
                  <v>15131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2"/>
          <order val="2"/>
          <tx>
            <strRef>
              <f>'Weekly Data'!$B$4</f>
              <strCache>
                <ptCount val="1"/>
                <pt idx="0">
                  <v xml:space="preserve"> CA </v>
                </pt>
              </strCache>
            </strRef>
          </tx>
          <spPr>
            <a:ln>
              <a:solidFill>
                <a:schemeClr val="accent3">
                  <a:lumMod val="60000"/>
                  <a:lumOff val="40000"/>
                </a:schemeClr>
              </a:solidFill>
              <a:prstDash val="solid"/>
            </a:ln>
          </spPr>
          <invertIfNegative val="0"/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Data'!$C$4:$BB$4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3180</v>
                </pt>
                <pt idx="2">
                  <v>5516</v>
                </pt>
                <pt idx="3">
                  <v>0</v>
                </pt>
                <pt idx="4">
                  <v>660</v>
                </pt>
                <pt idx="5">
                  <v>20605</v>
                </pt>
                <pt idx="6">
                  <v>5085</v>
                </pt>
                <pt idx="7">
                  <v>6347</v>
                </pt>
                <pt idx="8">
                  <v>6416</v>
                </pt>
                <pt idx="9">
                  <v>5883.5</v>
                </pt>
                <pt idx="10">
                  <v>5120</v>
                </pt>
                <pt idx="11">
                  <v>14389</v>
                </pt>
                <pt idx="12">
                  <v>20320</v>
                </pt>
                <pt idx="13">
                  <v>15309</v>
                </pt>
                <pt idx="14">
                  <v>385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87785216"/>
        <axId val="187786752"/>
      </barChart>
      <lineChart>
        <grouping val="standard"/>
        <varyColors val="0"/>
        <ser>
          <idx val="3"/>
          <order val="3"/>
          <tx>
            <strRef>
              <f>'Weekly Data'!$B$5</f>
              <strCache>
                <ptCount val="1"/>
                <pt idx="0">
                  <v xml:space="preserve"> Expected Target OI </v>
                </pt>
              </strCache>
            </strRef>
          </tx>
          <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Data'!$C$5:$BB$5</f>
            </numRef>
          </val>
          <smooth val="0"/>
        </ser>
        <ser>
          <idx val="4"/>
          <order val="4"/>
          <tx>
            <strRef>
              <f>'Weekly Data'!$B$6</f>
              <strCache>
                <ptCount val="1"/>
                <pt idx="0">
                  <v xml:space="preserve"> Expected Target Revenue </v>
                </pt>
              </strCache>
            </strRef>
          </tx>
          <spPr>
            <a:ln>
              <a:solidFill>
                <a:srgbClr val="00B050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Data'!$C$6:$BB$6</f>
            </numRef>
          </val>
          <smooth val="0"/>
        </ser>
        <ser>
          <idx val="5"/>
          <order val="5"/>
          <tx>
            <strRef>
              <f>'Weekly Data'!$B$13</f>
              <strCache>
                <ptCount val="1"/>
                <pt idx="0">
                  <v>Backlog</v>
                </pt>
              </strCache>
            </strRef>
          </tx>
          <spPr>
            <a:ln>
              <a:solidFill>
                <a:schemeClr val="accent2">
                  <a:lumMod val="75000"/>
                </a:schemeClr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Data'!$C$13:$BB$13</f>
              <numCache>
                <formatCode>_-* #\ ##0\ [$€-407]_-;\-* #\ ##0\ [$€-407]_-;_-* "-"??\ [$€-407]_-;_-@_-</formatCode>
                <ptCount val="52"/>
                <pt idx="0">
                  <formatCode>_-* #\ ##0\ "€"_-;\-* #\ ##0\ "€"_-;_-* "-"??\ "€"_-;_-@_-</formatCode>
                  <v>39254</v>
                </pt>
                <pt idx="1">
                  <v>48458</v>
                </pt>
                <pt idx="2">
                  <v>43602</v>
                </pt>
                <pt idx="3">
                  <v>52338</v>
                </pt>
                <pt idx="4">
                  <v>56828</v>
                </pt>
                <pt idx="5">
                  <v>39403</v>
                </pt>
                <pt idx="6">
                  <v>111593</v>
                </pt>
                <pt idx="7">
                  <v>138323</v>
                </pt>
                <pt idx="8">
                  <v>140004</v>
                </pt>
                <pt idx="9">
                  <v>147796.5</v>
                </pt>
                <pt idx="10">
                  <v>145072.5</v>
                </pt>
                <pt idx="11">
                  <v>142906.5</v>
                </pt>
                <pt idx="12">
                  <v>123972.5</v>
                </pt>
                <pt idx="13">
                  <v>123794.5</v>
                </pt>
                <pt idx="14">
                  <v>123409.5</v>
                </pt>
                <pt idx="15">
                  <v>123409.5</v>
                </pt>
                <pt idx="16">
                  <v>123409.5</v>
                </pt>
                <pt idx="17">
                  <v>123409.5</v>
                </pt>
                <pt idx="18">
                  <v>123409.5</v>
                </pt>
                <pt idx="19">
                  <v>123409.5</v>
                </pt>
                <pt idx="20">
                  <v>123409.5</v>
                </pt>
                <pt idx="21">
                  <v>123409.5</v>
                </pt>
                <pt idx="22">
                  <v>123409.5</v>
                </pt>
                <pt idx="23">
                  <v>123409.5</v>
                </pt>
                <pt idx="24">
                  <v>123409.5</v>
                </pt>
                <pt idx="25">
                  <v>123409.5</v>
                </pt>
                <pt idx="26">
                  <v>123409.5</v>
                </pt>
                <pt idx="27">
                  <v>123409.5</v>
                </pt>
                <pt idx="28">
                  <v>123409.5</v>
                </pt>
                <pt idx="29">
                  <v>123409.5</v>
                </pt>
                <pt idx="30">
                  <v>123409.5</v>
                </pt>
                <pt idx="31">
                  <v>123409.5</v>
                </pt>
                <pt idx="32">
                  <v>123409.5</v>
                </pt>
                <pt idx="33">
                  <v>123409.5</v>
                </pt>
                <pt idx="34">
                  <v>123409.5</v>
                </pt>
                <pt idx="35">
                  <v>123409.5</v>
                </pt>
                <pt idx="36">
                  <v>123409.5</v>
                </pt>
                <pt idx="37">
                  <v>123409.5</v>
                </pt>
                <pt idx="38">
                  <v>123409.5</v>
                </pt>
                <pt idx="39">
                  <v>123409.5</v>
                </pt>
                <pt idx="40">
                  <v>123409.5</v>
                </pt>
                <pt idx="41">
                  <v>123409.5</v>
                </pt>
                <pt idx="42">
                  <v>123409.5</v>
                </pt>
                <pt idx="43">
                  <v>123409.5</v>
                </pt>
                <pt idx="44">
                  <v>123409.5</v>
                </pt>
                <pt idx="45">
                  <v>123409.5</v>
                </pt>
                <pt idx="46">
                  <v>123409.5</v>
                </pt>
                <pt idx="47">
                  <v>123409.5</v>
                </pt>
                <pt idx="48">
                  <v>123409.5</v>
                </pt>
                <pt idx="49">
                  <v>123409.5</v>
                </pt>
                <pt idx="50">
                  <v>123409.5</v>
                </pt>
                <pt idx="51">
                  <v>123409.5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7785216"/>
        <axId val="187786752"/>
      </lineChart>
      <catAx>
        <axId val="187785216"/>
        <scaling>
          <orientation val="minMax"/>
        </scaling>
        <delete val="0"/>
        <axPos val="b"/>
        <majorTickMark val="out"/>
        <minorTickMark val="none"/>
        <tickLblPos val="nextTo"/>
        <crossAx val="187786752"/>
        <crosses val="autoZero"/>
        <auto val="1"/>
        <lblAlgn val="ctr"/>
        <lblOffset val="100"/>
        <noMultiLvlLbl val="0"/>
      </catAx>
      <valAx>
        <axId val="187786752"/>
        <scaling>
          <orientation val="minMax"/>
        </scaling>
        <delete val="0"/>
        <axPos val="l"/>
        <majorGridlines/>
        <numFmt formatCode="_-* #\ ##0\ [$€-407]_-;\-* #\ ##0\ [$€-407]_-;_-* &quot;-&quot;??\ [$€-407]_-;_-@_-" sourceLinked="1"/>
        <majorTickMark val="out"/>
        <minorTickMark val="none"/>
        <tickLblPos val="nextTo"/>
        <crossAx val="187785216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586941433604545"/>
          <y val="0.07890449560788275"/>
          <w val="0.137533050823575"/>
          <h val="0.4544654958510234"/>
        </manualLayout>
      </layout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'Weekly Data'!$B$104</f>
              <strCache>
                <ptCount val="1"/>
                <pt idx="0">
                  <v xml:space="preserve">MITT. OI CUM 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Data'!$C$104:$BB$104</f>
            </numRef>
          </val>
          <smooth val="0"/>
        </ser>
        <ser>
          <idx val="1"/>
          <order val="1"/>
          <tx>
            <strRef>
              <f>'Weekly Data'!$B$105</f>
              <strCache>
                <ptCount val="1"/>
                <pt idx="0">
                  <v>MITT. REV CUM</v>
                </pt>
              </strCache>
            </strRef>
          </tx>
          <spPr>
            <a:ln>
              <a:solidFill>
                <a:srgbClr val="00B05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Data'!$C$105:$BB$105</f>
            </numRef>
          </val>
          <smooth val="0"/>
        </ser>
        <ser>
          <idx val="2"/>
          <order val="2"/>
          <tx>
            <strRef>
              <f>'Weekly Data'!$B$107</f>
              <strCache>
                <ptCount val="1"/>
                <pt idx="0">
                  <v>LINEAR</v>
                </pt>
              </strCache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Data'!$C$107:$BB$107</f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7822464"/>
        <axId val="187824000"/>
      </lineChart>
      <catAx>
        <axId val="187822464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87824000"/>
        <crosses val="autoZero"/>
        <auto val="1"/>
        <lblAlgn val="ctr"/>
        <lblOffset val="100"/>
        <noMultiLvlLbl val="0"/>
      </catAx>
      <valAx>
        <axId val="187824000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7822464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734015715171158"/>
          <y val="0.420282988307823"/>
          <w val="0.1135207070319854"/>
          <h val="0.1792605336141308"/>
        </manualLayout>
      </layout>
      <overlay val="0"/>
      <txPr>
        <a:bodyPr/>
        <a:lstStyle/>
        <a:p>
          <a:pPr>
            <a:defRPr b="1"/>
          </a:pPr>
          <a:r>
            <a:t/>
          </a:r>
          <a:endParaRPr lang="fr-FR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STRUCTURE'!$B$22</f>
              <strCache>
                <ptCount val="1"/>
                <pt idx="0">
                  <v>CURRENT OI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STRUCTURE'!$C$22:$AI$22</f>
              <numCache>
                <formatCode xml:space="preserve">#\ ##0.0\ </formatCode>
                <ptCount val="12"/>
                <pt idx="0">
                  <v>340509.95</v>
                </pt>
                <pt idx="1">
                  <v>433114.5097318212</v>
                </pt>
                <pt idx="2">
                  <v>967381.1597318212</v>
                </pt>
                <pt idx="3">
                  <v>1739707.159731821</v>
                </pt>
                <pt idx="4">
                  <v>1739707.159731821</v>
                </pt>
                <pt idx="5">
                  <v>1741652.159731821</v>
                </pt>
                <pt idx="6">
                  <v>2506156.730632835</v>
                </pt>
                <pt idx="7">
                  <v>2877768.727497299</v>
                </pt>
                <pt idx="8">
                  <v>3028355.847497299</v>
                </pt>
                <pt idx="9">
                  <v>3256823.680830633</v>
                </pt>
              </numCache>
            </numRef>
          </val>
          <smooth val="0"/>
        </ser>
        <ser>
          <idx val="1"/>
          <order val="1"/>
          <tx>
            <strRef>
              <f>'GRAPH NEW STRUCTURE'!$B$23</f>
              <strCache>
                <ptCount val="1"/>
                <pt idx="0">
                  <v>BUDGET OI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STRUCTURE'!$C$23:$AI$23</f>
              <numCache>
                <formatCode xml:space="preserve">#\ ##0.0\ </formatCode>
                <ptCount val="12"/>
                <pt idx="0">
                  <v>628750</v>
                </pt>
                <pt idx="1">
                  <v>1257500</v>
                </pt>
                <pt idx="2">
                  <v>1886250</v>
                </pt>
                <pt idx="3">
                  <v>2515000</v>
                </pt>
                <pt idx="4">
                  <v>3143750</v>
                </pt>
                <pt idx="5">
                  <v>3772500</v>
                </pt>
                <pt idx="6">
                  <v>4401250</v>
                </pt>
                <pt idx="7">
                  <v>5030000</v>
                </pt>
                <pt idx="8">
                  <v>5658750</v>
                </pt>
                <pt idx="9">
                  <v>6287500</v>
                </pt>
                <pt idx="10">
                  <v>6916250</v>
                </pt>
                <pt idx="11">
                  <v>7545000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0427824"/>
        <axId val="480435696"/>
      </lineChart>
      <catAx>
        <axId val="480427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480435696"/>
        <crosses val="autoZero"/>
        <auto val="1"/>
        <lblAlgn val="ctr"/>
        <lblOffset val="100"/>
        <noMultiLvlLbl val="0"/>
      </catAx>
      <valAx>
        <axId val="4804356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48042782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Service Station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STRUCTURE'!$B$55</f>
              <strCache>
                <ptCount val="1"/>
                <pt idx="0">
                  <v>Revenue Service Current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STRUCTURE'!$C$55:$AC$55</f>
              <numCache>
                <formatCode xml:space="preserve">#\ ##0.0\ 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27271.5</v>
                </pt>
                <pt idx="8">
                  <v>44630</v>
                </pt>
                <pt idx="9">
                  <v>90046.66666666666</v>
                </pt>
                <pt idx="10">
                  <v>131713.3333333333</v>
                </pt>
                <pt idx="11">
                  <v>173380</v>
                </pt>
              </numCache>
            </numRef>
          </val>
          <smooth val="0"/>
        </ser>
        <ser>
          <idx val="1"/>
          <order val="1"/>
          <tx>
            <strRef>
              <f>'GRAPH NEW STRUCTURE'!$B$56</f>
              <strCache>
                <ptCount val="1"/>
                <pt idx="0">
                  <v>Revenue Service Station Budget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STRUCTURE'!$C$56:$AC$56</f>
              <numCache>
                <formatCode xml:space="preserve">#\ ##0.0\ </formatCode>
                <ptCount val="12"/>
                <pt idx="0">
                  <v>41666.66666666666</v>
                </pt>
                <pt idx="1">
                  <v>83333.33333333333</v>
                </pt>
                <pt idx="2">
                  <v>125000</v>
                </pt>
                <pt idx="3">
                  <v>166666.6666666667</v>
                </pt>
                <pt idx="4">
                  <v>208333.3333333333</v>
                </pt>
                <pt idx="5">
                  <v>250000</v>
                </pt>
                <pt idx="6">
                  <v>291666.6666666666</v>
                </pt>
                <pt idx="7">
                  <v>333333.3333333333</v>
                </pt>
                <pt idx="8">
                  <v>375000</v>
                </pt>
                <pt idx="9">
                  <v>416666.6666666666</v>
                </pt>
                <pt idx="10">
                  <v>458333.3333333333</v>
                </pt>
                <pt idx="11">
                  <v>500000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9245944"/>
        <axId val="479241024"/>
      </lineChart>
      <catAx>
        <axId val="47924594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479241024"/>
        <crosses val="autoZero"/>
        <auto val="1"/>
        <lblAlgn val="ctr"/>
        <lblOffset val="100"/>
        <noMultiLvlLbl val="0"/>
      </catAx>
      <valAx>
        <axId val="47924102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47924594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CM2</a:t>
            </a:r>
            <a:r>
              <a:rPr lang="en-US" baseline="0"/>
              <a:t xml:space="preserve"> Service Station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STRUCTURE'!$B$52:$C$52</f>
              <strCache>
                <ptCount val="2"/>
                <pt idx="0">
                  <v>CM2 Service Station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STRUCTURE'!$D$52:$AC$52</f>
              <numCache>
                <formatCode xml:space="preserve">#\ ##0.0\ </formatCode>
                <ptCount val="12"/>
                <pt idx="0">
                  <v>10974</v>
                </pt>
                <pt idx="1">
                  <v>21995</v>
                </pt>
                <pt idx="2">
                  <v>22459</v>
                </pt>
                <pt idx="3">
                  <v>27810</v>
                </pt>
                <pt idx="4">
                  <v>32749</v>
                </pt>
                <pt idx="5">
                  <v>15080</v>
                </pt>
                <pt idx="6">
                  <v>83379</v>
                </pt>
                <pt idx="7">
                  <v>101212.3333333333</v>
                </pt>
                <pt idx="8">
                  <v>106151.3333333333</v>
                </pt>
                <pt idx="9">
                  <v>88482.33333333333</v>
                </pt>
                <pt idx="10">
                  <v>156781.3333333333</v>
                </pt>
                <pt idx="11">
                  <v>174614.6666666667</v>
                </pt>
              </numCache>
            </numRef>
          </val>
          <smooth val="0"/>
        </ser>
        <ser>
          <idx val="1"/>
          <order val="1"/>
          <tx>
            <strRef>
              <f>'GRAPH NEW STRUCTURE'!$B$53:$C$53</f>
              <strCache>
                <ptCount val="2"/>
                <pt idx="0">
                  <v>CM2 Service Station Budget</v>
                </pt>
                <pt idx="1">
                  <v>k€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STRUCTURE'!$D$53:$AC$53</f>
              <numCache>
                <formatCode xml:space="preserve">#\ ##0.0\ </formatCode>
                <ptCount val="12"/>
                <pt idx="0">
                  <v>17833.33333333333</v>
                </pt>
                <pt idx="1">
                  <v>35666.66666666666</v>
                </pt>
                <pt idx="2">
                  <v>53500</v>
                </pt>
                <pt idx="3">
                  <v>71333.33333333333</v>
                </pt>
                <pt idx="4">
                  <v>89166.66666666666</v>
                </pt>
                <pt idx="5">
                  <v>107000</v>
                </pt>
                <pt idx="6">
                  <v>124833.3333333333</v>
                </pt>
                <pt idx="7">
                  <v>142666.6666666667</v>
                </pt>
                <pt idx="8">
                  <v>160500</v>
                </pt>
                <pt idx="9">
                  <v>178333.3333333333</v>
                </pt>
                <pt idx="10">
                  <v>196166.6666666667</v>
                </pt>
                <pt idx="11">
                  <v>214000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0409128"/>
        <axId val="480409784"/>
      </lineChart>
      <catAx>
        <axId val="480409128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480409784"/>
        <crosses val="autoZero"/>
        <auto val="1"/>
        <lblAlgn val="ctr"/>
        <lblOffset val="100"/>
        <noMultiLvlLbl val="0"/>
      </catAx>
      <valAx>
        <axId val="4804097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48040912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Costs</a:t>
            </a:r>
          </a:p>
        </rich>
      </tx>
      <layout>
        <manualLayout>
          <xMode val="edge"/>
          <yMode val="edge"/>
          <wMode val="factor"/>
          <hMode val="factor"/>
          <x val="0.4206041119860018"/>
          <y val="0.004629629629629629"/>
        </manualLayout>
      </layout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STRUCTURE'!$B$49:$C$49</f>
              <strCache>
                <ptCount val="2"/>
                <pt idx="0">
                  <v>Primary Costs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STRUCTURE'!$D$49:$AC$49</f>
              <numCache>
                <formatCode xml:space="preserve">#\ ##0.0\ </formatCode>
                <ptCount val="12"/>
                <pt idx="0">
                  <v>80.292</v>
                </pt>
                <pt idx="1">
                  <v>155.414</v>
                </pt>
                <pt idx="2">
                  <v>246.883</v>
                </pt>
                <pt idx="3">
                  <v>338.372</v>
                </pt>
                <pt idx="4">
                  <v>438.3</v>
                </pt>
                <pt idx="5">
                  <v>534.519</v>
                </pt>
                <pt idx="6">
                  <v>621.471</v>
                </pt>
                <pt idx="7">
                  <v>717.221</v>
                </pt>
                <pt idx="8">
                  <v>812.971</v>
                </pt>
                <pt idx="9">
                  <v>908.721</v>
                </pt>
                <pt idx="10">
                  <v>1004.471</v>
                </pt>
                <pt idx="11">
                  <v>1100.221</v>
                </pt>
              </numCache>
            </numRef>
          </val>
          <smooth val="0"/>
        </ser>
        <ser>
          <idx val="1"/>
          <order val="1"/>
          <tx>
            <strRef>
              <f>'GRAPH NEW STRUCTURE'!$B$50:$C$50</f>
              <strCache>
                <ptCount val="2"/>
                <pt idx="0">
                  <v>Primary Costs Budget</v>
                </pt>
                <pt idx="1">
                  <v>m€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STRUCTURE'!$D$50:$AC$50</f>
              <numCache>
                <formatCode xml:space="preserve">#\ ##0.0\ </formatCode>
                <ptCount val="12"/>
                <pt idx="0">
                  <v>95.75</v>
                </pt>
                <pt idx="1">
                  <v>191.5</v>
                </pt>
                <pt idx="2">
                  <v>287.25</v>
                </pt>
                <pt idx="3">
                  <v>383</v>
                </pt>
                <pt idx="4">
                  <v>478.75</v>
                </pt>
                <pt idx="5">
                  <v>574.5</v>
                </pt>
                <pt idx="6">
                  <v>670.25</v>
                </pt>
                <pt idx="7">
                  <v>766</v>
                </pt>
                <pt idx="8">
                  <v>861.75</v>
                </pt>
                <pt idx="9">
                  <v>957.5</v>
                </pt>
                <pt idx="10">
                  <v>1053.25</v>
                </pt>
                <pt idx="11">
                  <v>1149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0431432"/>
        <axId val="480431760"/>
      </lineChart>
      <catAx>
        <axId val="48043143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480431760"/>
        <crosses val="autoZero"/>
        <auto val="1"/>
        <lblAlgn val="ctr"/>
        <lblOffset val="100"/>
        <noMultiLvlLbl val="0"/>
      </catAx>
      <valAx>
        <axId val="4804317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4804314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STRUCTURE'!$B$41</f>
              <strCache>
                <ptCount val="1"/>
                <pt idx="0">
                  <v>CURRENT REVENUE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STRUCTURE'!$C$41:$AC$41</f>
              <numCache>
                <formatCode xml:space="preserve">#\ ##0.0\ </formatCode>
                <ptCount val="12"/>
                <pt idx="0">
                  <v>387460</v>
                </pt>
                <pt idx="1">
                  <v>683835.8099999998</v>
                </pt>
                <pt idx="2">
                  <v>860215.3099999998</v>
                </pt>
                <pt idx="3">
                  <v>861882.3099999998</v>
                </pt>
                <pt idx="4">
                  <v>861882.3099999998</v>
                </pt>
                <pt idx="5">
                  <v>861882.3099999998</v>
                </pt>
                <pt idx="6">
                  <v>861882.3099999998</v>
                </pt>
                <pt idx="7">
                  <v>1416983.81</v>
                </pt>
                <pt idx="8">
                  <v>1613029.81</v>
                </pt>
                <pt idx="9">
                  <v>2165529.81</v>
                </pt>
              </numCache>
            </numRef>
          </val>
          <smooth val="0"/>
        </ser>
        <ser>
          <idx val="1"/>
          <order val="1"/>
          <tx>
            <strRef>
              <f>'GRAPH NEW STRUCTURE'!$B$42</f>
              <strCache>
                <ptCount val="1"/>
                <pt idx="0">
                  <v>BUDGET OI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STRUCTURE'!$C$42:$AC$42</f>
              <numCache>
                <formatCode xml:space="preserve">#\ ##0.0\ </formatCode>
                <ptCount val="12"/>
                <pt idx="0">
                  <v>628750</v>
                </pt>
                <pt idx="1">
                  <v>1257500</v>
                </pt>
                <pt idx="2">
                  <v>1886250</v>
                </pt>
                <pt idx="3">
                  <v>2515000</v>
                </pt>
                <pt idx="4">
                  <v>3143750</v>
                </pt>
                <pt idx="5">
                  <v>3772500</v>
                </pt>
                <pt idx="6">
                  <v>4401250</v>
                </pt>
                <pt idx="7">
                  <v>5030000</v>
                </pt>
                <pt idx="8">
                  <v>5658750</v>
                </pt>
                <pt idx="9">
                  <v>6287500</v>
                </pt>
                <pt idx="10">
                  <v>6916250</v>
                </pt>
                <pt idx="11">
                  <v>7545000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370989040"/>
        <axId val="370984776"/>
      </lineChart>
      <catAx>
        <axId val="37098904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370984776"/>
        <crosses val="autoZero"/>
        <auto val="1"/>
        <lblAlgn val="ctr"/>
        <lblOffset val="100"/>
        <noMultiLvlLbl val="0"/>
      </catAx>
      <valAx>
        <axId val="3709847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fr-FR"/>
          </a:p>
        </txPr>
        <crossAx val="37098904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fr-FR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'Weekly Data'!$B$2</f>
              <strCache>
                <ptCount val="1"/>
                <pt idx="0">
                  <v xml:space="preserve"> Devis </v>
                </pt>
              </strCache>
            </strRef>
          </tx>
          <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</spPr>
          <invertIfNegative val="0"/>
          <val>
            <numRef>
              <f>'Weekly Data'!$C$2:$BB$2</f>
              <numCache>
                <formatCode>_-* #\ ##0\ [$€-407]_-;\-* #\ ##0\ [$€-407]_-;_-* "-"??\ [$€-407]_-;_-@_-</formatCode>
                <ptCount val="52"/>
                <pt idx="0">
                  <v>12719</v>
                </pt>
                <pt idx="1">
                  <v>43355</v>
                </pt>
                <pt idx="2">
                  <v>27121</v>
                </pt>
                <pt idx="3">
                  <v>660</v>
                </pt>
                <pt idx="4">
                  <v>21496</v>
                </pt>
                <pt idx="5">
                  <v>14804</v>
                </pt>
                <pt idx="6">
                  <v>71457.39999999999</v>
                </pt>
                <pt idx="7">
                  <v>1915</v>
                </pt>
                <pt idx="8">
                  <v>23765</v>
                </pt>
                <pt idx="9">
                  <v>5007</v>
                </pt>
                <pt idx="10">
                  <v>26736</v>
                </pt>
                <pt idx="11">
                  <v>707</v>
                </pt>
                <pt idx="12">
                  <v>3180</v>
                </pt>
                <pt idx="13">
                  <v>18533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1"/>
          <order val="1"/>
          <tx>
            <strRef>
              <f>'Weekly Data'!$B$3</f>
              <strCache>
                <ptCount val="1"/>
                <pt idx="0">
                  <v xml:space="preserve"> Cmde 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invertIfNegative val="0"/>
          <val>
            <numRef>
              <f>'Weekly Data'!$C$3:$BB$3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12384</v>
                </pt>
                <pt idx="2">
                  <v>660</v>
                </pt>
                <pt idx="3">
                  <v>8736</v>
                </pt>
                <pt idx="4">
                  <v>5150</v>
                </pt>
                <pt idx="5">
                  <v>3180</v>
                </pt>
                <pt idx="6">
                  <v>77275</v>
                </pt>
                <pt idx="7">
                  <v>33077</v>
                </pt>
                <pt idx="8">
                  <v>8097</v>
                </pt>
                <pt idx="9">
                  <v>13676</v>
                </pt>
                <pt idx="10">
                  <v>2396</v>
                </pt>
                <pt idx="11">
                  <v>12223</v>
                </pt>
                <pt idx="12">
                  <v>1386</v>
                </pt>
                <pt idx="13">
                  <v>15131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2"/>
          <order val="2"/>
          <tx>
            <strRef>
              <f>'Weekly Data'!$B$4</f>
              <strCache>
                <ptCount val="1"/>
                <pt idx="0">
                  <v xml:space="preserve"> CA </v>
                </pt>
              </strCache>
            </strRef>
          </tx>
          <spPr>
            <a:ln>
              <a:solidFill>
                <a:schemeClr val="accent3">
                  <a:lumMod val="60000"/>
                  <a:lumOff val="40000"/>
                </a:schemeClr>
              </a:solidFill>
              <a:prstDash val="solid"/>
            </a:ln>
          </spPr>
          <invertIfNegative val="0"/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Data'!$C$4:$BB$4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3180</v>
                </pt>
                <pt idx="2">
                  <v>5516</v>
                </pt>
                <pt idx="3">
                  <v>0</v>
                </pt>
                <pt idx="4">
                  <v>660</v>
                </pt>
                <pt idx="5">
                  <v>20605</v>
                </pt>
                <pt idx="6">
                  <v>5085</v>
                </pt>
                <pt idx="7">
                  <v>6347</v>
                </pt>
                <pt idx="8">
                  <v>6416</v>
                </pt>
                <pt idx="9">
                  <v>5883.5</v>
                </pt>
                <pt idx="10">
                  <v>5120</v>
                </pt>
                <pt idx="11">
                  <v>14389</v>
                </pt>
                <pt idx="12">
                  <v>20320</v>
                </pt>
                <pt idx="13">
                  <v>15309</v>
                </pt>
                <pt idx="14">
                  <v>385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7201920"/>
        <axId val="197203456"/>
      </barChart>
      <lineChart>
        <grouping val="standard"/>
        <varyColors val="0"/>
        <ser>
          <idx val="3"/>
          <order val="3"/>
          <tx>
            <strRef>
              <f>'Weekly Data'!$B$5</f>
              <strCache>
                <ptCount val="1"/>
                <pt idx="0">
                  <v xml:space="preserve"> Expected Target OI </v>
                </pt>
              </strCache>
            </strRef>
          </tx>
          <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Data'!$C$5:$BB$5</f>
            </numRef>
          </val>
          <smooth val="0"/>
        </ser>
        <ser>
          <idx val="4"/>
          <order val="4"/>
          <tx>
            <strRef>
              <f>'Weekly Data'!$B$6</f>
              <strCache>
                <ptCount val="1"/>
                <pt idx="0">
                  <v xml:space="preserve"> Expected Target Revenue </v>
                </pt>
              </strCache>
            </strRef>
          </tx>
          <spPr>
            <a:ln>
              <a:solidFill>
                <a:srgbClr val="00B050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Data'!$C$6:$BB$6</f>
            </numRef>
          </val>
          <smooth val="0"/>
        </ser>
        <ser>
          <idx val="5"/>
          <order val="5"/>
          <tx>
            <strRef>
              <f>'Weekly Data'!$B$13</f>
              <strCache>
                <ptCount val="1"/>
                <pt idx="0">
                  <v>Backlog</v>
                </pt>
              </strCache>
            </strRef>
          </tx>
          <spPr>
            <a:ln>
              <a:solidFill>
                <a:schemeClr val="accent2">
                  <a:lumMod val="75000"/>
                </a:schemeClr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Data'!$C$13:$BB$13</f>
              <numCache>
                <formatCode>_-* #\ ##0\ [$€-407]_-;\-* #\ ##0\ [$€-407]_-;_-* "-"??\ [$€-407]_-;_-@_-</formatCode>
                <ptCount val="52"/>
                <pt idx="0">
                  <formatCode>_-* #\ ##0\ "€"_-;\-* #\ ##0\ "€"_-;_-* "-"??\ "€"_-;_-@_-</formatCode>
                  <v>39254</v>
                </pt>
                <pt idx="1">
                  <v>48458</v>
                </pt>
                <pt idx="2">
                  <v>43602</v>
                </pt>
                <pt idx="3">
                  <v>52338</v>
                </pt>
                <pt idx="4">
                  <v>56828</v>
                </pt>
                <pt idx="5">
                  <v>39403</v>
                </pt>
                <pt idx="6">
                  <v>111593</v>
                </pt>
                <pt idx="7">
                  <v>138323</v>
                </pt>
                <pt idx="8">
                  <v>140004</v>
                </pt>
                <pt idx="9">
                  <v>147796.5</v>
                </pt>
                <pt idx="10">
                  <v>145072.5</v>
                </pt>
                <pt idx="11">
                  <v>142906.5</v>
                </pt>
                <pt idx="12">
                  <v>123972.5</v>
                </pt>
                <pt idx="13">
                  <v>123794.5</v>
                </pt>
                <pt idx="14">
                  <v>123409.5</v>
                </pt>
                <pt idx="15">
                  <v>123409.5</v>
                </pt>
                <pt idx="16">
                  <v>123409.5</v>
                </pt>
                <pt idx="17">
                  <v>123409.5</v>
                </pt>
                <pt idx="18">
                  <v>123409.5</v>
                </pt>
                <pt idx="19">
                  <v>123409.5</v>
                </pt>
                <pt idx="20">
                  <v>123409.5</v>
                </pt>
                <pt idx="21">
                  <v>123409.5</v>
                </pt>
                <pt idx="22">
                  <v>123409.5</v>
                </pt>
                <pt idx="23">
                  <v>123409.5</v>
                </pt>
                <pt idx="24">
                  <v>123409.5</v>
                </pt>
                <pt idx="25">
                  <v>123409.5</v>
                </pt>
                <pt idx="26">
                  <v>123409.5</v>
                </pt>
                <pt idx="27">
                  <v>123409.5</v>
                </pt>
                <pt idx="28">
                  <v>123409.5</v>
                </pt>
                <pt idx="29">
                  <v>123409.5</v>
                </pt>
                <pt idx="30">
                  <v>123409.5</v>
                </pt>
                <pt idx="31">
                  <v>123409.5</v>
                </pt>
                <pt idx="32">
                  <v>123409.5</v>
                </pt>
                <pt idx="33">
                  <v>123409.5</v>
                </pt>
                <pt idx="34">
                  <v>123409.5</v>
                </pt>
                <pt idx="35">
                  <v>123409.5</v>
                </pt>
                <pt idx="36">
                  <v>123409.5</v>
                </pt>
                <pt idx="37">
                  <v>123409.5</v>
                </pt>
                <pt idx="38">
                  <v>123409.5</v>
                </pt>
                <pt idx="39">
                  <v>123409.5</v>
                </pt>
                <pt idx="40">
                  <v>123409.5</v>
                </pt>
                <pt idx="41">
                  <v>123409.5</v>
                </pt>
                <pt idx="42">
                  <v>123409.5</v>
                </pt>
                <pt idx="43">
                  <v>123409.5</v>
                </pt>
                <pt idx="44">
                  <v>123409.5</v>
                </pt>
                <pt idx="45">
                  <v>123409.5</v>
                </pt>
                <pt idx="46">
                  <v>123409.5</v>
                </pt>
                <pt idx="47">
                  <v>123409.5</v>
                </pt>
                <pt idx="48">
                  <v>123409.5</v>
                </pt>
                <pt idx="49">
                  <v>123409.5</v>
                </pt>
                <pt idx="50">
                  <v>123409.5</v>
                </pt>
                <pt idx="51">
                  <v>123409.5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97201920"/>
        <axId val="197203456"/>
      </lineChart>
      <catAx>
        <axId val="197201920"/>
        <scaling>
          <orientation val="minMax"/>
        </scaling>
        <delete val="0"/>
        <axPos val="b"/>
        <majorTickMark val="out"/>
        <minorTickMark val="none"/>
        <tickLblPos val="nextTo"/>
        <crossAx val="197203456"/>
        <crosses val="autoZero"/>
        <auto val="1"/>
        <lblAlgn val="ctr"/>
        <lblOffset val="100"/>
        <noMultiLvlLbl val="0"/>
      </catAx>
      <valAx>
        <axId val="197203456"/>
        <scaling>
          <orientation val="minMax"/>
        </scaling>
        <delete val="0"/>
        <axPos val="l"/>
        <majorGridlines/>
        <numFmt formatCode="_-* #\ ##0\ [$€-407]_-;\-* #\ ##0\ [$€-407]_-;_-* &quot;-&quot;??\ [$€-407]_-;_-@_-" sourceLinked="1"/>
        <majorTickMark val="out"/>
        <minorTickMark val="none"/>
        <tickLblPos val="nextTo"/>
        <crossAx val="197201920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438060552971994"/>
          <y val="0.09704250650442486"/>
          <w val="0.1500636227503372"/>
          <h val="0.4544654958510234"/>
        </manualLayout>
      </layout>
      <overlay val="0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8776138024460939"/>
          <y val="0.03408378642773868"/>
          <w val="0.8806833306403201"/>
          <h val="0.8890097785237966"/>
        </manualLayout>
      </layout>
      <barChart>
        <barDir val="col"/>
        <grouping val="clustered"/>
        <varyColors val="0"/>
        <ser>
          <idx val="0"/>
          <order val="0"/>
          <tx>
            <strRef>
              <f>'Daily Tracking'!$C$115</f>
              <strCache>
                <ptCount val="1"/>
                <pt idx="0">
                  <v>GSE/Tools O.I. Cum</v>
                </pt>
              </strCache>
            </strRef>
          </tx>
          <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accent1"/>
              </a:solidFill>
              <a:prstDash val="solid"/>
            </a:ln>
          </spPr>
          <invertIfNegative val="0"/>
          <dPt>
            <idx val="8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Pt>
            <idx val="9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Pt>
            <idx val="10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Pt>
            <idx val="11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Lbls>
            <dLbl>
              <idx val="7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400" b="1"/>
                </a:pPr>
                <a:r>
                  <a:t/>
                </a:r>
                <a:endParaRPr lang="fr-FR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'Daily Tracking'!$D$109:$O$109</f>
              <strCache>
                <ptCount val="12"/>
                <pt idx="0">
                  <v>Jan</v>
                </pt>
                <pt idx="1">
                  <v xml:space="preserve"> 62 127 € </v>
                </pt>
                <pt idx="2">
                  <v>Mrz</v>
                </pt>
                <pt idx="4">
                  <v>Mai</v>
                </pt>
                <pt idx="5">
                  <v>Jun</v>
                </pt>
                <pt idx="6">
                  <v>Jul</v>
                </pt>
                <pt idx="7">
                  <v xml:space="preserve"> -   € </v>
                </pt>
                <pt idx="8">
                  <v>Sep</v>
                </pt>
                <pt idx="9">
                  <v>Okt</v>
                </pt>
                <pt idx="10">
                  <v>Nov</v>
                </pt>
                <pt idx="11">
                  <v>Dez</v>
                </pt>
              </strCache>
            </strRef>
          </cat>
          <val>
            <numRef>
              <f>'Daily Tracking'!$D$115:$O$115</f>
              <numCache>
                <formatCode>_-* #\ ##0\ [$€-40C]_-;\-* #\ ##0\ [$€-40C]_-;_-* "-"??\ [$€-40C]_-;_-@_-</formatCode>
                <ptCount val="12"/>
                <pt idx="0">
                  <formatCode>_-* #\ ##0\ "€"_-;\-* #\ ##0\ "€"_-;_-* "-"??\ "€"_-;_-@_-</formatCode>
                  <v>374731</v>
                </pt>
                <pt idx="1">
                  <v>5701.800000000001</v>
                </pt>
                <pt idx="2">
                  <v>806492</v>
                </pt>
                <pt idx="4">
                  <v>996860</v>
                </pt>
                <pt idx="5">
                  <v>996860</v>
                </pt>
                <pt idx="6">
                  <v>996860</v>
                </pt>
                <pt idx="7">
                  <v>5701.800000000001</v>
                </pt>
                <pt idx="8">
                  <v>1478860</v>
                </pt>
                <pt idx="9">
                  <v>2192860</v>
                </pt>
                <pt idx="10">
                  <v>2946860</v>
                </pt>
                <pt idx="11">
                  <v>2946860</v>
                </pt>
              </numCache>
            </numRef>
          </val>
        </ser>
        <ser>
          <idx val="1"/>
          <order val="1"/>
          <tx>
            <strRef>
              <f>'Daily Tracking'!$C$116</f>
              <strCache>
                <ptCount val="1"/>
                <pt idx="0">
                  <v>O.I. Cum New Cust</v>
                </pt>
              </strCache>
            </strRef>
          </tx>
          <spPr>
            <a:solidFill>
              <a:srgbClr val="92D050"/>
            </a:solidFill>
            <a:ln>
              <a:prstDash val="solid"/>
            </a:ln>
          </spPr>
          <invertIfNegative val="0"/>
          <cat>
            <strRef>
              <f>'Daily Tracking'!$D$109:$O$109</f>
              <strCache>
                <ptCount val="12"/>
                <pt idx="0">
                  <v>Jan</v>
                </pt>
                <pt idx="1">
                  <v xml:space="preserve"> 62 127 € </v>
                </pt>
                <pt idx="2">
                  <v>Mrz</v>
                </pt>
                <pt idx="4">
                  <v>Mai</v>
                </pt>
                <pt idx="5">
                  <v>Jun</v>
                </pt>
                <pt idx="6">
                  <v>Jul</v>
                </pt>
                <pt idx="7">
                  <v xml:space="preserve"> -   € </v>
                </pt>
                <pt idx="8">
                  <v>Sep</v>
                </pt>
                <pt idx="9">
                  <v>Okt</v>
                </pt>
                <pt idx="10">
                  <v>Nov</v>
                </pt>
                <pt idx="11">
                  <v>Dez</v>
                </pt>
              </strCache>
            </strRef>
          </cat>
          <val>
            <numRef>
              <f>'Daily Tracking'!$D$116:$K$116</f>
              <numCache>
                <formatCode>_-* #\ ##0\ [$€-40C]_-;\-* #\ ##0\ [$€-40C]_-;_-* "-"??\ [$€-40C]_-;_-@_-</formatCode>
                <ptCount val="8"/>
                <pt idx="0">
                  <formatCode>_-* #\ ##0\ "€"_-;\-* #\ ##0\ "€"_-;_-* "-"??\ "€"_-;_-@_-</formatCode>
                  <v>5701.800000000001</v>
                </pt>
                <pt idx="1">
                  <v>792385.8333333334</v>
                </pt>
                <pt idx="2">
                  <v>5701.800000000001</v>
                </pt>
                <pt idx="4">
                  <v>5701.800000000001</v>
                </pt>
                <pt idx="5">
                  <v>5701.800000000001</v>
                </pt>
                <pt idx="6">
                  <v>5701.800000000001</v>
                </pt>
                <pt idx="7">
                  <v>3169543.333333333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6065536"/>
        <axId val="196071424"/>
      </barChart>
      <lineChart>
        <grouping val="standard"/>
        <varyColors val="0"/>
        <ser>
          <idx val="2"/>
          <order val="2"/>
          <tx>
            <strRef>
              <f>'Daily Tracking'!$C$117</f>
              <strCache>
                <ptCount val="1"/>
                <pt idx="0">
                  <v>Plan GSE/Tools O.I</v>
                </pt>
              </strCache>
            </strRef>
          </tx>
          <spPr>
            <a:ln>
              <a:solidFill>
                <a:srgbClr val="FF0000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dLbls>
            <dLbl>
              <idx val="11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600" b="1"/>
                </a:pPr>
                <a:r>
                  <a:t/>
                </a:r>
                <a:endParaRPr lang="fr-FR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val>
            <numRef>
              <f>'Daily Tracking'!$D$117:$O$117</f>
              <numCache>
                <formatCode>General</formatCode>
                <ptCount val="12"/>
                <pt idx="0">
                  <formatCode>_-* #\ ##0\ "€"_-;\-* #\ ##0\ "€"_-;_-* "-"??\ "€"_-;_-@_-</formatCode>
                  <v>396192.9166666667</v>
                </pt>
                <pt idx="2">
                  <formatCode>_-* #\ ##0\ [$€-40C]_-;\-* #\ ##0\ [$€-40C]_-;_-* "-"??\ [$€-40C]_-;_-@_-</formatCode>
                  <v>1188578.75</v>
                </pt>
                <pt idx="4">
                  <formatCode>_-* #\ ##0\ [$€-40C]_-;\-* #\ ##0\ [$€-40C]_-;_-* "-"??\ [$€-40C]_-;_-@_-</formatCode>
                  <v>1980964.583333333</v>
                </pt>
                <pt idx="5">
                  <formatCode>_-* #\ ##0\ [$€-40C]_-;\-* #\ ##0\ [$€-40C]_-;_-* "-"??\ [$€-40C]_-;_-@_-</formatCode>
                  <v>2377157.5</v>
                </pt>
                <pt idx="6">
                  <formatCode>_-* #\ ##0\ [$€-40C]_-;\-* #\ ##0\ [$€-40C]_-;_-* "-"??\ [$€-40C]_-;_-@_-</formatCode>
                  <v>2773350.416666667</v>
                </pt>
                <pt idx="8">
                  <formatCode>_-* #\ ##0\ [$€-40C]_-;\-* #\ ##0\ [$€-40C]_-;_-* "-"??\ [$€-40C]_-;_-@_-</formatCode>
                  <v>3565736.25</v>
                </pt>
                <pt idx="9">
                  <formatCode>_-* #\ ##0\ [$€-40C]_-;\-* #\ ##0\ [$€-40C]_-;_-* "-"??\ [$€-40C]_-;_-@_-</formatCode>
                  <v>3961929.166666666</v>
                </pt>
                <pt idx="10">
                  <formatCode>_-* #\ ##0\ [$€-40C]_-;\-* #\ ##0\ [$€-40C]_-;_-* "-"??\ [$€-40C]_-;_-@_-</formatCode>
                  <v>4358122.083333333</v>
                </pt>
                <pt idx="11">
                  <formatCode>_-* #\ ##0\ [$€-40C]_-;\-* #\ ##0\ [$€-40C]_-;_-* "-"??\ [$€-40C]_-;_-@_-</formatCode>
                  <v>4754315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96065536"/>
        <axId val="196071424"/>
      </lineChart>
      <catAx>
        <axId val="196065536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txPr>
          <a:bodyPr/>
          <a:lstStyle/>
          <a:p>
            <a:pPr>
              <a:defRPr sz="1100" b="1"/>
            </a:pPr>
            <a:r>
              <a:t/>
            </a:r>
            <a:endParaRPr lang="fr-FR"/>
          </a:p>
        </txPr>
        <crossAx val="196071424"/>
        <crosses val="autoZero"/>
        <auto val="1"/>
        <lblAlgn val="ctr"/>
        <lblOffset val="100"/>
        <noMultiLvlLbl val="0"/>
      </catAx>
      <valAx>
        <axId val="196071424"/>
        <scaling>
          <orientation val="minMax"/>
        </scaling>
        <delete val="0"/>
        <axPos val="l"/>
        <majorGridlines/>
        <numFmt formatCode="_-* #\ ##0\ &quot;€&quot;_-;\-* #\ ##0\ &quot;€&quot;_-;_-* &quot;-&quot;??\ &quot;€&quot;_-;_-@_-" sourceLinked="1"/>
        <majorTickMark val="out"/>
        <minorTickMark val="none"/>
        <tickLblPos val="nextTo"/>
        <crossAx val="196065536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09935868018420894"/>
          <y val="0.05767765075637134"/>
          <w val="0.1746129154300736"/>
          <h val="0.2110778953342859"/>
        </manualLayout>
      </layout>
      <overlay val="0"/>
      <txPr>
        <a:bodyPr/>
        <a:lstStyle/>
        <a:p>
          <a:pPr>
            <a:defRPr sz="1400" b="1"/>
          </a:pPr>
          <a:r>
            <a:t/>
          </a:r>
          <a:endParaRPr lang="fr-FR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318536549471425"/>
          <y val="0.1058122875645154"/>
          <w val="0.4795482475689931"/>
          <h val="0.8789380884364097"/>
        </manualLayout>
      </layout>
      <pieChart>
        <varyColors val="1"/>
        <ser>
          <idx val="0"/>
          <order val="0"/>
          <spPr>
            <a:ln>
              <a:solidFill>
                <a:schemeClr val="tx2">
                  <a:lumMod val="75000"/>
                </a:schemeClr>
              </a:solidFill>
              <a:prstDash val="solid"/>
            </a:ln>
          </spPr>
          <explosion val="25"/>
          <dPt>
            <idx val="0"/>
            <bubble3D val="0"/>
            <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3"/>
            <bubble3D val="0"/>
            <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6"/>
            <bubble3D val="0"/>
            <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1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6"/>
              <showLegendKey val="0"/>
              <showVal val="1"/>
              <showCatName val="1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200" b="1"/>
                </a:pPr>
                <a:r>
                  <a:t/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'Daily Tracking'!$E$121:$E$127</f>
              <strCache>
                <ptCount val="7"/>
                <pt idx="0">
                  <v>EngSol</v>
                </pt>
                <pt idx="1">
                  <v>GSE</v>
                </pt>
                <pt idx="2">
                  <v>Others</v>
                </pt>
                <pt idx="3">
                  <v>Service (Repair+Spares)</v>
                </pt>
                <pt idx="4">
                  <v>TA</v>
                </pt>
                <pt idx="5">
                  <v>TE (RR-Aftermarket)</v>
                </pt>
                <pt idx="6">
                  <v>TR (RR-Trsp AfterMkt)</v>
                </pt>
              </strCache>
            </strRef>
          </cat>
          <val>
            <numRef>
              <f>'Daily Tracking'!$F$122:$F$128</f>
              <numCache>
                <formatCode>"€"#,##0_);\("€"#,##0\)</formatCode>
                <ptCount val="7"/>
                <pt idx="0">
                  <v>823623</v>
                </pt>
                <pt idx="1">
                  <v>3602505</v>
                </pt>
                <pt idx="2">
                  <v>64424</v>
                </pt>
                <pt idx="3">
                  <v>705800</v>
                </pt>
                <pt idx="4">
                  <v>60838</v>
                </pt>
                <pt idx="5">
                  <v>319161</v>
                </pt>
                <pt idx="6">
                  <v>550320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831029265119947"/>
          <y val="0.1859349765656319"/>
          <w val="0.2932657492119368"/>
          <h val="0.5651299330840819"/>
        </manualLayout>
      </layout>
      <overlay val="0"/>
      <txPr>
        <a:bodyPr/>
        <a:lstStyle/>
        <a:p>
          <a:pPr>
            <a:defRPr sz="1200" b="1"/>
          </a:pPr>
          <a:r>
            <a:t/>
          </a:r>
          <a:endParaRPr lang="fr-FR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318536549471425"/>
          <y val="0.1058122875645154"/>
          <w val="0.4795482475689931"/>
          <h val="0.8789380884364097"/>
        </manualLayout>
      </layout>
      <pieChart>
        <varyColors val="1"/>
        <ser>
          <idx val="0"/>
          <order val="0"/>
          <spPr>
            <a:ln>
              <a:solidFill>
                <a:schemeClr val="tx2">
                  <a:lumMod val="75000"/>
                </a:schemeClr>
              </a:solidFill>
              <a:prstDash val="solid"/>
            </a:ln>
          </spPr>
          <explosion val="25"/>
          <dPt>
            <idx val="0"/>
            <bubble3D val="0"/>
            <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3"/>
            <bubble3D val="0"/>
            <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6"/>
            <bubble3D val="0"/>
            <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7"/>
            <bubble3D val="0"/>
            <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Lbls>
            <dLbl>
              <idx val="2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3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6"/>
              <showLegendKey val="0"/>
              <showVal val="1"/>
              <showCatName val="1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200" b="1"/>
                </a:pPr>
                <a:r>
                  <a:t/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'Daily Tracking'!$B$124:$B$131</f>
              <strCache>
                <ptCount val="8"/>
                <pt idx="0">
                  <v>Axle Jacks Other</v>
                </pt>
                <pt idx="1">
                  <v>Axle Jacks RT</v>
                </pt>
                <pt idx="2">
                  <v>COBRA</v>
                </pt>
                <pt idx="3">
                  <v>GSE Others (Büter)</v>
                </pt>
                <pt idx="4">
                  <v>Newbow Aerospace</v>
                </pt>
                <pt idx="5">
                  <v>Tow Bars HG</v>
                </pt>
                <pt idx="6">
                  <v>Tripod SET Narrow Bo</v>
                </pt>
                <pt idx="7">
                  <v>Others</v>
                </pt>
              </strCache>
            </strRef>
          </cat>
          <val>
            <numRef>
              <f>'Daily Tracking'!$C$124:$C$131</f>
              <numCache>
                <formatCode>"€"#,##0_);\("€"#,##0\)</formatCode>
                <ptCount val="8"/>
                <pt idx="0">
                  <v>190261</v>
                </pt>
                <pt idx="1">
                  <v>199752</v>
                </pt>
                <pt idx="2">
                  <v>1441235</v>
                </pt>
                <pt idx="3">
                  <v>1216830</v>
                </pt>
                <pt idx="4">
                  <v>466</v>
                </pt>
                <pt idx="5">
                  <v>158077</v>
                </pt>
                <pt idx="6">
                  <v>344920</v>
                </pt>
                <pt idx="7">
                  <v>50962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831029265119947"/>
          <y val="0.1859349765656319"/>
          <w val="0.2932657492119368"/>
          <h val="0.5651299330840819"/>
        </manualLayout>
      </layout>
      <overlay val="0"/>
      <txPr>
        <a:bodyPr/>
        <a:lstStyle/>
        <a:p>
          <a:pPr>
            <a:defRPr sz="1200" b="1"/>
          </a:pPr>
          <a:r>
            <a:t/>
          </a:r>
          <a:endParaRPr lang="fr-FR"/>
        </a:p>
      </txPr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Chimenti, Caroline</author>
  </authors>
  <commentList>
    <comment ref="BE6" authorId="0" shapeId="0">
      <text>
        <t>Chimenti, Caroline:
Including OI 2021-012: 
G.Budd's training services at Airbus
Excluding AIA</t>
      </text>
    </comment>
  </commentList>
</comments>
</file>

<file path=xl/comments/comment2.xml><?xml version="1.0" encoding="utf-8"?>
<comments xmlns="http://schemas.openxmlformats.org/spreadsheetml/2006/main">
  <authors>
    <author>Chimenti, Caroline</author>
  </authors>
  <commentList>
    <comment ref="Q4" authorId="0" shapeId="0">
      <text>
        <t>Including OI 2021-012: 
G.Budd's training services at Airbus
Including AIA</t>
      </text>
    </comment>
  </commentList>
</comments>
</file>

<file path=xl/comments/comment3.xml><?xml version="1.0" encoding="utf-8"?>
<comments xmlns="http://schemas.openxmlformats.org/spreadsheetml/2006/main">
  <authors>
    <author>Zehnle, Jonas</author>
    <author>Rupp, Thomas</author>
    <author>Rupp, Dr., Thomas</author>
    <author>Kowal, Christophe</author>
  </authors>
  <commentList>
    <comment ref="C12" authorId="0" shapeId="0">
      <text>
        <t/>
      </text>
    </comment>
    <comment ref="I16" authorId="1" shapeId="0">
      <text>
        <t>Rupp, Thomas:
1 ETP de plus pour les Services (60.000€/an)</t>
      </text>
    </comment>
    <comment ref="A23" authorId="2" shapeId="0">
      <text>
        <t xml:space="preserve">Rupp, Dr., Thomas:
from GuV PL M 2021 Ergebnis vor Steuern
</t>
      </text>
    </comment>
    <comment ref="O41" authorId="3" shapeId="0">
      <text>
        <t>Kowal, Christophe:
Estimate AIA Revenue and Services. CK To check with Antony
; how Graeme is taken into account</t>
      </text>
    </comment>
  </commentList>
</comments>
</file>

<file path=xl/comments/comment4.xml><?xml version="1.0" encoding="utf-8"?>
<comments xmlns="http://schemas.openxmlformats.org/spreadsheetml/2006/main">
  <authors>
    <author>Chimenti, Caroline</author>
  </authors>
  <commentList>
    <comment ref="P3" authorId="0" shapeId="0">
      <text>
        <t xml:space="preserve">Chimenti, Caroline:
Including OI 2017-074: 
G.Budd's training services </t>
      </text>
    </comment>
  </commentList>
</comments>
</file>

<file path=xl/comments/comment5.xml><?xml version="1.0" encoding="utf-8"?>
<comments xmlns="http://schemas.openxmlformats.org/spreadsheetml/2006/main">
  <authors>
    <author>Chimenti, Caroline</author>
  </authors>
  <commentList>
    <comment ref="Z50" authorId="0" shapeId="0">
      <text>
        <t>Chimenti, Caroline:
Devis HYFR  pour AIA 97 Keur</t>
      </text>
    </comment>
    <comment ref="AG50" authorId="0" shapeId="0">
      <text>
        <t>Chimenti, Caroline:
plusieurs version d'un même devis pour Air Caraibes : WES + accessoires, valeur du devis : 207 keur</t>
      </text>
    </comment>
    <comment ref="AL50" authorId="0" shapeId="0">
      <text>
        <t>Chimenti, Caroline:
Dale : 245 keur
Egypt Air : 103 keur</t>
      </text>
    </comment>
    <comment ref="AI51" authorId="0" shapeId="0">
      <text>
        <t>Chimenti, Caroline:
Cde AIA reçue-7xkit GSE</t>
      </text>
    </comment>
  </commentList>
</comments>
</file>

<file path=xl/comments/comment6.xml><?xml version="1.0" encoding="utf-8"?>
<comments xmlns="http://schemas.openxmlformats.org/spreadsheetml/2006/main">
  <authors>
    <author>de Sousa, Rui</author>
  </authors>
  <commentList>
    <comment ref="C13" authorId="0" shapeId="0">
      <text>
        <t xml:space="preserve">de Sousa, Rui:
zero in DC FC 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407987</colOff>
      <row>93</row>
      <rowOff>47624</rowOff>
    </from>
    <to>
      <col>20</col>
      <colOff>479425</colOff>
      <row>120</row>
      <rowOff>31749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</col>
      <colOff>538160</colOff>
      <row>111</row>
      <rowOff>138111</rowOff>
    </from>
    <to>
      <col>17</col>
      <colOff>9524</colOff>
      <row>131</row>
      <rowOff>171450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36</col>
      <colOff>355600</colOff>
      <row>6</row>
      <rowOff>177800</rowOff>
    </from>
    <to>
      <col>44</col>
      <colOff>0</colOff>
      <row>21</row>
      <rowOff>158750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692150</colOff>
      <row>58</row>
      <rowOff>101600</rowOff>
    </from>
    <to>
      <col>10</col>
      <colOff>133350</colOff>
      <row>73</row>
      <rowOff>82550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698506</colOff>
      <row>58</row>
      <rowOff>19050</rowOff>
    </from>
    <to>
      <col>27</col>
      <colOff>88906</colOff>
      <row>73</row>
      <rowOff>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27</col>
      <colOff>488956</colOff>
      <row>58</row>
      <rowOff>127000</rowOff>
    </from>
    <to>
      <col>40</col>
      <colOff>279406</colOff>
      <row>73</row>
      <rowOff>107950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36</col>
      <colOff>361956</colOff>
      <row>27</row>
      <rowOff>95250</rowOff>
    </from>
    <to>
      <col>44</col>
      <colOff>6356</colOff>
      <row>42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18</col>
      <colOff>614667</colOff>
      <row>25</row>
      <rowOff>119317</rowOff>
    </from>
    <to>
      <col>33</col>
      <colOff>122902</colOff>
      <row>46</row>
      <rowOff>128842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28678</colOff>
      <row>77</row>
      <rowOff>154446</rowOff>
    </from>
    <to>
      <col>9</col>
      <colOff>389195</colOff>
      <row>99</row>
      <rowOff>10240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3</col>
      <colOff>888999</colOff>
      <row>131</row>
      <rowOff>41786</rowOff>
    </from>
    <to>
      <col>10</col>
      <colOff>235563</colOff>
      <row>147</row>
      <rowOff>153628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10</col>
      <colOff>635000</colOff>
      <row>131</row>
      <rowOff>81935</rowOff>
    </from>
    <to>
      <col>17</col>
      <colOff>534629</colOff>
      <row>147</row>
      <rowOff>193777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cchimenti/Documents/HYFR_DC-FC_2020_new%20structur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ules"/>
      <sheetName val="Key"/>
      <sheetName val="Data"/>
      <sheetName val="Weekly Data"/>
      <sheetName val="Monthly Data"/>
      <sheetName val="est. MEAT"/>
      <sheetName val="AIA"/>
      <sheetName val="FCP+AIA"/>
      <sheetName val="Forecast 2020"/>
      <sheetName val="Daily Tracking"/>
      <sheetName val="Delivery Plan"/>
      <sheetName val="Reconciliation SOLUNE vs SAP"/>
      <sheetName val="GroupExport"/>
      <sheetName val="Config"/>
    </sheetNames>
    <sheetDataSet>
      <sheetData sheetId="0" refreshError="1"/>
      <sheetData sheetId="1">
        <row r="2">
          <cell r="B2" t="str">
            <v>Accepté</v>
          </cell>
          <cell r="C2" t="str">
            <v>Certification</v>
          </cell>
          <cell r="D2" t="str">
            <v>Certification</v>
          </cell>
          <cell r="H2" t="str">
            <v>ASI</v>
          </cell>
        </row>
        <row r="3">
          <cell r="B3" t="str">
            <v>Annulé</v>
          </cell>
          <cell r="C3" t="str">
            <v>Délai</v>
          </cell>
          <cell r="D3" t="str">
            <v>Compétence</v>
          </cell>
          <cell r="H3" t="str">
            <v>ABA</v>
          </cell>
        </row>
        <row r="4">
          <cell r="B4" t="str">
            <v>En Attente</v>
          </cell>
          <cell r="C4" t="str">
            <v>Prix</v>
          </cell>
          <cell r="D4" t="str">
            <v>Machine</v>
          </cell>
          <cell r="H4" t="str">
            <v>ASI+ABA</v>
          </cell>
        </row>
        <row r="5">
          <cell r="B5" t="str">
            <v>Opportunité</v>
          </cell>
          <cell r="C5" t="str">
            <v>Qualité</v>
          </cell>
          <cell r="D5" t="str">
            <v>Outils</v>
          </cell>
        </row>
        <row r="6">
          <cell r="B6" t="str">
            <v>Part. Accepté</v>
          </cell>
          <cell r="C6" t="str">
            <v>Client-interne</v>
          </cell>
          <cell r="D6" t="str">
            <v>Personnel</v>
          </cell>
        </row>
        <row r="7">
          <cell r="B7" t="str">
            <v>Rejeté</v>
          </cell>
          <cell r="D7" t="str">
            <v>Place</v>
          </cell>
        </row>
        <row r="8">
          <cell r="D8" t="str">
            <v>PLT (PV)</v>
          </cell>
        </row>
        <row r="9">
          <cell r="D9" t="str">
            <v>N/A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>
            <v>2019</v>
          </cell>
        </row>
      </sheetData>
    </sheetDataSet>
  </externalBook>
</externalLink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Chimenti, Caroline" refreshedDate="44316.63476643519" createdVersion="6" refreshedVersion="6" minRefreshableVersion="3" recordCount="148" r:id="rId1">
  <cacheSource type="worksheet">
    <worksheetSource ref="A1:AD149" sheet="Qlikview"/>
  </cacheSource>
  <cacheFields count="30">
    <cacheField name="Year" uniqueList="1" numFmtId="6" sqlType="0" hierarchy="0" level="0" databaseField="1">
      <sharedItems count="0" containsInteger="1" containsNumber="1" containsSemiMixedTypes="0" containsString="0" minValue="2021" maxValue="2021"/>
    </cacheField>
    <cacheField name="Month" uniqueList="1" numFmtId="0" sqlType="0" hierarchy="0" level="0" databaseField="1">
      <sharedItems count="4">
        <s v="Apr"/>
        <s v="Mrz"/>
        <s v="Jan" u="1"/>
        <s v="Feb" u="1"/>
      </sharedItems>
    </cacheField>
    <cacheField name="Document number" uniqueList="1" numFmtId="0" sqlType="0" hierarchy="0" level="0" databaseField="1">
      <sharedItems count="0" containsInteger="1" containsNumber="1" containsSemiMixedTypes="0" containsString="0" minValue="100006576" maxValue="9120027477"/>
    </cacheField>
    <cacheField name="Pos" uniqueList="1" numFmtId="0" sqlType="0" hierarchy="0" level="0" databaseField="1">
      <sharedItems count="0"/>
    </cacheField>
    <cacheField name="Region" uniqueList="1" numFmtId="0" sqlType="0" hierarchy="0" level="0" databaseField="1">
      <sharedItems count="0"/>
    </cacheField>
    <cacheField name="Sales Organization" uniqueList="1" numFmtId="0" sqlType="0" hierarchy="0" level="0" databaseField="1">
      <sharedItems count="0"/>
    </cacheField>
    <cacheField name="Material info" uniqueList="1" numFmtId="0" sqlType="0" hierarchy="0" level="0" databaseField="1">
      <sharedItems count="0"/>
    </cacheField>
    <cacheField name="Material no." uniqueList="1" numFmtId="0" sqlType="0" hierarchy="0" level="0" databaseField="1">
      <sharedItems count="0"/>
    </cacheField>
    <cacheField name="Material text" uniqueList="1" numFmtId="0" sqlType="0" hierarchy="0" level="0" databaseField="1">
      <sharedItems count="0"/>
    </cacheField>
    <cacheField name="Sales group" uniqueList="1" numFmtId="0" sqlType="0" hierarchy="0" level="0" databaseField="1">
      <sharedItems count="0"/>
    </cacheField>
    <cacheField name="Customer (AU)" uniqueList="1" numFmtId="0" sqlType="0" hierarchy="0" level="0" databaseField="1">
      <sharedItems count="32">
        <s v="100403 / Airbus Helicopters"/>
        <s v="100048 / REEL SAS"/>
        <s v="103795 / TCR France"/>
        <s v="100043 / Air Austral"/>
        <s v="100238 / Egyptair"/>
        <s v="107076 / Air Tanzania Company Ltd."/>
        <s v="100181 / Corsair International"/>
        <s v="100019 / Air Algerie"/>
        <s v="100483 / ROYAL AIR MAROC"/>
        <s v="107226 / Avions de Transport Régional GIE"/>
        <s v="101022 / TARMAC Aerosave SAS"/>
        <s v="107996 / MAZERES AERO"/>
        <s v="100028 / Airbus Operations SAS"/>
        <s v="100253 / Ethiopian Airlines S.C."/>
        <s v="100537 / SIRBEM"/>
        <s v="106517 / AIRBUS Gron Saint-Nazaire"/>
        <s v="100492 / South African Airways Technical"/>
        <s v="107672 / THALES SIX GTS FRANCE S.S.S."/>
        <s v="101949 / Sabena Technics BOD"/>
        <s v="100021 / Air France Industries"/>
        <s v="106137 / INTERAPPRO"/>
        <s v="100580 / Sabena Technics MIR"/>
        <s v="108233 / SPAREWAYS" u="1"/>
        <s v="100059 / Air Mauritius Ltd." u="1"/>
        <s v="5000 / HYDRO Systems France SAS" u="1"/>
        <s v="100282 / Air Corsica" u="1"/>
        <s v="103123 / ERAS" u="1"/>
        <s v="107414 / ACTEMIUM" u="1"/>
        <s v="102809 / ADF Technologies - Section TN" u="1"/>
        <s v="100077 / Aviapartner Services Lyon" u="1"/>
        <s v="103842 / FlyDynamics" u="1"/>
        <s v="106674 / Swissport Tanzania Plc" u="1"/>
      </sharedItems>
    </cacheField>
    <cacheField name="Customer (WE)" uniqueList="1" numFmtId="0" sqlType="0" hierarchy="0" level="0" databaseField="1">
      <sharedItems count="0"/>
    </cacheField>
    <cacheField name="Country (AU)" uniqueList="1" numFmtId="0" sqlType="0" hierarchy="0" level="0" databaseField="1">
      <sharedItems count="0"/>
    </cacheField>
    <cacheField name="Country (WE)" uniqueList="1" numFmtId="0" sqlType="0" hierarchy="0" level="0" databaseField="1">
      <sharedItems count="0"/>
    </cacheField>
    <cacheField name="Business Area" uniqueList="1" numFmtId="0" sqlType="0" hierarchy="0" level="0" databaseField="1">
      <sharedItems count="0"/>
    </cacheField>
    <cacheField name="Planning group" uniqueList="1" numFmtId="0" sqlType="0" hierarchy="0" level="0" databaseField="1">
      <sharedItems count="0"/>
    </cacheField>
    <cacheField name="Product Hierarchy" uniqueList="1" numFmtId="0" sqlType="0" hierarchy="0" level="0" databaseField="1">
      <sharedItems count="0"/>
    </cacheField>
    <cacheField name="Exchange Rate EUR" uniqueList="1" numFmtId="0" sqlType="0" hierarchy="0" level="0" databaseField="1">
      <sharedItems count="0"/>
    </cacheField>
    <cacheField name="Exchange Rate GBP" uniqueList="1" numFmtId="0" sqlType="0" hierarchy="0" level="0" databaseField="1">
      <sharedItems count="0"/>
    </cacheField>
    <cacheField name="Exchange Rate USD" uniqueList="1" numFmtId="0" sqlType="0" hierarchy="0" level="0" databaseField="1">
      <sharedItems count="0"/>
    </cacheField>
    <cacheField name="Creation date" uniqueList="1" numFmtId="14" sqlType="0" hierarchy="0" level="0" databaseField="1">
      <sharedItems count="0" containsDate="1" containsNonDate="0" containsSemiMixedTypes="0" containsString="0" minDate="2021-03-03T00:00:00" maxDate="2021-04-30T00:00:00"/>
    </cacheField>
    <cacheField name="Date" uniqueList="1" numFmtId="44" sqlType="0" hierarchy="0" level="0" databaseField="1">
      <sharedItems count="0" containsDate="1" containsNonDate="0" containsSemiMixedTypes="0" containsString="0" minDate="2021-03-02T00:00:00" maxDate="2021-04-30T00:00:00"/>
    </cacheField>
    <cacheField name="original currency" uniqueList="1" numFmtId="0" sqlType="0" hierarchy="0" level="0" databaseField="1">
      <sharedItems count="0"/>
    </cacheField>
    <cacheField name="MARA.PRDHA" uniqueList="1" numFmtId="0" sqlType="0" hierarchy="0" level="0" databaseField="1">
      <sharedItems count="0"/>
    </cacheField>
    <cacheField name="Quantity" uniqueList="1" numFmtId="4" sqlType="0" hierarchy="0" level="0" databaseField="1">
      <sharedItems count="0" containsInteger="1" containsNumber="1" containsSemiMixedTypes="0" containsString="0" minValue="-19" maxValue="30"/>
    </cacheField>
    <cacheField name="Net value in €" uniqueList="1" numFmtId="4" sqlType="0" hierarchy="0" level="0" databaseField="1">
      <sharedItems count="0" containsNumber="1" containsSemiMixedTypes="0" containsString="0" minValue="-635" maxValue="51600"/>
    </cacheField>
    <cacheField name="Net value in $" uniqueList="1" numFmtId="4" sqlType="0" hierarchy="0" level="0" databaseField="1">
      <sharedItems count="0" containsNumber="1" containsSemiMixedTypes="0" containsString="0" minValue="-765.8075953641505" maxValue="62400.23218691046"/>
    </cacheField>
    <cacheField name="Net value in £" uniqueList="1" numFmtId="4" sqlType="0" hierarchy="0" level="0" databaseField="1">
      <sharedItems count="0" containsNumber="1" containsSemiMixedTypes="0" containsString="0" minValue="-548.9423135108966" maxValue="44897.67506612835"/>
    </cacheField>
    <cacheField name="Estimated comm" uniqueList="1" numFmtId="44" sqlType="0" hierarchy="0" level="0" databaseField="1">
      <sharedItems count="0" containsNumber="1" containsSemiMixedTypes="0" containsString="0" minValue="0" maxValue="0.075"/>
    </cacheField>
    <cacheField name="Estimated comm value" uniqueList="1" numFmtId="4" sqlType="0" hierarchy="0" level="0" databaseField="1">
      <sharedItems count="0" containsNumber="1" containsSemiMixedTypes="0" containsString="0" minValue="-1.425" maxValue="3870"/>
    </cacheField>
  </cacheFields>
</pivotCacheDefinition>
</file>

<file path=xl/pivotCache/pivotCacheRecords1.xml><?xml version="1.0" encoding="utf-8"?>
<pivotCacheRecords xmlns="http://schemas.openxmlformats.org/spreadsheetml/2006/main" count="148">
  <r>
    <n v="2021"/>
    <x v="0"/>
    <n v="9118008513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701"/>
    <s v="1,2093"/>
    <d v="2021-04-29T00:00:00"/>
    <d v="2021-04-29T00:00:00"/>
    <s v="EUR"/>
    <s v="CO098XXE"/>
    <n v="-19"/>
    <n v="-19"/>
    <n v="-22.97682968122672"/>
    <n v="-16.53208965613253"/>
    <n v="0.075"/>
    <n v="-1.425"/>
  </r>
  <r>
    <n v="2021"/>
    <x v="0"/>
    <n v="9110130014"/>
    <s v="000010"/>
    <s v="ZREG01 / EUROPE"/>
    <s v="1100 / HYDRO Systems KG_DE"/>
    <s v="00489-285-000 / Ablassventil"/>
    <s v="00489-285-000"/>
    <s v="Release valve"/>
    <s v="301 / Siefer, Alfred"/>
    <x v="1"/>
    <s v="-"/>
    <s v="Frankreich"/>
    <s v="Frankreich"/>
    <s v="Service"/>
    <s v="P033"/>
    <s v="CO098XXE"/>
    <s v="1,0000"/>
    <s v="0,8701"/>
    <s v="1,2093"/>
    <d v="2021-04-29T00:00:00"/>
    <d v="2021-04-28T00:00:00"/>
    <s v="EUR"/>
    <s v="CO098XXE"/>
    <n v="2"/>
    <n v="392.7"/>
    <n v="474.8947903061965"/>
    <n v="341.6921898928024"/>
    <n v="0.075"/>
    <n v="29.4525"/>
  </r>
  <r>
    <n v="2021"/>
    <x v="0"/>
    <n v="9110130014"/>
    <s v="000020"/>
    <s v="ZREG01 / EUROPE"/>
    <s v="1100 / HYDRO Systems KG_DE"/>
    <s v="17240-001-021 / Achse"/>
    <s v="17240-001-021"/>
    <s v="Axle"/>
    <s v="301 / Siefer, Alfred"/>
    <x v="1"/>
    <s v="-"/>
    <s v="Frankreich"/>
    <s v="-"/>
    <s v="Service"/>
    <s v="P033"/>
    <s v="GS002XXE"/>
    <s v="1,0000"/>
    <s v="0,8701"/>
    <s v="1,2093"/>
    <d v="2021-04-29T00:00:00"/>
    <d v="2021-04-28T00:00:00"/>
    <s v="EUR"/>
    <s v="GS002XXE"/>
    <n v="4"/>
    <n v="312.8"/>
    <n v="378.2711749625115"/>
    <n v="272.1704023388556"/>
    <n v="0.075"/>
    <n v="23.46"/>
  </r>
  <r>
    <n v="2021"/>
    <x v="0"/>
    <n v="9110130014"/>
    <s v="000030"/>
    <s v="ZREG01 / EUROPE"/>
    <s v="1100 / HYDRO Systems KG_DE"/>
    <s v="00166-289-000 / Lenkrolle"/>
    <s v="00166-289-000"/>
    <s v="Swivel castor"/>
    <s v="301 / Siefer, Alfred"/>
    <x v="1"/>
    <s v="-"/>
    <s v="Frankreich"/>
    <s v="-"/>
    <s v="Service"/>
    <s v="P033"/>
    <s v="CO098XXE"/>
    <s v="1,0000"/>
    <s v="0,8701"/>
    <s v="1,2093"/>
    <d v="2021-04-29T00:00:00"/>
    <d v="2021-04-28T00:00:00"/>
    <s v="EUR"/>
    <s v="CO098XXE"/>
    <n v="8"/>
    <n v="639.2"/>
    <n v="772.98892274948"/>
    <n v="556.1743004315746"/>
    <n v="0.075"/>
    <n v="47.94"/>
  </r>
  <r>
    <n v="2021"/>
    <x v="0"/>
    <n v="9110130021"/>
    <s v="000010"/>
    <s v="ZREG01 / EUROPE"/>
    <s v="1100 / HYDRO Systems KG_DE"/>
    <s v="00432-551-000 / Fangbolzen"/>
    <s v="00432-551-000"/>
    <s v="Retaining pin"/>
    <s v="301 / Siefer, Alfred"/>
    <x v="2"/>
    <s v="-"/>
    <s v="Frankreich"/>
    <s v="Frankreich"/>
    <s v="Service"/>
    <s v="P033"/>
    <s v="GS003XXE"/>
    <s v="1,0000"/>
    <s v="0,8701"/>
    <s v="1,2093"/>
    <d v="2021-04-29T00:00:00"/>
    <d v="2021-04-28T00:00:00"/>
    <s v="EUR"/>
    <s v="GS003XXE"/>
    <n v="4"/>
    <n v="613"/>
    <n v="741.3050839258937"/>
    <n v="533.3774189057497"/>
    <n v="0.075"/>
    <n v="45.975"/>
  </r>
  <r>
    <n v="2021"/>
    <x v="0"/>
    <n v="9110129967"/>
    <s v="000010"/>
    <s v="ZREG06 / AFRICA"/>
    <s v="1100 / HYDRO Systems KG_DE"/>
    <s v="FEN301A21 / Dreibockheber"/>
    <s v="FEN301A21"/>
    <s v="Tripod jack"/>
    <s v="301 / Siefer, Alfred"/>
    <x v="3"/>
    <s v="100043 / Air Austral"/>
    <s v="Reunion"/>
    <s v="Reunion"/>
    <s v="GSE"/>
    <s v="P001"/>
    <s v="GS00101S"/>
    <s v="1,0000"/>
    <s v="0,8701"/>
    <s v="1,2093"/>
    <d v="2021-04-28T00:00:00"/>
    <d v="2021-04-28T00:00:00"/>
    <s v="EUR"/>
    <s v="GS00101S"/>
    <n v="2"/>
    <n v="51600"/>
    <n v="62400.23218691046"/>
    <n v="44897.67506612835"/>
    <n v="0.075"/>
    <n v="3870"/>
  </r>
  <r>
    <n v="2021"/>
    <x v="0"/>
    <n v="9110130005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701"/>
    <s v="1,2093"/>
    <d v="2021-04-28T00:00:00"/>
    <d v="2021-04-28T00:00:00"/>
    <s v="EUR"/>
    <s v="SE07001S"/>
    <n v="1"/>
    <n v="2448"/>
    <n v="2960.383108402264"/>
    <n v="2130.029235695392"/>
    <n v="0"/>
    <n v="0"/>
  </r>
  <r>
    <n v="2021"/>
    <x v="0"/>
    <n v="9110129928"/>
    <s v="000010"/>
    <s v="ZREG01 / EUROPE"/>
    <s v="1100 / HYDRO Systems KG_DE"/>
    <s v="00511-079-000 / DU-Buchse"/>
    <s v="00511-079-000"/>
    <s v="Du-bushing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4"/>
    <n v="37.4"/>
    <n v="45.22807526725681"/>
    <n v="32.54211332312404"/>
    <n v="0.075"/>
    <n v="2.805"/>
  </r>
  <r>
    <n v="2021"/>
    <x v="0"/>
    <n v="9110129928"/>
    <s v="00002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701"/>
    <s v="1,2093"/>
    <d v="2021-04-28T00:00:00"/>
    <d v="2021-04-27T00:00:00"/>
    <s v="EUR"/>
    <s v="GS001XXE"/>
    <n v="1"/>
    <n v="30.6"/>
    <n v="37.0047888550283"/>
    <n v="26.6253654461924"/>
    <n v="0.075"/>
    <n v="2.295"/>
  </r>
  <r>
    <n v="2021"/>
    <x v="0"/>
    <n v="9110129929"/>
    <s v="000010"/>
    <s v="ZREG01 / EUROPE"/>
    <s v="1100 / HYDRO Systems KG_DE"/>
    <s v="00189-054-003 / Kugelhahn"/>
    <s v="00189-054-003"/>
    <s v="Ball valve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1"/>
    <n v="159.8"/>
    <n v="193.24723068737"/>
    <n v="139.0435751078936"/>
    <n v="0.075"/>
    <n v="11.985"/>
  </r>
  <r>
    <n v="2021"/>
    <x v="0"/>
    <n v="9110129898"/>
    <s v="000020"/>
    <s v="ZREG06 / AFRICA"/>
    <s v="1100 / HYDRO Systems KG_DE"/>
    <s v="20538-00 / Tester fuer Unterwasserortungsgeraete"/>
    <s v="20538-00"/>
    <s v="Tester and Analyser for Underwater Locat"/>
    <s v="301 / Siefer, Alfred"/>
    <x v="5"/>
    <s v="107076 / Air Tanzania Company Ltd."/>
    <s v="Tansania"/>
    <s v="Tansania"/>
    <s v="GSE"/>
    <s v="P013"/>
    <s v="GS01250S"/>
    <s v="1,0000"/>
    <s v="0,8701"/>
    <s v="1,2093"/>
    <d v="2021-04-27T00:00:00"/>
    <d v="2021-04-27T00:00:00"/>
    <s v="EUR"/>
    <s v="GS01250S"/>
    <n v="1"/>
    <n v="926"/>
    <n v="1119.818120253471"/>
    <n v="805.7218432409855"/>
    <n v="0.075"/>
    <n v="69.45"/>
  </r>
  <r>
    <n v="2021"/>
    <x v="0"/>
    <n v="9110129915"/>
    <s v="000010"/>
    <s v="ZREG01 / EUROPE"/>
    <s v="1100 / HYDRO Systems KG_DE"/>
    <s v="32027-106-000 / Anschlussstueck vollst. (FR)"/>
    <s v="32027-106-000"/>
    <s v="Connecting piece assy. (FR)"/>
    <s v="301 / Siefer, Alfred"/>
    <x v="1"/>
    <s v="-"/>
    <s v="Frankreich"/>
    <s v="Frankreich"/>
    <s v="Service"/>
    <s v="P033"/>
    <s v="GS006XXE"/>
    <s v="1,0000"/>
    <s v="0,8630"/>
    <s v="1,2010"/>
    <d v="2021-04-28T00:00:00"/>
    <d v="2021-04-26T00:00:00"/>
    <s v="EUR"/>
    <s v="GS006XXE"/>
    <n v="1"/>
    <n v="1184.9"/>
    <n v="1423.063989239047"/>
    <n v="1022.532124025924"/>
    <n v="0.075"/>
    <n v="88.86750000000001"/>
  </r>
  <r>
    <n v="2021"/>
    <x v="0"/>
    <n v="9110129916"/>
    <s v="000010"/>
    <s v="ZREG01 / EUROPE"/>
    <s v="1100 / HYDRO Systems KG_DE"/>
    <s v="00464-290-000 / Kugelsperrbolzen"/>
    <s v="00464-290-000"/>
    <s v="Ball lock pin"/>
    <s v="301 / Siefer, Alfred"/>
    <x v="6"/>
    <s v="-"/>
    <s v="Frankreich"/>
    <s v="Frankreich"/>
    <s v="Service"/>
    <s v="P033"/>
    <s v="CO098XXE"/>
    <s v="1,0000"/>
    <s v="0,8630"/>
    <s v="1,2010"/>
    <d v="2021-04-28T00:00:00"/>
    <d v="2021-04-26T00:00:00"/>
    <s v="EUR"/>
    <s v="CO098XXE"/>
    <n v="4"/>
    <n v="280"/>
    <n v="336.2797847809377"/>
    <n v="241.6313568463656"/>
    <n v="0.075"/>
    <n v="21"/>
  </r>
  <r>
    <n v="2021"/>
    <x v="0"/>
    <n v="9110129904"/>
    <s v="000010"/>
    <s v="ZREG06 / AFRICA"/>
    <s v="1100 / HYDRO Systems KG_DE"/>
    <s v="00432-544-000 / Scherbolzen"/>
    <s v="00432-544-000"/>
    <s v="Shear pin"/>
    <s v="301 / Siefer, Alfred"/>
    <x v="7"/>
    <s v="-"/>
    <s v="Algerien"/>
    <s v="Algerien"/>
    <s v="Service"/>
    <s v="P033"/>
    <s v="GS003XXE"/>
    <s v="1,0000"/>
    <s v="0,8630"/>
    <s v="1,2010"/>
    <d v="2021-04-27T00:00:00"/>
    <d v="2021-04-26T00:00:00"/>
    <s v="EUR"/>
    <s v="GS003XXE"/>
    <n v="20"/>
    <n v="2720"/>
    <n v="3266.717909300537"/>
    <n v="2347.276037936123"/>
    <n v="0.075"/>
    <n v="204"/>
  </r>
  <r>
    <n v="2021"/>
    <x v="0"/>
    <n v="9110129904"/>
    <s v="000020"/>
    <s v="ZREG06 / AFRICA"/>
    <s v="1100 / HYDRO Systems KG_DE"/>
    <s v="51755 / Sechskantmutter selbstsichernd"/>
    <s v="51755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20"/>
    <n v="200"/>
    <n v="240.1998462720984"/>
    <n v="172.5938263188326"/>
    <n v="0.075"/>
    <n v="15"/>
  </r>
  <r>
    <n v="2021"/>
    <x v="0"/>
    <n v="9110129904"/>
    <s v="000030"/>
    <s v="ZREG06 / AFRICA"/>
    <s v="1100 / HYDRO Systems KG_DE"/>
    <s v="33078-003-005 / Scherbuchse"/>
    <s v="33078-003-005"/>
    <s v="Shear bushing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10"/>
    <n v="360"/>
    <n v="432.359723289777"/>
    <n v="310.6688873738987"/>
    <n v="0.075"/>
    <n v="27"/>
  </r>
  <r>
    <n v="2021"/>
    <x v="0"/>
    <n v="9110129904"/>
    <s v="000040"/>
    <s v="ZREG06 / AFRICA"/>
    <s v="1100 / HYDRO Systems KG_DE"/>
    <s v="00432-543-000 / Fangbolzen"/>
    <s v="00432-543-000"/>
    <s v="Retaining pin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5"/>
    <n v="895"/>
    <n v="1074.89431206764"/>
    <n v="772.3573727767758"/>
    <n v="0.075"/>
    <n v="67.125"/>
  </r>
  <r>
    <n v="2021"/>
    <x v="0"/>
    <n v="9110129904"/>
    <s v="000050"/>
    <s v="ZREG06 / AFRICA"/>
    <s v="1100 / HYDRO Systems KG_DE"/>
    <s v="51758 / Sechskantmutter selbstsichernd"/>
    <s v="51758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5"/>
    <n v="50"/>
    <n v="60.04996156802459"/>
    <n v="43.14845657970815"/>
    <n v="0.075"/>
    <n v="3.75"/>
  </r>
  <r>
    <n v="2021"/>
    <x v="0"/>
    <n v="9110129723"/>
    <s v="000010"/>
    <s v="ZREG01 / EUROPE"/>
    <s v="1100 / HYDRO Systems KG_DE"/>
    <s v="00464-913-000 / Kugelsperrbolzen"/>
    <s v="00464-913-000"/>
    <s v="Ball lock pin"/>
    <s v="302 / Balsemin, Antony"/>
    <x v="0"/>
    <s v="-"/>
    <s v="Frankreich"/>
    <s v="Frankreich"/>
    <s v="Service"/>
    <s v="P033"/>
    <s v="CO098XXE"/>
    <s v="1,0000"/>
    <s v="0,8630"/>
    <s v="1,2010"/>
    <d v="2021-04-22T00:00:00"/>
    <d v="2021-04-22T00:00:00"/>
    <s v="EUR"/>
    <s v="CO098XXE"/>
    <n v="2"/>
    <n v="0"/>
    <n v="0"/>
    <n v="0"/>
    <n v="0.075"/>
    <n v="0"/>
  </r>
  <r>
    <n v="2021"/>
    <x v="0"/>
    <n v="9110129729"/>
    <s v="000010"/>
    <s v="ZREG06 / AFRICA"/>
    <s v="1100 / HYDRO Systems KG_DE"/>
    <s v="00489-072-000 / Absperrventil"/>
    <s v="00489-072-000"/>
    <s v="Stop valve"/>
    <s v="301 / Siefer, Alfred"/>
    <x v="8"/>
    <s v="100483 / ROYAL AIR MAROC"/>
    <s v="Marokko"/>
    <s v="Marokko"/>
    <s v="Service"/>
    <s v="P033"/>
    <s v="CO099XXE"/>
    <s v="1,0000"/>
    <s v="0,8630"/>
    <s v="1,2010"/>
    <d v="2021-04-22T00:00:00"/>
    <d v="2021-04-22T00:00:00"/>
    <s v="EUR"/>
    <s v="CO099XXE"/>
    <n v="2"/>
    <n v="532"/>
    <n v="638.9315910837817"/>
    <n v="459.0995780080947"/>
    <n v="0.075"/>
    <n v="39.9"/>
  </r>
  <r>
    <n v="2021"/>
    <x v="0"/>
    <n v="9110129729"/>
    <s v="000020"/>
    <s v="ZREG06 / AFRICA"/>
    <s v="1100 / HYDRO Systems KG_DE"/>
    <s v="00175-005-000 / Lufthydraulikpumpe vollst."/>
    <s v="00175-005-000"/>
    <s v="Air hydraulic pump assy."/>
    <s v="301 / Siefer, Alfred"/>
    <x v="8"/>
    <s v="-"/>
    <s v="Marokko"/>
    <s v="-"/>
    <s v="Service"/>
    <s v="P033"/>
    <s v="GS001XXE"/>
    <s v="1,0000"/>
    <s v="0,8630"/>
    <s v="1,2010"/>
    <d v="2021-04-22T00:00:00"/>
    <d v="2021-04-22T00:00:00"/>
    <s v="EUR"/>
    <s v="GS001XXE"/>
    <n v="1"/>
    <n v="3517"/>
    <n v="4223.914296694849"/>
    <n v="3035.062435816671"/>
    <n v="0.075"/>
    <n v="263.775"/>
  </r>
  <r>
    <n v="2021"/>
    <x v="0"/>
    <n v="9110129729"/>
    <s v="000030"/>
    <s v="ZREG06 / AFRICA"/>
    <s v="1100 / HYDRO Systems KG_DE"/>
    <s v="00304-101-000 / Nutring"/>
    <s v="00304-101-000"/>
    <s v="Grooved ring"/>
    <s v="301 / Siefer, Alfred"/>
    <x v="8"/>
    <s v="-"/>
    <s v="Marokko"/>
    <s v="-"/>
    <s v="Service"/>
    <s v="P033"/>
    <s v="CO098XXE"/>
    <s v="1,0000"/>
    <s v="0,8630"/>
    <s v="1,2010"/>
    <d v="2021-04-22T00:00:00"/>
    <d v="2021-04-22T00:00:00"/>
    <s v="EUR"/>
    <s v="CO098XXE"/>
    <n v="2"/>
    <n v="130"/>
    <n v="156.1299000768639"/>
    <n v="112.1859871072412"/>
    <n v="0.075"/>
    <n v="9.75"/>
  </r>
  <r>
    <n v="2021"/>
    <x v="0"/>
    <n v="9110129745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30"/>
    <s v="1,2010"/>
    <d v="2021-04-22T00:00:00"/>
    <d v="2021-04-22T00:00:00"/>
    <s v="EUR"/>
    <s v="SE07001S"/>
    <n v="1"/>
    <n v="60"/>
    <n v="72.05995388162951"/>
    <n v="51.77814789564977"/>
    <n v="0.075"/>
    <n v="4.5"/>
  </r>
  <r>
    <n v="2021"/>
    <x v="0"/>
    <n v="9110129657"/>
    <s v="00001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Frankreich"/>
    <s v="Service"/>
    <s v="P033"/>
    <s v="GS002XXE"/>
    <s v="1,0000"/>
    <s v="0,8630"/>
    <s v="1,2010"/>
    <d v="2021-04-21T00:00:00"/>
    <d v="2021-04-20T00:00:00"/>
    <s v="EUR"/>
    <s v="GS002XXE"/>
    <n v="4"/>
    <n v="27.2"/>
    <n v="32.66717909300537"/>
    <n v="23.47276037936123"/>
    <n v="0.075"/>
    <n v="2.04"/>
  </r>
  <r>
    <n v="2021"/>
    <x v="0"/>
    <n v="9110129657"/>
    <s v="000020"/>
    <s v="ZREG01 / EUROPE"/>
    <s v="1100 / HYDRO Systems KG_DE"/>
    <s v="00495-126-000 / Sitzventil"/>
    <s v="00495-126-000"/>
    <s v="Seated 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1"/>
    <n v="118.15"/>
    <n v="141.8980591852421"/>
    <n v="101.9598028978504"/>
    <n v="0.075"/>
    <n v="8.86125"/>
  </r>
  <r>
    <n v="2021"/>
    <x v="0"/>
    <n v="9110129657"/>
    <s v="000030"/>
    <s v="ZREG01 / EUROPE"/>
    <s v="1100 / HYDRO Systems KG_DE"/>
    <s v="00189-096-001 / Ventilsegment"/>
    <s v="00189-096-001"/>
    <s v="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1331.1"/>
    <n v="1598.650076863951"/>
    <n v="1148.69821106499"/>
    <n v="0.075"/>
    <n v="99.8325"/>
  </r>
  <r>
    <n v="2021"/>
    <x v="0"/>
    <n v="9110129657"/>
    <s v="000040"/>
    <s v="ZREG01 / EUROPE"/>
    <s v="1100 / HYDRO Systems KG_DE"/>
    <s v="00189-096-002 / Dichtungssatz"/>
    <s v="00189-096-002"/>
    <s v="Seal kit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23.8"/>
    <n v="28.58378170637971"/>
    <n v="20.53866533194108"/>
    <n v="0.075"/>
    <n v="1.785"/>
  </r>
  <r>
    <n v="2021"/>
    <x v="0"/>
    <n v="9110129659"/>
    <s v="000010"/>
    <s v="ZREG01 / EUROPE"/>
    <s v="1100 / HYDRO Systems KG_DE"/>
    <s v="33076-008-000 / Zugoese vollst."/>
    <s v="33076-008-000"/>
    <s v="Tow-eye assy."/>
    <s v="302 / Balsemin, Antony"/>
    <x v="0"/>
    <s v="-"/>
    <s v="Frankreich"/>
    <s v="Frankreich"/>
    <s v="Service"/>
    <s v="P033"/>
    <s v="GS003XXE"/>
    <s v="1,0000"/>
    <s v="0,8630"/>
    <s v="1,2010"/>
    <d v="2021-04-21T00:00:00"/>
    <d v="2021-04-20T00:00:00"/>
    <s v="EUR"/>
    <s v="GS003XXE"/>
    <n v="3"/>
    <n v="3195"/>
    <n v="3837.192544196771"/>
    <n v="2757.18637544335"/>
    <n v="0.075"/>
    <n v="239.625"/>
  </r>
  <r>
    <n v="2021"/>
    <x v="0"/>
    <n v="9110129663"/>
    <s v="000010"/>
    <s v="ZREG01 / EUROPE"/>
    <s v="1100 / HYDRO Systems KG_DE"/>
    <s v="TOWUNIV3S20RH1_TY / Schleppstange"/>
    <s v="TOWUNIV3S20RH1_TY"/>
    <s v="Tow bar"/>
    <s v="302 / Balsemin, Antony"/>
    <x v="10"/>
    <s v="-"/>
    <s v="Frankreich"/>
    <s v="Frankreich"/>
    <s v="GSE"/>
    <s v="P006"/>
    <s v="GS00316S"/>
    <s v="1,0000"/>
    <s v="0,8630"/>
    <s v="1,2010"/>
    <d v="2021-04-21T00:00:00"/>
    <d v="2021-04-20T00:00:00"/>
    <s v="EUR"/>
    <s v="GS00316S"/>
    <n v="1"/>
    <n v="6026"/>
    <n v="7237.221368178323"/>
    <n v="5200.251986986425"/>
    <n v="0.075"/>
    <n v="451.95"/>
  </r>
  <r>
    <n v="2021"/>
    <x v="0"/>
    <n v="9110129612"/>
    <s v="000010"/>
    <s v="ZREG01 / EUROPE"/>
    <s v="1100 / HYDRO Systems KG_DE"/>
    <s v="BOB02B / Oeleinfuellgeraet"/>
    <s v="BOB02B"/>
    <s v="Oil filling unit"/>
    <s v="302 / Balsemin, Antony"/>
    <x v="10"/>
    <s v="103415 / Tarmac Aragón"/>
    <s v="Frankreich"/>
    <s v="Spanien"/>
    <s v="GSE"/>
    <s v="P013"/>
    <s v="GS01250S"/>
    <s v="1,0000"/>
    <s v="0,8630"/>
    <s v="1,2010"/>
    <d v="2021-04-20T00:00:00"/>
    <d v="2021-04-20T00:00:00"/>
    <s v="EUR"/>
    <s v="GS01250S"/>
    <n v="4"/>
    <n v="7460.8"/>
    <n v="8960.415065334357"/>
    <n v="6438.440096997731"/>
    <n v="0.075"/>
    <n v="559.5599999999999"/>
  </r>
  <r>
    <n v="2021"/>
    <x v="0"/>
    <n v="9110129612"/>
    <s v="000020"/>
    <s v="ZREG01 / EUROPE"/>
    <s v="1100 / HYDRO Systems KG_DE"/>
    <s v="BOB02G / Oeleinfuellgeraet"/>
    <s v="BOB02G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"/>
    <n v="3219.220048498865"/>
    <n v="0.075"/>
    <n v="279.78"/>
  </r>
  <r>
    <n v="2021"/>
    <x v="0"/>
    <n v="9110129612"/>
    <s v="000030"/>
    <s v="ZREG01 / EUROPE"/>
    <s v="1100 / HYDRO Systems KG_DE"/>
    <s v="BOB02K / Oeleinfuellgeraet"/>
    <s v="BOB02K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"/>
    <n v="3219.220048498865"/>
    <n v="0.075"/>
    <n v="279.78"/>
  </r>
  <r>
    <n v="2021"/>
    <x v="0"/>
    <n v="9110129613"/>
    <s v="000010"/>
    <s v="ZREG01 / EUROPE"/>
    <s v="1100 / HYDRO Systems KG_DE"/>
    <s v="HU82353 / Abdeckung"/>
    <s v="HU82353"/>
    <s v="Mask"/>
    <s v="302 / Balsemin, Antony"/>
    <x v="11"/>
    <s v="107996 / MAZERES AERO"/>
    <s v="Frankreich"/>
    <s v="Frankreich"/>
    <s v="Tooling"/>
    <s v="P025"/>
    <s v="TE03001S"/>
    <s v="1,0000"/>
    <s v="0,8630"/>
    <s v="1,2010"/>
    <d v="2021-04-20T00:00:00"/>
    <d v="2021-04-20T00:00:00"/>
    <s v="EUR"/>
    <s v="TE03001S"/>
    <n v="2"/>
    <n v="9211.68"/>
    <n v="11063.22059953882"/>
    <n v="7949.395490123318"/>
    <n v="0.075"/>
    <n v="690.876"/>
  </r>
  <r>
    <n v="2021"/>
    <x v="0"/>
    <n v="9110129742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22T00:00:00"/>
    <d v="2021-04-19T00:00:00"/>
    <s v="EUR"/>
    <s v="SE07001S"/>
    <n v="1"/>
    <n v="1209"/>
    <n v="1438.960235184899"/>
    <n v="1048.005409060176"/>
    <n v="0"/>
    <n v="0"/>
  </r>
  <r>
    <n v="2021"/>
    <x v="0"/>
    <n v="9110129606"/>
    <s v="000010"/>
    <s v="ZREG01 / EUROPE"/>
    <s v="1100 / HYDRO Systems KG_DE"/>
    <s v="00336-007-000 / Kolbendichtsatz"/>
    <s v="00336-007-000"/>
    <s v="Piston seal set"/>
    <s v="301 / Siefer, Alfred"/>
    <x v="12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6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7"/>
    <s v="000010"/>
    <s v="ZREG01 / EUROPE"/>
    <s v="1100 / HYDRO Systems KG_DE"/>
    <s v="00336-007-000 / Kolbendichtsatz"/>
    <s v="00336-007-000"/>
    <s v="Piston seal set"/>
    <s v="301 / Siefer, Alfred"/>
    <x v="12"/>
    <s v="100028 / Airbus Operations SAS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7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31"/>
    <s v="000010"/>
    <s v="ZREG01 / EUROPE"/>
    <s v="1100 / HYDRO Systems KG_DE"/>
    <s v="00489-148-000 / Absperrventil"/>
    <s v="00489-148-000"/>
    <s v="Stop valve"/>
    <s v="301 / Siefer, Alfred"/>
    <x v="1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3"/>
    <n v="137.7"/>
    <n v="163.8915007319773"/>
    <n v="119.3633952254642"/>
    <n v="0.075"/>
    <n v="10.3275"/>
  </r>
  <r>
    <n v="2021"/>
    <x v="0"/>
    <n v="9110129472"/>
    <s v="000010"/>
    <s v="ZREG01 / EUROPE"/>
    <s v="1100 / HYDRO Systems KG_DE"/>
    <s v="00166-230-000 / Lenkrolle"/>
    <s v="00166-230-000"/>
    <s v="Swivel castor"/>
    <s v="302 / Balsemin, Antony"/>
    <x v="0"/>
    <s v="100403 / Airbus Helicopters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21"/>
    <n v="473.55"/>
    <n v="563.6225139551768"/>
    <n v="410.4904561294013"/>
    <n v="0.075"/>
    <n v="35.51625"/>
  </r>
  <r>
    <n v="2021"/>
    <x v="0"/>
    <n v="9110129474"/>
    <s v="000080"/>
    <s v="ZREG01 / EUROPE"/>
    <s v="1100 / HYDRO Systems KG_DE"/>
    <s v="00411-031-000 / Kupferdichtung"/>
    <s v="00411-031-000"/>
    <s v="Copper gasket"/>
    <s v="301 / Siefer, Alfred"/>
    <x v="12"/>
    <s v="-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090"/>
    <s v="ZREG01 / EUROPE"/>
    <s v="1100 / HYDRO Systems KG_DE"/>
    <s v="00189-126-001 / Dichtungssatz"/>
    <s v="00189-126-001"/>
    <s v="Seal kit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00"/>
    <s v="ZREG01 / EUROPE"/>
    <s v="1100 / HYDRO Systems KG_DE"/>
    <s v="00145-136-002 / Verschmutzungsanzeige"/>
    <s v="00145-136-002"/>
    <s v="Filter blockade sens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10"/>
    <s v="ZREG01 / EUROPE"/>
    <s v="1100 / HYDRO Systems KG_DE"/>
    <s v="00945-219-000 / Batteriestecker"/>
    <s v="00945-219-000"/>
    <s v="Battery connect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20"/>
    <s v="ZREG01 / EUROPE"/>
    <s v="1100 / HYDRO Systems KG_DE"/>
    <s v="00945-458-000 / Stecker"/>
    <s v="00945-458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30"/>
    <s v="ZREG01 / EUROPE"/>
    <s v="1100 / HYDRO Systems KG_DE"/>
    <s v="00945-579-000 / Stecker"/>
    <s v="00945-579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379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420"/>
    <n v="499.8869303371857"/>
    <n v="364.0713579861653"/>
    <n v="0.075"/>
    <n v="31.5"/>
  </r>
  <r>
    <n v="2021"/>
    <x v="0"/>
    <n v="9110129380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120"/>
    <n v="142.8248372391959"/>
    <n v="104.0203879960472"/>
    <n v="0.075"/>
    <n v="9"/>
  </r>
  <r>
    <n v="2021"/>
    <x v="0"/>
    <n v="9110129429"/>
    <s v="010000"/>
    <s v="ZREG01 / EUROPE"/>
    <s v="1100 / HYDRO Systems KG_DE"/>
    <s v="SE_BI_REC / Rezertifizierung"/>
    <s v="SE_BI_REC"/>
    <s v="Recertification"/>
    <s v="301 / Siefer, Alfred"/>
    <x v="12"/>
    <s v="101543 / Sepang Aircraft Engineering"/>
    <s v="Frankreich"/>
    <s v="Malaysia"/>
    <s v="Service"/>
    <s v="P034"/>
    <s v="SE07001S"/>
    <s v="1,0000"/>
    <s v="0,8668"/>
    <s v="1,1902"/>
    <d v="2021-04-14T00:00:00"/>
    <d v="2021-04-14T00:00:00"/>
    <s v="EUR"/>
    <s v="SE07001S"/>
    <n v="1"/>
    <n v="3190"/>
    <n v="3796.760256608625"/>
    <n v="2765.208647561588"/>
    <n v="0"/>
    <n v="0"/>
  </r>
  <r>
    <n v="2021"/>
    <x v="0"/>
    <n v="9110129439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14T00:00:00"/>
    <d v="2021-04-14T00:00:00"/>
    <s v="EUR"/>
    <s v="SE07001S"/>
    <n v="1"/>
    <n v="29286"/>
    <n v="34856.40152822576"/>
    <n v="25386.17569043532"/>
    <n v="0"/>
    <n v="0"/>
  </r>
  <r>
    <n v="2021"/>
    <x v="0"/>
    <n v="9110129368"/>
    <s v="000010"/>
    <s v="ZREG01 / EUROPE"/>
    <s v="1100 / HYDRO Systems KG_DE"/>
    <s v="17240-003-000 / Laufrolle vollst."/>
    <s v="17240-003-000"/>
    <s v="Castor assy."/>
    <s v="301 / Siefer, Alfred"/>
    <x v="1"/>
    <s v="-"/>
    <s v="Frankreich"/>
    <s v="Frankreich"/>
    <s v="Service"/>
    <s v="P033"/>
    <s v="GS002XXE"/>
    <s v="1,0000"/>
    <s v="0,8668"/>
    <s v="1,1902"/>
    <d v="2021-04-14T00:00:00"/>
    <d v="2021-04-13T00:00:00"/>
    <s v="EUR"/>
    <s v="GS002XXE"/>
    <n v="2"/>
    <n v="838.1"/>
    <n v="997.5124674180842"/>
    <n v="726.4957264957264"/>
    <n v="0.075"/>
    <n v="62.8575"/>
  </r>
  <r>
    <n v="2021"/>
    <x v="0"/>
    <n v="9110129302"/>
    <s v="000010"/>
    <s v="ZREG06 / AFRICA"/>
    <s v="1100 / HYDRO Systems KG_DE"/>
    <s v="00432-348-000 / Scherbolzen"/>
    <s v="00432-348-000"/>
    <s v="Shear pin"/>
    <s v="301 / Siefer, Alfred"/>
    <x v="13"/>
    <s v="-"/>
    <s v="Äthiopien"/>
    <s v="Äthiopien"/>
    <s v="Service"/>
    <s v="P033"/>
    <s v="GS003XXE"/>
    <s v="1,0000"/>
    <s v="0,8494"/>
    <s v="1,1781"/>
    <d v="2021-04-12T00:00:00"/>
    <d v="2021-04-09T00:00:00"/>
    <s v="EUR"/>
    <s v="GS003XXE"/>
    <n v="20"/>
    <n v="1120"/>
    <n v="1319.509896324223"/>
    <n v="951.2969915232643"/>
    <n v="0.075"/>
    <n v="84"/>
  </r>
  <r>
    <n v="2021"/>
    <x v="0"/>
    <n v="9110129305"/>
    <s v="000010"/>
    <s v="ZREG01 / EUROPE"/>
    <s v="1100 / HYDRO Systems KG_DE"/>
    <s v="00316-017-000 / Turcon-Glyd-Ring"/>
    <s v="00316-017-000"/>
    <s v="Turcon-Glyd-Ring"/>
    <s v="301 / Siefer, Alfred"/>
    <x v="14"/>
    <s v="-"/>
    <s v="Frankreich"/>
    <s v="Frankreich"/>
    <s v="Service"/>
    <s v="P033"/>
    <s v="CO098XXE"/>
    <s v="1,0000"/>
    <s v="0,8494"/>
    <s v="1,1781"/>
    <d v="2021-04-12T00:00:00"/>
    <d v="2021-04-09T00:00:00"/>
    <s v="EUR"/>
    <s v="CO098XXE"/>
    <n v="1"/>
    <n v="33"/>
    <n v="38.87841658812441"/>
    <n v="28.0292863573819"/>
    <n v="0.075"/>
    <n v="2.475"/>
  </r>
  <r>
    <n v="2021"/>
    <x v="0"/>
    <n v="9110129305"/>
    <s v="000020"/>
    <s v="ZREG01 / EUROPE"/>
    <s v="1100 / HYDRO Systems KG_DE"/>
    <s v="00314-013-000 / Stangenfuehrungsring"/>
    <s v="00314-013-000"/>
    <s v="Rod guide 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16"/>
    <n v="18.85014137606032"/>
    <n v="13.58995702176092"/>
    <n v="0.075"/>
    <n v="1.2"/>
  </r>
  <r>
    <n v="2021"/>
    <x v="0"/>
    <n v="9110129305"/>
    <s v="000030"/>
    <s v="ZREG01 / EUROPE"/>
    <s v="1100 / HYDRO Systems KG_DE"/>
    <s v="00301-167-000 / O-Ring"/>
    <s v="00301-167-000"/>
    <s v="O-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9"/>
    <n v="10.60320452403393"/>
    <n v="7.644350824740517"/>
    <n v="0.075"/>
    <n v="0.6749999999999999"/>
  </r>
  <r>
    <n v="2021"/>
    <x v="0"/>
    <n v="9110129311"/>
    <s v="000010"/>
    <s v="ZREG01 / EUROPE"/>
    <s v="1100 / HYDRO Systems KG_DE"/>
    <s v="12791_00 / Hinweisschild"/>
    <s v="12791_00"/>
    <s v="Mandatory sign"/>
    <s v="302 / Balsemin, Antony"/>
    <x v="15"/>
    <s v="-"/>
    <s v="Frankreich"/>
    <s v="Frankreich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0.075"/>
    <n v="0"/>
  </r>
  <r>
    <n v="2021"/>
    <x v="0"/>
    <n v="9110129311"/>
    <s v="000020"/>
    <s v="ZREG01 / EUROPE"/>
    <s v="1100 / HYDRO Systems KG_DE"/>
    <s v="12768_00 / Hinweisschild"/>
    <s v="12768_00"/>
    <s v="Mandatory sign"/>
    <s v="302 / Balsemin, Antony"/>
    <x v="15"/>
    <s v="-"/>
    <s v="Frankreich"/>
    <s v="-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0.075"/>
    <n v="0"/>
  </r>
  <r>
    <n v="2021"/>
    <x v="0"/>
    <n v="9110129270"/>
    <s v="000010"/>
    <s v="ZREG01 / EUROPE"/>
    <s v="1100 / HYDRO Systems KG_DE"/>
    <s v="12791_00 / Hinweisschild"/>
    <s v="12791_00"/>
    <s v="Mandatory sign"/>
    <s v="301 / Siefer, Alfred"/>
    <x v="12"/>
    <s v="-"/>
    <s v="Frankreich"/>
    <s v="Frankreich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0.075"/>
    <n v="0"/>
  </r>
  <r>
    <n v="2021"/>
    <x v="0"/>
    <n v="9110129270"/>
    <s v="000020"/>
    <s v="ZREG01 / EUROPE"/>
    <s v="1100 / HYDRO Systems KG_DE"/>
    <s v="12768_00 / Hinweisschild"/>
    <s v="12768_00"/>
    <s v="Mandatory sign"/>
    <s v="301 / Siefer, Alfred"/>
    <x v="12"/>
    <s v="-"/>
    <s v="Frankreich"/>
    <s v="-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0.075"/>
    <n v="0"/>
  </r>
  <r>
    <n v="2021"/>
    <x v="0"/>
    <n v="9110129244"/>
    <s v="010000"/>
    <s v="ZREG06 / AFRICA"/>
    <s v="1100 / HYDRO Systems KG_DE"/>
    <s v="SE_NO_REC / Rezertifizierung"/>
    <s v="SE_NO_REC"/>
    <s v="Recertification"/>
    <s v="301 / Siefer, Alfred"/>
    <x v="16"/>
    <s v="100492 / South African Airways Technical"/>
    <s v="Südafrika"/>
    <s v="Südafrika"/>
    <s v="Service"/>
    <s v="P034"/>
    <s v="SE07321S"/>
    <s v="1,0000"/>
    <s v="0,8494"/>
    <s v="1,1781"/>
    <d v="2021-04-07T00:00:00"/>
    <d v="2021-04-07T00:00:00"/>
    <s v="EUR"/>
    <s v="SE07321S"/>
    <n v="1"/>
    <n v="825"/>
    <n v="971.9604147031104"/>
    <n v="700.7321589345473"/>
    <n v="0"/>
    <n v="0"/>
  </r>
  <r>
    <n v="2021"/>
    <x v="0"/>
    <n v="9110129244"/>
    <s v="020000"/>
    <s v="ZREG06 / AFRICA"/>
    <s v="1100 / HYDRO Systems KG_DE"/>
    <s v="SE_NO_MATERIAL / Materialverbrauch"/>
    <s v="SE_NO_MATERIAL"/>
    <s v="Material consumption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1084"/>
    <n v="1277.097078228087"/>
    <n v="920.7195882243022"/>
    <n v="0"/>
    <n v="0"/>
  </r>
  <r>
    <n v="2021"/>
    <x v="0"/>
    <n v="9110129244"/>
    <s v="030000"/>
    <s v="ZREG06 / AFRICA"/>
    <s v="1100 / HYDRO Systems KG_DE"/>
    <s v="SE_NO_LABOR / Arbeitszeit"/>
    <s v="SE_NO_LABOR"/>
    <s v="Labor Time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320"/>
    <n v="377.0028275212064"/>
    <n v="271.7991404352184"/>
    <n v="0"/>
    <n v="0"/>
  </r>
  <r>
    <n v="2021"/>
    <x v="0"/>
    <n v="9110129244"/>
    <s v="040000"/>
    <s v="ZREG06 / AFRICA"/>
    <s v="1100 / HYDRO Systems KG_DE"/>
    <s v="SE_NO_MISC / Sonstige Dienstleistungen"/>
    <s v="SE_NO_MISC"/>
    <s v="Miscellaneous Services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80"/>
    <n v="94.25070688030161"/>
    <n v="67.94978510880459"/>
    <n v="0"/>
    <n v="0"/>
  </r>
  <r>
    <n v="2021"/>
    <x v="0"/>
    <n v="9110129245"/>
    <s v="000010"/>
    <s v="ZREG01 / EUROPE"/>
    <s v="1100 / HYDRO Systems KG_DE"/>
    <s v="00107-072-001 / Deichsel"/>
    <s v="00107-072-001"/>
    <s v="Tow bar"/>
    <s v="301 / Siefer, Alfred"/>
    <x v="1"/>
    <s v="-"/>
    <s v="Frankreich"/>
    <s v="Frankreich"/>
    <s v="Service"/>
    <s v="P033"/>
    <s v="GS002XXE"/>
    <s v="1,0000"/>
    <s v="0,8494"/>
    <s v="1,1781"/>
    <d v="2021-04-07T00:00:00"/>
    <d v="2021-04-07T00:00:00"/>
    <s v="EUR"/>
    <s v="GS002XXE"/>
    <n v="1"/>
    <n v="430.95"/>
    <n v="507.7167766258247"/>
    <n v="366.0369986579917"/>
    <n v="0.075"/>
    <n v="32.32125"/>
  </r>
  <r>
    <n v="2021"/>
    <x v="0"/>
    <n v="9110129245"/>
    <s v="00002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-"/>
    <s v="Service"/>
    <s v="P033"/>
    <s v="GS002XXE"/>
    <s v="1,0000"/>
    <s v="0,8494"/>
    <s v="1,1781"/>
    <d v="2021-04-07T00:00:00"/>
    <d v="2021-04-07T00:00:00"/>
    <s v="EUR"/>
    <s v="GS002XXE"/>
    <n v="1"/>
    <n v="6.8"/>
    <n v="8.011310084825636"/>
    <n v="5.77573173424839"/>
    <n v="0.075"/>
    <n v="0.51"/>
  </r>
  <r>
    <n v="2021"/>
    <x v="0"/>
    <n v="9110129245"/>
    <s v="00003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494"/>
    <s v="1,1781"/>
    <d v="2021-04-07T00:00:00"/>
    <d v="2021-04-07T00:00:00"/>
    <s v="EUR"/>
    <s v="GS001XXE"/>
    <n v="1"/>
    <n v="30.6"/>
    <n v="36.05089538171536"/>
    <n v="25.99079280411776"/>
    <n v="0.075"/>
    <n v="2.295"/>
  </r>
  <r>
    <n v="2021"/>
    <x v="0"/>
    <n v="911012925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494"/>
    <s v="1,1781"/>
    <d v="2021-04-07T00:00:00"/>
    <d v="2021-04-07T00:00:00"/>
    <s v="EUR"/>
    <s v="GS003XXE"/>
    <n v="4"/>
    <n v="346"/>
    <n v="407.6343072573044"/>
    <n v="293.8828205955799"/>
    <n v="0.075"/>
    <n v="25.95"/>
  </r>
  <r>
    <n v="2021"/>
    <x v="0"/>
    <n v="9110129122"/>
    <s v="000010"/>
    <s v="ZREG01 / EUROPE"/>
    <s v="1100 / HYDRO Systems KG_DE"/>
    <s v="00407-006-000 / Klappstecker"/>
    <s v="00407-006-000"/>
    <s v="Clip pin"/>
    <s v="301 / Siefer, Alfred"/>
    <x v="17"/>
    <s v="-"/>
    <s v="Frankreich"/>
    <s v="Frankreich"/>
    <s v="Service"/>
    <s v="P033"/>
    <s v="CO098XXE"/>
    <s v="1,0000"/>
    <s v="0,8494"/>
    <s v="1,1781"/>
    <d v="2021-04-06T00:00:00"/>
    <d v="2021-04-06T00:00:00"/>
    <s v="EUR"/>
    <s v="CO098XXE"/>
    <n v="2"/>
    <n v="30"/>
    <n v="35.3440150801131"/>
    <n v="25.48116941580172"/>
    <n v="0.075"/>
    <n v="2.25"/>
  </r>
  <r>
    <n v="2021"/>
    <x v="0"/>
    <n v="9110129122"/>
    <s v="000020"/>
    <s v="ZREG01 / EUROPE"/>
    <s v="1100 / HYDRO Systems KG_DE"/>
    <s v="00402-014-000 / Bundbolzen"/>
    <s v="00402-014-000"/>
    <s v="Collar stud"/>
    <s v="301 / Siefer, Alfred"/>
    <x v="17"/>
    <s v="-"/>
    <s v="Frankreich"/>
    <s v="-"/>
    <s v="Service"/>
    <s v="P033"/>
    <s v="CO099XXE"/>
    <s v="1,0000"/>
    <s v="0,8494"/>
    <s v="1,1781"/>
    <d v="2021-04-06T00:00:00"/>
    <d v="2021-04-06T00:00:00"/>
    <s v="EUR"/>
    <s v="CO099XXE"/>
    <n v="1"/>
    <n v="165"/>
    <n v="194.3920829406221"/>
    <n v="140.1464317869095"/>
    <n v="0.075"/>
    <n v="12.375"/>
  </r>
  <r>
    <n v="2021"/>
    <x v="0"/>
    <n v="9110129122"/>
    <s v="000030"/>
    <s v="ZREG01 / EUROPE"/>
    <s v="1100 / HYDRO Systems KG_DE"/>
    <s v="00302-058-000 / Abstreifer"/>
    <s v="00302-058-000"/>
    <s v="Wiper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12"/>
    <n v="14.13760603204524"/>
    <n v="10.19246776632069"/>
    <n v="0.075"/>
    <n v="0.8999999999999999"/>
  </r>
  <r>
    <n v="2021"/>
    <x v="0"/>
    <n v="9110129122"/>
    <s v="000040"/>
    <s v="ZREG01 / EUROPE"/>
    <s v="1100 / HYDRO Systems KG_DE"/>
    <s v="00304-108-000 / Nutring"/>
    <s v="00304-108-000"/>
    <s v="Grooved ring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23"/>
    <n v="27.09707822808671"/>
    <n v="19.53556321878132"/>
    <n v="0.075"/>
    <n v="1.725"/>
  </r>
  <r>
    <n v="2021"/>
    <x v="0"/>
    <n v="9110129144"/>
    <s v="000010"/>
    <s v="ZREG01 / EUROPE"/>
    <s v="1100 / HYDRO Systems KG_DE"/>
    <s v="SG195-001 / Dreibockheber Satz"/>
    <s v="SG195-001"/>
    <s v="Tripod jack set"/>
    <s v="302 / Balsemin, Antony"/>
    <x v="18"/>
    <s v="-"/>
    <s v="Frankreich"/>
    <s v="Frankreich"/>
    <s v="GSE"/>
    <s v="P001"/>
    <s v="GS00101C"/>
    <s v="1,0000"/>
    <s v="0,8494"/>
    <s v="1,1781"/>
    <d v="2021-04-06T00:00:00"/>
    <d v="2021-04-06T00:00:00"/>
    <s v="EUR"/>
    <s v="GS00101C"/>
    <n v="1"/>
    <n v="26104.73"/>
    <n v="30754.8656927427"/>
    <n v="22172.63492279205"/>
    <n v="0.075"/>
    <n v="1957.85475"/>
  </r>
  <r>
    <n v="2021"/>
    <x v="0"/>
    <n v="9110129144"/>
    <s v="000020"/>
    <s v="ZREG01 / EUROPE"/>
    <s v="1100 / HYDRO Systems KG_DE"/>
    <s v="D03012K2D1B01B0 / Dreibockheber"/>
    <s v="D03012K2D1B01B0"/>
    <s v="Tripod jack"/>
    <s v="302 / Balsemin, Antony"/>
    <x v="18"/>
    <s v="-"/>
    <s v="Frankreich"/>
    <s v="-"/>
    <s v="GSE"/>
    <s v="P001"/>
    <s v="GS00101S"/>
    <s v="1,0000"/>
    <s v="0,8494"/>
    <s v="1,1781"/>
    <d v="2021-04-06T00:00:00"/>
    <d v="2021-04-06T00:00:00"/>
    <s v="EUR"/>
    <s v="GS00101S"/>
    <n v="2"/>
    <n v="36146.27"/>
    <n v="42585.14373232799"/>
    <n v="30701.64098731037"/>
    <n v="0.075"/>
    <n v="2710.97025"/>
  </r>
  <r>
    <n v="2021"/>
    <x v="0"/>
    <n v="9110129089"/>
    <s v="000010"/>
    <s v="ZREG01 / EUROPE"/>
    <s v="1100 / HYDRO Systems KG_DE"/>
    <s v="00465-125-000 / Laufrad"/>
    <s v="00465-125-000"/>
    <s v="Wheel"/>
    <s v="302 / Balsemin, Antony"/>
    <x v="0"/>
    <s v="-"/>
    <s v="Frankreich"/>
    <s v="Frankreich"/>
    <s v="Service"/>
    <s v="P033"/>
    <s v="CO098XXE"/>
    <s v="1,0000"/>
    <s v="0,8538"/>
    <s v="1,1738"/>
    <d v="2021-04-01T00:00:00"/>
    <d v="2021-04-01T00:00:00"/>
    <s v="EUR"/>
    <s v="CO098XXE"/>
    <n v="14"/>
    <n v="5292"/>
    <n v="6211.923794767054"/>
    <n v="4518.32688711867"/>
    <n v="0.075"/>
    <n v="396.9"/>
  </r>
  <r>
    <n v="2021"/>
    <x v="1"/>
    <n v="9110129046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"/>
    <n v="488.5840458517335"/>
    <n v="0.05"/>
    <n v="28.6"/>
  </r>
  <r>
    <n v="2021"/>
    <x v="1"/>
    <n v="9110129047"/>
    <s v="000010"/>
    <s v="ZREG01 / EUROPE"/>
    <s v="1100 / HYDRO Systems KG_DE"/>
    <s v="98S71005003200 / Drehmomentschluessel"/>
    <s v="98S710050032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"/>
    <n v="488.5840458517335"/>
    <n v="0.05"/>
    <n v="28.6"/>
  </r>
  <r>
    <n v="2021"/>
    <x v="1"/>
    <n v="9110129048"/>
    <s v="000010"/>
    <s v="ZREG01 / EUROPE"/>
    <s v="1100 / HYDRO Systems KG_DE"/>
    <s v="H47760 / Adapter"/>
    <s v="H47760"/>
    <s v="Adapter"/>
    <s v="302 / Balsemin, Antony"/>
    <x v="9"/>
    <s v="-"/>
    <s v="Frankreich"/>
    <s v="Frankreich"/>
    <s v="GSE"/>
    <s v="P019"/>
    <s v="TA09097S"/>
    <s v="1,0000"/>
    <s v="0,8542"/>
    <s v="1,1776"/>
    <d v="2021-03-31T00:00:00"/>
    <d v="2021-03-31T00:00:00"/>
    <s v="EUR"/>
    <s v="TA09097S"/>
    <n v="1"/>
    <n v="886"/>
    <n v="1043.384050120119"/>
    <n v="756.79277032279"/>
    <n v="0.05"/>
    <n v="44.3"/>
  </r>
  <r>
    <n v="2021"/>
    <x v="1"/>
    <n v="9110128999"/>
    <s v="000010"/>
    <s v="ZREG01 / EUROPE"/>
    <s v="1100 / HYDRO Systems KG_DE"/>
    <s v="S-2552 / Bolzen mit Kopf"/>
    <s v="S-2552"/>
    <s v="Bolt with head"/>
    <s v="301 / Siefer, Alfred"/>
    <x v="1"/>
    <s v="-"/>
    <s v="Frankreich"/>
    <s v="Frankreich"/>
    <s v="Service"/>
    <s v="P033"/>
    <s v="GS0XXXXE"/>
    <s v="1,0000"/>
    <s v="0,8601"/>
    <s v="1,1914"/>
    <d v="2021-03-30T00:00:00"/>
    <d v="2021-03-29T00:00:00"/>
    <s v="EUR"/>
    <s v="GS0XXXXE"/>
    <n v="20"/>
    <n v="136"/>
    <n v="162.024351306917"/>
    <n v="116.9691235916401"/>
    <n v="0.075"/>
    <n v="10.2"/>
  </r>
  <r>
    <n v="2021"/>
    <x v="1"/>
    <n v="9110128930"/>
    <s v="000010"/>
    <s v="ZREG01 / EUROPE"/>
    <s v="1100 / HYDRO Systems KG_DE"/>
    <s v="TPAA2A0A0A0A0_UP / Umbausatz vollst."/>
    <s v="TPAA2A0A0A0A0_UP"/>
    <s v="Modification kit assy."/>
    <s v="301 / Siefer, Alfred"/>
    <x v="19"/>
    <s v="100021 / Air France Industries"/>
    <s v="Frankreich"/>
    <s v="Frankreich"/>
    <s v="Service"/>
    <s v="P033"/>
    <s v="GS006XXE"/>
    <s v="1,0000"/>
    <s v="0,8601"/>
    <s v="1,1914"/>
    <d v="2021-03-29T00:00:00"/>
    <d v="2021-03-26T00:00:00"/>
    <s v="EUR"/>
    <s v="GS006XXE"/>
    <n v="1"/>
    <n v="1760"/>
    <n v="2096.785722795396"/>
    <n v="1513.718070009461"/>
    <n v="0.075"/>
    <n v="132"/>
  </r>
  <r>
    <n v="2021"/>
    <x v="1"/>
    <n v="9110128931"/>
    <s v="000010"/>
    <s v="ZREG06 / AFRICA"/>
    <s v="1100 / HYDRO Systems KG_DE"/>
    <s v="00465-152-000 / Laufrad"/>
    <s v="00465-152-000"/>
    <s v="Wheel"/>
    <s v="301 / Siefer, Alfred"/>
    <x v="3"/>
    <s v="100043 / Air Austral"/>
    <s v="Reunion"/>
    <s v="Reunion"/>
    <s v="Service"/>
    <s v="P033"/>
    <s v="CO098XXE"/>
    <s v="1,0000"/>
    <s v="0,8601"/>
    <s v="1,1914"/>
    <d v="2021-03-29T00:00:00"/>
    <d v="2021-03-26T00:00:00"/>
    <s v="EUR"/>
    <s v="CO098XXE"/>
    <n v="3"/>
    <n v="186"/>
    <n v="221.5921275226953"/>
    <n v="159.9724778532726"/>
    <n v="0.075"/>
    <n v="13.95"/>
  </r>
  <r>
    <n v="2021"/>
    <x v="1"/>
    <n v="9110128931"/>
    <s v="000020"/>
    <s v="ZREG06 / AFRICA"/>
    <s v="1100 / HYDRO Systems KG_DE"/>
    <s v="00495-101-000 / Wegeventil"/>
    <s v="00495-101-000"/>
    <s v="Directional valve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96"/>
    <n v="114.3701303342944"/>
    <n v="82.56644018233422"/>
    <n v="0.075"/>
    <n v="7.199999999999999"/>
  </r>
  <r>
    <n v="2021"/>
    <x v="1"/>
    <n v="9110128931"/>
    <s v="000030"/>
    <s v="ZREG06 / AFRICA"/>
    <s v="1100 / HYDRO Systems KG_DE"/>
    <s v="54551 / Sperrkantring"/>
    <s v="54551"/>
    <s v="Tab wash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0"/>
    <n v="11.91355524315566"/>
    <n v="8.600670852326481"/>
    <n v="0.075"/>
    <n v="0.75"/>
  </r>
  <r>
    <n v="2021"/>
    <x v="1"/>
    <n v="9110128931"/>
    <s v="000040"/>
    <s v="ZREG06 / AFRICA"/>
    <s v="1100 / HYDRO Systems KG_DE"/>
    <s v="00127-028-000 / Manometer"/>
    <s v="00127-028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61"/>
    <n v="191.8082394148062"/>
    <n v="138.4708007224563"/>
    <n v="0.075"/>
    <n v="12.075"/>
  </r>
  <r>
    <n v="2021"/>
    <x v="1"/>
    <n v="9110128931"/>
    <s v="000050"/>
    <s v="ZREG06 / AFRICA"/>
    <s v="1100 / HYDRO Systems KG_DE"/>
    <s v="00470-034-000 / Manometer"/>
    <s v="00470-034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89"/>
    <n v="225.166194095642"/>
    <n v="162.5526791089705"/>
    <n v="0.075"/>
    <n v="14.175"/>
  </r>
  <r>
    <n v="2021"/>
    <x v="1"/>
    <n v="9110128937"/>
    <s v="000010"/>
    <s v="ZREG01 / EUROPE"/>
    <s v="1100 / HYDRO Systems KG_DE"/>
    <s v="00433-097-000 / Winkelschwenkverschraubung vollst."/>
    <s v="00433-097-000"/>
    <s v="Angled swivel coupling assy."/>
    <s v="301 / Siefer, Alfred"/>
    <x v="17"/>
    <s v="-"/>
    <s v="Frankreich"/>
    <s v="Frankreich"/>
    <s v="Service"/>
    <s v="P033"/>
    <s v="CO099XXE"/>
    <s v="1,0000"/>
    <s v="0,8601"/>
    <s v="1,1914"/>
    <d v="2021-03-29T00:00:00"/>
    <d v="2021-03-26T00:00:00"/>
    <s v="EUR"/>
    <s v="CO099XXE"/>
    <n v="1"/>
    <n v="99"/>
    <n v="117.9441969072411"/>
    <n v="85.14664143803216"/>
    <n v="0.075"/>
    <n v="7.425"/>
  </r>
  <r>
    <n v="2021"/>
    <x v="1"/>
    <n v="9110128850"/>
    <s v="000010"/>
    <s v="ZREG06 / AFRICA"/>
    <s v="1100 / HYDRO Systems KG_DE"/>
    <s v="00432-348-000 / Scherbolzen"/>
    <s v="00432-348-000"/>
    <s v="Shear pin"/>
    <s v="301 / Siefer, Alfred"/>
    <x v="13"/>
    <s v="100253 / Ethiopian Airlines S.C."/>
    <s v="Äthiopien"/>
    <s v="Äthiopien"/>
    <s v="Service"/>
    <s v="P033"/>
    <s v="GS003XXE"/>
    <s v="1,0000"/>
    <s v="0,8601"/>
    <s v="1,1914"/>
    <d v="2021-03-25T00:00:00"/>
    <d v="2021-03-25T00:00:00"/>
    <s v="EUR"/>
    <s v="GS003XXE"/>
    <n v="10"/>
    <n v="600"/>
    <n v="714.8133145893397"/>
    <n v="516.0402511395888"/>
    <n v="0.075"/>
    <n v="45"/>
  </r>
  <r>
    <n v="2021"/>
    <x v="1"/>
    <n v="911012886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601"/>
    <s v="1,1914"/>
    <d v="2021-03-25T00:00:00"/>
    <d v="2021-03-25T00:00:00"/>
    <s v="EUR"/>
    <s v="GS003XXE"/>
    <n v="4"/>
    <n v="366"/>
    <n v="436.0361218994972"/>
    <n v="314.7845531951492"/>
    <n v="0.075"/>
    <n v="27.45"/>
  </r>
  <r>
    <n v="2021"/>
    <x v="1"/>
    <n v="9110128864"/>
    <s v="000010"/>
    <s v="ZREG01 / EUROPE"/>
    <s v="1100 / HYDRO Systems KG_DE"/>
    <s v="N-730 / Druckfeder"/>
    <s v="N-730"/>
    <s v="Compression spring"/>
    <s v="301 / Siefer, Alfred"/>
    <x v="1"/>
    <s v="-"/>
    <s v="Frankreich"/>
    <s v="Frankreich"/>
    <s v="Service"/>
    <s v="P033"/>
    <s v="GS0XXXXE"/>
    <s v="1,0000"/>
    <s v="0,8601"/>
    <s v="1,1914"/>
    <d v="2021-03-25T00:00:00"/>
    <d v="2021-03-25T00:00:00"/>
    <s v="EUR"/>
    <s v="GS0XXXXE"/>
    <n v="20"/>
    <n v="136"/>
    <n v="162.024351306917"/>
    <n v="116.9691235916401"/>
    <n v="0.075"/>
    <n v="10.2"/>
  </r>
  <r>
    <n v="2021"/>
    <x v="1"/>
    <n v="9110128852"/>
    <s v="000010"/>
    <s v="ZREG01 / EUROPE"/>
    <s v="1100 / HYDRO Systems KG_DE"/>
    <s v="10011_00 / Typenschild"/>
    <s v="10011_00"/>
    <s v="Type plate"/>
    <s v="301 / Siefer, Alfred"/>
    <x v="2"/>
    <s v="-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3.1"/>
    <n v="39.43386785484525"/>
    <n v="28.46822052120065"/>
    <n v="0.075"/>
    <n v="2.4825"/>
  </r>
  <r>
    <n v="2021"/>
    <x v="1"/>
    <n v="9110128853"/>
    <s v="000010"/>
    <s v="ZREG01 / EUROPE"/>
    <s v="1100 / HYDRO Systems KG_DE"/>
    <s v="10011_00 / Typenschild"/>
    <s v="10011_00"/>
    <s v="Type plate"/>
    <s v="301 / Siefer, Alfred"/>
    <x v="2"/>
    <s v="103795 / TCR France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4"/>
    <n v="40.50608782672925"/>
    <n v="29.24228089791004"/>
    <n v="0.075"/>
    <n v="2.55"/>
  </r>
  <r>
    <n v="2021"/>
    <x v="1"/>
    <n v="9110128806"/>
    <s v="000010"/>
    <s v="ZREG01 / EUROPE"/>
    <s v="1100 / HYDRO Systems KG_DE"/>
    <s v="00151-019-000 / Ablassschraube"/>
    <s v="00151-019-000"/>
    <s v="Release screw"/>
    <s v="301 / Siefer, Alfred"/>
    <x v="1"/>
    <s v="-"/>
    <s v="Frankreich"/>
    <s v="Frankreich"/>
    <s v="Service"/>
    <s v="P033"/>
    <s v="CO099XXE"/>
    <s v="1,0000"/>
    <s v="0,8601"/>
    <s v="1,1914"/>
    <d v="2021-03-24T00:00:00"/>
    <d v="2021-03-24T00:00:00"/>
    <s v="EUR"/>
    <s v="CO099XXE"/>
    <n v="1"/>
    <n v="148.75"/>
    <n v="177.2141342419405"/>
    <n v="127.9349789283564"/>
    <n v="0.075"/>
    <n v="11.15625"/>
  </r>
  <r>
    <n v="2021"/>
    <x v="1"/>
    <n v="9110128779"/>
    <s v="000010"/>
    <s v="ZREG01 / EUROPE"/>
    <s v="1100 / HYDRO Systems KG_DE"/>
    <s v="00489-284-000 / Sitzventil vollst."/>
    <s v="00489-284-000"/>
    <s v="Seated valve assy."/>
    <s v="301 / Siefer, Alfred"/>
    <x v="1"/>
    <s v="-"/>
    <s v="Frankreich"/>
    <s v="Frankreich"/>
    <s v="Service"/>
    <s v="P033"/>
    <s v="CO099XXE"/>
    <s v="1,0000"/>
    <s v="0,8601"/>
    <s v="1,1914"/>
    <d v="2021-03-23T00:00:00"/>
    <d v="2021-03-23T00:00:00"/>
    <s v="EUR"/>
    <s v="CO099XXE"/>
    <n v="6"/>
    <n v="4692"/>
    <n v="5589.840120088636"/>
    <n v="4035.434763911585"/>
    <n v="0.075"/>
    <n v="351.9"/>
  </r>
  <r>
    <n v="2021"/>
    <x v="1"/>
    <n v="9110128737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0.075"/>
    <n v="0"/>
  </r>
  <r>
    <n v="2021"/>
    <x v="1"/>
    <n v="9110128738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0.075"/>
    <n v="0"/>
  </r>
  <r>
    <n v="2021"/>
    <x v="1"/>
    <n v="9110128700"/>
    <s v="000010"/>
    <s v="ZREG01 / EUROPE"/>
    <s v="1100 / HYDRO Systems KG_DE"/>
    <s v="00432-275-000 / Scherbolzen"/>
    <s v="00432-275-000"/>
    <s v="Shear pin"/>
    <s v="302 / Balsemin, Antony"/>
    <x v="20"/>
    <s v="106137 / INTERAPPRO"/>
    <s v="Frankreich"/>
    <s v="Frankreich"/>
    <s v="Service"/>
    <s v="P033"/>
    <s v="GS003XXE"/>
    <s v="1,0000"/>
    <s v="0,8578"/>
    <s v="1,1933"/>
    <d v="2021-03-22T00:00:00"/>
    <d v="2021-03-18T00:00:00"/>
    <s v="EUR"/>
    <s v="GS003XXE"/>
    <n v="10"/>
    <n v="380.84"/>
    <n v="454.4630071599046"/>
    <n v="326.6741578816445"/>
    <n v="0.075"/>
    <n v="28.563"/>
  </r>
  <r>
    <n v="2021"/>
    <x v="1"/>
    <n v="9110128700"/>
    <s v="000020"/>
    <s v="ZREG01 / EUROPE"/>
    <s v="1100 / HYDRO Systems KG_DE"/>
    <s v="00432-285-000 / Scherbolzen"/>
    <s v="00432-285-000"/>
    <s v="Shear pin"/>
    <s v="302 / Balsemin, Antony"/>
    <x v="20"/>
    <s v="-"/>
    <s v="Frankreich"/>
    <s v="-"/>
    <s v="Service"/>
    <s v="P033"/>
    <s v="GS003XXE"/>
    <s v="1,0000"/>
    <s v="0,8578"/>
    <s v="1,1933"/>
    <d v="2021-03-22T00:00:00"/>
    <d v="2021-03-18T00:00:00"/>
    <s v="EUR"/>
    <s v="GS003XXE"/>
    <n v="4"/>
    <n v="332.66"/>
    <n v="396.9689737470168"/>
    <n v="285.3466688396908"/>
    <n v="0.075"/>
    <n v="24.9495"/>
  </r>
  <r>
    <n v="2021"/>
    <x v="1"/>
    <n v="9110128594"/>
    <s v="00001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Frankreich"/>
    <s v="Service"/>
    <s v="P034"/>
    <s v="SE07002S"/>
    <s v="1,0000"/>
    <s v="0,8578"/>
    <s v="1,1933"/>
    <d v="2021-03-18T00:00:00"/>
    <d v="2021-03-18T00:00:00"/>
    <s v="EUR"/>
    <s v="SE07002S"/>
    <n v="1"/>
    <n v="5150"/>
    <n v="6145.584725536994"/>
    <n v="4417.529443048181"/>
    <n v="0"/>
    <n v="0"/>
  </r>
  <r>
    <n v="2021"/>
    <x v="1"/>
    <n v="9110128594"/>
    <s v="00002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-"/>
    <s v="Service"/>
    <s v="P034"/>
    <s v="SE07002S"/>
    <s v="1,0000"/>
    <s v="0,8578"/>
    <s v="1,1933"/>
    <d v="2021-03-18T00:00:00"/>
    <d v="2021-03-18T00:00:00"/>
    <s v="EUR"/>
    <s v="SE07002S"/>
    <n v="1"/>
    <n v="2575"/>
    <n v="3072.792362768497"/>
    <n v="2208.76472152409"/>
    <n v="0"/>
    <n v="0"/>
  </r>
  <r>
    <n v="2021"/>
    <x v="1"/>
    <n v="9110128645"/>
    <s v="000010"/>
    <s v="ZREG01 / EUROPE"/>
    <s v="1100 / HYDRO Systems KG_DE"/>
    <s v="00131-045-000 / Lufthydraulikpumpe"/>
    <s v="00131-045-000"/>
    <s v="Air hydraulic pump"/>
    <s v="301 / Siefer, Alfred"/>
    <x v="1"/>
    <s v="-"/>
    <s v="Frankreich"/>
    <s v="Frankreich"/>
    <s v="Service"/>
    <s v="P033"/>
    <s v="CO098XXE"/>
    <s v="1,0000"/>
    <s v="0,8578"/>
    <s v="1,1933"/>
    <d v="2021-03-19T00:00:00"/>
    <d v="2021-03-17T00:00:00"/>
    <s v="EUR"/>
    <s v="CO098XXE"/>
    <n v="2"/>
    <n v="1637.1"/>
    <n v="1953.579952267303"/>
    <n v="1404.259699264889"/>
    <n v="0.075"/>
    <n v="122.7825"/>
  </r>
  <r>
    <n v="2021"/>
    <x v="1"/>
    <n v="9110128550"/>
    <s v="000120"/>
    <s v="ZREG01 / EUROPE"/>
    <s v="1100 / HYDRO Systems KG_DE"/>
    <s v="98S27205004200 / Inspektionswerkzeug"/>
    <s v="98S27205004200"/>
    <s v="Inspection tool"/>
    <s v="302 / Balsemin, Antony"/>
    <x v="9"/>
    <s v="-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1"/>
    <n v="310"/>
    <n v="369.928400954654"/>
    <n v="265.9095392902789"/>
    <n v="0.05"/>
    <n v="15.5"/>
  </r>
  <r>
    <n v="2021"/>
    <x v="1"/>
    <n v="9110128551"/>
    <s v="000010"/>
    <s v="ZREG01 / EUROPE"/>
    <s v="1100 / HYDRO Systems KG_DE"/>
    <s v="98S61005002000 / Drehmomentschluessel"/>
    <s v="98S610050020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7"/>
    <n v="1624"/>
    <n v="1937.947494033413"/>
    <n v="1393.022876798106"/>
    <n v="0.05"/>
    <n v="81.2"/>
  </r>
  <r>
    <n v="2021"/>
    <x v="1"/>
    <n v="9120027477"/>
    <s v="000010"/>
    <s v="ZREG03 / MIDDLEEAST"/>
    <s v="1200 / HYDRO Systems KG_UK"/>
    <s v="NBWC-9 / Bremsschuh"/>
    <s v="NBWC-9"/>
    <s v="Brake shoe"/>
    <s v="301 / Siefer, Alfred"/>
    <x v="13"/>
    <s v="-"/>
    <s v="Äthiopien"/>
    <s v="Äthiopien"/>
    <s v="Service"/>
    <s v="P033"/>
    <s v="GS012XXE"/>
    <s v="1,0000"/>
    <s v="0,8578"/>
    <s v="1,1933"/>
    <d v="2021-03-16T00:00:00"/>
    <d v="2021-03-16T00:00:00"/>
    <s v="EUR"/>
    <s v="GS012XXE"/>
    <n v="30"/>
    <n v="2137.5"/>
    <n v="2550.715990453461"/>
    <n v="1833.489162041842"/>
    <n v="0.075"/>
    <n v="160.3125"/>
  </r>
  <r>
    <n v="2021"/>
    <x v="1"/>
    <n v="9110128489"/>
    <s v="000010"/>
    <s v="ZREG01 / EUROPE"/>
    <s v="1100 / HYDRO Systems KG_DE"/>
    <s v="063181 / Ausbauwerkzeug"/>
    <s v="063181"/>
    <s v="Removal tool"/>
    <s v="301 / Siefer, Alfred"/>
    <x v="19"/>
    <s v="-"/>
    <s v="Frankreich"/>
    <s v="Frankreich"/>
    <s v="Tooling"/>
    <s v="P025"/>
    <s v="TE03002S"/>
    <s v="1,0000"/>
    <s v="0,8590"/>
    <s v="1,1879"/>
    <d v="2021-03-16T00:00:00"/>
    <d v="2021-03-15T00:00:00"/>
    <s v="EUR"/>
    <s v="TE03002S"/>
    <n v="1"/>
    <n v="11312"/>
    <n v="13437.23272830942"/>
    <n v="9716.627011054896"/>
    <n v="0.075"/>
    <n v="848.4"/>
  </r>
  <r>
    <n v="2021"/>
    <x v="1"/>
    <n v="9110128489"/>
    <s v="000020"/>
    <s v="ZREG01 / EUROPE"/>
    <s v="1100 / HYDRO Systems KG_DE"/>
    <s v="TNVC20077-01 / Kunststoffkoffer vollst."/>
    <s v="TNVC20077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6T00:00:00"/>
    <d v="2021-03-15T00:00:00"/>
    <s v="EUR"/>
    <s v="TE030XXE"/>
    <n v="1"/>
    <n v="1106"/>
    <n v="1313.788843485698"/>
    <n v="950.0167498432386"/>
    <n v="0.075"/>
    <n v="82.95"/>
  </r>
  <r>
    <n v="2021"/>
    <x v="1"/>
    <n v="9110128496"/>
    <s v="000010"/>
    <s v="ZREG01 / EUROPE"/>
    <s v="1100 / HYDRO Systems KG_DE"/>
    <s v="TOWUNIV8S20SH1_TY / Schleppstange"/>
    <s v="TOWUNIV8S20SH1_TY"/>
    <s v="Tow bar"/>
    <s v="302 / Balsemin, Antony"/>
    <x v="10"/>
    <s v="103415 / Tarmac Aragón"/>
    <s v="Frankreich"/>
    <s v="Spanien"/>
    <s v="GSE"/>
    <s v="P006"/>
    <s v="GS00316S"/>
    <s v="1,0000"/>
    <s v="0,8590"/>
    <s v="1,1879"/>
    <d v="2021-03-16T00:00:00"/>
    <d v="2021-03-15T00:00:00"/>
    <s v="EUR"/>
    <s v="GS00316S"/>
    <n v="1"/>
    <n v="7080"/>
    <n v="8410.149196997054"/>
    <n v="6081.481545108616"/>
    <n v="0.075"/>
    <n v="531"/>
  </r>
  <r>
    <n v="2021"/>
    <x v="1"/>
    <n v="9110128526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590"/>
    <s v="1,1879"/>
    <d v="2021-03-16T00:00:00"/>
    <d v="2021-03-12T00:00:00"/>
    <s v="EUR"/>
    <s v="CO098XXE"/>
    <n v="19"/>
    <n v="437"/>
    <n v="519.1010168202984"/>
    <n v="375.3682818096702"/>
    <n v="0.075"/>
    <n v="32.775"/>
  </r>
  <r>
    <n v="2021"/>
    <x v="1"/>
    <n v="9110128435"/>
    <s v="000010"/>
    <s v="ZREG01 / EUROPE"/>
    <s v="1100 / HYDRO Systems KG_DE"/>
    <s v="063158 / Aus- und Einbauwerkzeug"/>
    <s v="063158"/>
    <s v="Removal/Installation tool"/>
    <s v="301 / Siefer, Alfred"/>
    <x v="19"/>
    <s v="-"/>
    <s v="Frankreich"/>
    <s v="Frankreich"/>
    <s v="Tooling"/>
    <s v="P025"/>
    <s v="TE03002S"/>
    <s v="1,0000"/>
    <s v="0,8590"/>
    <s v="1,1879"/>
    <d v="2021-03-12T00:00:00"/>
    <d v="2021-03-12T00:00:00"/>
    <s v="EUR"/>
    <s v="TE03002S"/>
    <n v="1"/>
    <n v="3275"/>
    <n v="3890.287940701321"/>
    <n v="2813.1146977727"/>
    <n v="0.075"/>
    <n v="245.625"/>
  </r>
  <r>
    <n v="2021"/>
    <x v="1"/>
    <n v="9110128435"/>
    <s v="000020"/>
    <s v="ZREG01 / EUROPE"/>
    <s v="1100 / HYDRO Systems KG_DE"/>
    <s v="TNVC20074-01 / Kunststoffkoffer vollst."/>
    <s v="TNVC20074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2T00:00:00"/>
    <d v="2021-03-12T00:00:00"/>
    <s v="EUR"/>
    <s v="TE030XXE"/>
    <n v="1"/>
    <n v="788"/>
    <n v="936.0448541290507"/>
    <n v="676.8654601053092"/>
    <n v="0.075"/>
    <n v="59.09999999999999"/>
  </r>
  <r>
    <n v="2021"/>
    <x v="1"/>
    <n v="9110128386"/>
    <s v="000010"/>
    <s v="ZREG01 / EUROPE"/>
    <s v="1100 / HYDRO Systems KG_DE"/>
    <s v="00403-033-000 / Zugfeder"/>
    <s v="00403-033-000"/>
    <s v="Tension spring"/>
    <s v="302 / Balsemin, Antony"/>
    <x v="20"/>
    <s v="106137 / INTERAPPRO"/>
    <s v="Frankreich"/>
    <s v="Frankreich"/>
    <s v="Service"/>
    <s v="P033"/>
    <s v="CO099XXE"/>
    <s v="1,0000"/>
    <s v="0,8590"/>
    <s v="1,1879"/>
    <d v="2021-03-11T00:00:00"/>
    <d v="2021-03-10T00:00:00"/>
    <s v="EUR"/>
    <s v="CO099XXE"/>
    <n v="2"/>
    <n v="57.4"/>
    <n v="68.18397795305522"/>
    <n v="49.30466676401618"/>
    <n v="0.075"/>
    <n v="4.305"/>
  </r>
  <r>
    <n v="2021"/>
    <x v="1"/>
    <n v="9110128331"/>
    <s v="000010"/>
    <s v="ZREG01 / EUROPE"/>
    <s v="1100 / HYDRO Systems KG_DE"/>
    <s v="00336-009-000 / Kolbendichtsatz"/>
    <s v="00336-009-000"/>
    <s v="Piston seal set"/>
    <s v="301 / Siefer, Alfred"/>
    <x v="12"/>
    <s v="-"/>
    <s v="Frankreich"/>
    <s v="Frankreich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2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0.075"/>
    <n v="0"/>
  </r>
  <r>
    <n v="2021"/>
    <x v="1"/>
    <n v="9110128331"/>
    <s v="000030"/>
    <s v="ZREG01 / EUROPE"/>
    <s v="1100 / HYDRO Systems KG_DE"/>
    <s v="00336-007-000 / Kolbendichtsatz"/>
    <s v="00336-007-000"/>
    <s v="Piston seal set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4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0.075"/>
    <n v="0"/>
  </r>
  <r>
    <n v="2021"/>
    <x v="1"/>
    <n v="9110128331"/>
    <s v="00005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6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70"/>
    <s v="ZREG01 / EUROPE"/>
    <s v="1100 / HYDRO Systems KG_DE"/>
    <s v="00301-457-000 / O-Ring"/>
    <s v="00301-457-000"/>
    <s v="O-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264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645"/>
    <s v="1,2060"/>
    <d v="2021-03-08T00:00:00"/>
    <d v="2021-03-08T00:00:00"/>
    <s v="EUR"/>
    <s v="TA06601S"/>
    <n v="2"/>
    <n v="572"/>
    <n v="689.8298339343214"/>
    <n v="494.4803202019415"/>
    <n v="0.05"/>
    <n v="28.6"/>
  </r>
  <r>
    <n v="2021"/>
    <x v="1"/>
    <n v="9110128278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7"/>
    <n v="216.1190210672821"/>
    <n v="0"/>
    <n v="0"/>
  </r>
  <r>
    <n v="2021"/>
    <x v="1"/>
    <n v="9110128279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7"/>
    <n v="216.1190210672821"/>
    <n v="0"/>
    <n v="0"/>
  </r>
  <r>
    <n v="2021"/>
    <x v="1"/>
    <n v="9110128577"/>
    <s v="010000"/>
    <s v="ZREG06 / AFRICA"/>
    <s v="1100 / HYDRO Systems KG_DE"/>
    <s v="SE_BI_REC / Rezertifizierung"/>
    <s v="SE_BI_REC"/>
    <s v="Recertification"/>
    <s v="301 / Siefer, Alfred"/>
    <x v="21"/>
    <s v="100580 / Sabena Technics MIR"/>
    <s v="Tunesien"/>
    <s v="Tunesien"/>
    <s v="Service"/>
    <s v="P034"/>
    <s v="SE07001S"/>
    <s v="1,0000"/>
    <s v="0,8645"/>
    <s v="1,2060"/>
    <d v="2021-03-18T00:00:00"/>
    <d v="2021-03-05T00:00:00"/>
    <s v="EUR"/>
    <s v="SE07001S"/>
    <n v="1"/>
    <n v="1725"/>
    <n v="2080.343467721511"/>
    <n v="1491.221245364247"/>
    <n v="0"/>
    <n v="0"/>
  </r>
  <r>
    <n v="2021"/>
    <x v="1"/>
    <n v="9110128574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45"/>
    <s v="1,2060"/>
    <d v="2021-03-18T00:00:00"/>
    <d v="2021-03-04T00:00:00"/>
    <s v="EUR"/>
    <s v="SE07001S"/>
    <n v="1"/>
    <n v="0"/>
    <n v="0"/>
    <n v="0"/>
    <n v="0"/>
    <n v="0"/>
  </r>
  <r>
    <n v="2021"/>
    <x v="1"/>
    <n v="100006576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-1"/>
    <n v="-635"/>
    <n v="-765.8075953641505"/>
    <n v="-548.9423135108966"/>
    <n v="0"/>
    <n v="0"/>
  </r>
  <r>
    <n v="2021"/>
    <x v="1"/>
    <n v="9110128248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1"/>
    <n v="635"/>
    <n v="765.8075953641505"/>
    <n v="548.9423135108966"/>
    <n v="0"/>
    <n v="0"/>
  </r>
  <r>
    <n v="2021"/>
    <x v="1"/>
    <n v="9110128248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489"/>
    <n v="1795.728361412945"/>
    <n v="1287.204889476732"/>
    <n v="0"/>
    <n v="0"/>
  </r>
  <r>
    <n v="2021"/>
    <x v="1"/>
    <n v="9110128248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60"/>
    <n v="192.9593941075025"/>
    <n v="138.3161734830606"/>
    <n v="0"/>
    <n v="0"/>
  </r>
  <r>
    <n v="2021"/>
    <x v="1"/>
    <n v="9110128152"/>
    <s v="010000"/>
    <s v="ZREG01 / EUROPE"/>
    <s v="1100 / HYDRO Systems KG_DE"/>
    <s v="SE_BI_REP_ONSITE / Service vor Ort"/>
    <s v="SE_BI_REP_ONSITE"/>
    <s v="Service on-site"/>
    <s v="301 / Siefer, Alfred"/>
    <x v="12"/>
    <s v="-"/>
    <s v="Frankreich"/>
    <s v="Frankreich"/>
    <s v="Service"/>
    <s v="P034"/>
    <s v="SE07320S"/>
    <s v="1,0000"/>
    <s v="0,8645"/>
    <s v="1,2060"/>
    <d v="2021-03-04T00:00:00"/>
    <d v="2021-03-04T00:00:00"/>
    <s v="EUR"/>
    <s v="SE07320S"/>
    <n v="1"/>
    <n v="0"/>
    <n v="0"/>
    <n v="0"/>
    <n v="0"/>
    <n v="0"/>
  </r>
  <r>
    <n v="2021"/>
    <x v="1"/>
    <n v="9110128171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"/>
    <n v="0"/>
    <n v="0"/>
  </r>
  <r>
    <n v="2021"/>
    <x v="1"/>
    <n v="9110128171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185"/>
    <n v="1429.10551260869"/>
    <n v="1024.404159858917"/>
    <n v="0"/>
    <n v="0"/>
  </r>
  <r>
    <n v="2021"/>
    <x v="1"/>
    <n v="9110128171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240"/>
    <n v="289.4390911612538"/>
    <n v="207.4742602245909"/>
    <n v="0"/>
    <n v="0"/>
  </r>
  <r>
    <n v="2021"/>
    <x v="1"/>
    <n v="9110128171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"/>
    <n v="69.15808674153028"/>
    <n v="0"/>
    <n v="0"/>
  </r>
  <r>
    <n v="2021"/>
    <x v="1"/>
    <n v="9110128172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"/>
    <n v="0"/>
    <n v="0"/>
  </r>
  <r>
    <n v="2021"/>
    <x v="1"/>
    <n v="9110128172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3392"/>
    <n v="4090.739155079053"/>
    <n v="2932.302877840884"/>
    <n v="0"/>
    <n v="0"/>
  </r>
  <r>
    <n v="2021"/>
    <x v="1"/>
    <n v="9110128172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80"/>
    <n v="217.0793183709403"/>
    <n v="155.6056951684431"/>
    <n v="0"/>
    <n v="0"/>
  </r>
  <r>
    <n v="2021"/>
    <x v="1"/>
    <n v="9110128173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"/>
    <n v="548.9423135108966"/>
    <n v="0"/>
    <n v="0"/>
  </r>
  <r>
    <n v="2021"/>
    <x v="1"/>
    <n v="9110128174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"/>
    <n v="548.9423135108966"/>
    <n v="0"/>
    <n v="0"/>
  </r>
  <r>
    <n v="2021"/>
    <x v="1"/>
    <n v="9110128174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45"/>
    <n v="174.8694509099242"/>
    <n v="125.3490322190236"/>
    <n v="0"/>
    <n v="0"/>
  </r>
  <r>
    <n v="2021"/>
    <x v="1"/>
    <n v="9110128174"/>
    <s v="040001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211"/>
    <n v="1460.461414151159"/>
    <n v="1046.880538049915"/>
    <n v="0"/>
    <n v="0"/>
  </r>
  <r>
    <n v="2021"/>
    <x v="1"/>
    <n v="9110128174"/>
    <s v="040002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"/>
    <n v="69.15808674153028"/>
    <n v="0"/>
    <n v="0"/>
  </r>
  <r>
    <n v="2021"/>
    <x v="1"/>
    <n v="9110128097"/>
    <s v="000010"/>
    <s v="ZREG01 / EUROPE"/>
    <s v="1100 / HYDRO Systems KG_DE"/>
    <s v="00469-043-000 / Kugelhahn"/>
    <s v="00469-043-000"/>
    <s v="Ball valve"/>
    <s v="301 / Siefer, Alfred"/>
    <x v="1"/>
    <s v="-"/>
    <s v="Frankreich"/>
    <s v="Frankreich"/>
    <s v="Service"/>
    <s v="P033"/>
    <s v="CO098XXE"/>
    <s v="1,0000"/>
    <s v="0,8645"/>
    <s v="1,2060"/>
    <d v="2021-03-03T00:00:00"/>
    <d v="2021-03-02T00:00:00"/>
    <s v="EUR"/>
    <s v="CO098XXE"/>
    <n v="1"/>
    <n v="80.75"/>
    <n v="97.38419421363017"/>
    <n v="69.80644380473214"/>
    <n v="0.075"/>
    <n v="6.056249999999999"/>
  </r>
  <r>
    <n v="2021"/>
    <x v="1"/>
    <n v="9110128097"/>
    <s v="000020"/>
    <s v="ZREG01 / EUROPE"/>
    <s v="1100 / HYDRO Systems KG_DE"/>
    <s v="00418-046-000 / Zapfen"/>
    <s v="00418-046-000"/>
    <s v="Plug"/>
    <s v="301 / Siefer, Alfred"/>
    <x v="1"/>
    <s v="-"/>
    <s v="Frankreich"/>
    <s v="-"/>
    <s v="Service"/>
    <s v="P033"/>
    <s v="CO099XXE"/>
    <s v="1,0000"/>
    <s v="0,8645"/>
    <s v="1,2060"/>
    <d v="2021-03-03T00:00:00"/>
    <d v="2021-03-02T00:00:00"/>
    <s v="EUR"/>
    <s v="CO099XXE"/>
    <n v="1"/>
    <n v="11.05"/>
    <n v="13.32625815554939"/>
    <n v="9.552460731173872"/>
    <n v="0.075"/>
    <n v="0.82875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4:C75" firstHeaderRow="1" firstDataRow="2" firstDataCol="1"/>
  <pivotFields count="30">
    <pivotField showDropDowns="1" compact="1" numFmtId="6" outline="1" subtotalTop="1" dragToRow="1" dragToCol="1" dragToPage="1" dragToData="1" dragOff="1" showAll="0" topAutoShow="1" itemPageCount="10" sortType="manual" defaultSubtotal="0"/>
    <pivotField axis="axisCol" showDropDowns="1" compact="1" outline="1" subtotalTop="1" dragToRow="1" dragToCol="1" dragToPage="1" dragToData="1" dragOff="1" showAll="0" topAutoShow="1" itemPageCount="10" sortType="manual" defaultSubtotal="0">
      <items count="4">
        <item t="data" sd="1" m="1" x="2"/>
        <item t="data" sd="1" m="1" x="3"/>
        <item t="data" sd="1" x="1"/>
        <item t="data" sd="1" x="0"/>
      </items>
    </pivotField>
    <pivotField showDropDowns="1" compact="1" numFmtId="49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measureFilter="1" itemPageCount="10" sortType="manual" defaultSubtotal="0">
      <items count="32">
        <item t="data" sd="1" x="1"/>
        <item t="data" sd="1" x="2"/>
        <item t="data" sd="1" x="20"/>
        <item t="data" sd="1" x="9"/>
        <item t="data" sd="1" x="12"/>
        <item t="data" sd="1" x="10"/>
        <item t="data" sd="1" x="8"/>
        <item t="data" sd="1" x="0"/>
        <item t="data" sd="1" x="18"/>
        <item t="data" sd="1" m="1" x="22"/>
        <item t="data" sd="1" m="1" x="23"/>
        <item t="data" sd="1" m="1" x="27"/>
        <item t="data" sd="1" x="14"/>
        <item t="data" sd="1" m="1" x="25"/>
        <item t="data" sd="1" m="1" x="28"/>
        <item t="data" sd="1" m="1" x="26"/>
        <item t="data" sd="1" x="15"/>
        <item t="data" sd="1" m="1" x="31"/>
        <item t="data" sd="1" m="1" x="29"/>
        <item t="data" sd="1" m="1" x="24"/>
        <item t="data" sd="1" m="1" x="30"/>
        <item t="data" sd="1" x="19"/>
        <item t="data" sd="1" x="13"/>
        <item t="data" sd="1" x="21"/>
        <item t="data" sd="1" x="4"/>
        <item t="data" sd="1" x="3"/>
        <item t="data" sd="1" x="5"/>
        <item t="data" sd="1" x="6"/>
        <item t="data" sd="1" x="7"/>
        <item t="data" sd="1" x="11"/>
        <item t="data" sd="1" x="16"/>
        <item t="data" sd="1" x="17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numFmtId="44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numFmtId="4" outline="1" subtotalTop="1" dragToRow="1" dragToCol="1" dragToPage="1" dragToData="1" dragOff="1" showAll="0" topAutoShow="1" itemPageCount="10" sortType="manual" defaultSubtotal="0"/>
    <pivotField dataField="1" showDropDowns="1" compact="1" numFmtId="4" outline="1" subtotalTop="1" dragToRow="1" dragToCol="1" dragToPage="1" dragToData="1" dragOff="1" showAll="0" topAutoShow="1" itemPageCount="10" sortType="manual" defaultSubtotal="0"/>
    <pivotField showDropDowns="1" compact="1" numFmtId="4" outline="1" subtotalTop="1" dragToRow="1" dragToCol="1" dragToPage="1" dragToData="1" dragOff="1" showAll="0" topAutoShow="1" itemPageCount="10" sortType="manual" defaultSubtotal="0"/>
    <pivotField showDropDowns="1" compact="1" numFmtId="4" outline="1" subtotalTop="1" dragToRow="1" dragToCol="1" dragToPage="1" dragToData="1" dragOff="1" showAll="0" topAutoShow="1" itemPageCount="10" sortType="manual" defaultSubtotal="0"/>
    <pivotField showDropDowns="1" compact="1" numFmtId="44" outline="1" subtotalTop="1" dragToRow="1" dragToCol="1" dragToPage="1" dragToData="1" dragOff="1" showAll="0" topAutoShow="1" itemPageCount="10" sortType="manual" defaultSubtotal="0"/>
    <pivotField showDropDowns="1" compact="1" numFmtId="44" outline="1" subtotalTop="1" dragToRow="1" dragToCol="1" dragToPage="1" dragToData="1" dragOff="1" showAll="0" topAutoShow="1" itemPageCount="10" sortType="manual" defaultSubtotal="0"/>
  </pivotFields>
  <rowFields count="1">
    <field x="10"/>
  </rowFields>
  <rowItems count="10">
    <i t="data" r="0" i="0">
      <x v="0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21"/>
    </i>
    <i t="data" r="0" i="0">
      <x v="24"/>
    </i>
    <i t="data" r="0" i="0">
      <x v="25"/>
    </i>
    <i t="data" r="0" i="0">
      <x v="29"/>
    </i>
  </rowItems>
  <colFields count="1">
    <field x="1"/>
  </colFields>
  <colItems count="2">
    <i t="data" r="0" i="0">
      <x v="2"/>
    </i>
    <i t="data" r="0" i="0">
      <x v="3"/>
    </i>
  </colItems>
  <dataFields count="1">
    <dataField name="Sum of Net value in €" fld="25" subtotal="sum" showDataAs="normal" baseField="0" baseItem="0" numFmtId="44"/>
  </dataFields>
  <formats count="4">
    <format action="formatting" dxfId="264">
      <pivotArea type="normal" dataOnly="1" outline="0" collapsedLevelsAreSubtotals="1" fieldPosition="0"/>
    </format>
    <format action="formatting" dxfId="263">
      <pivotArea field="1" type="button" dataOnly="0" labelOnly="1" outline="0" axis="axisCol" fieldPosition="0"/>
    </format>
    <format action="formatting" dxfId="262">
      <pivotArea type="topRight" dataOnly="0" labelOnly="1" outline="0" fieldPosition="0"/>
    </format>
    <format action="formatting" dxfId="261">
      <pivotArea type="normal" dataOnly="0" labelOnly="1" outline="1" fieldPosition="0">
        <references count="1">
          <reference field="1"/>
        </references>
      </pivotArea>
    </format>
  </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10" filterVal="10"/>
        </filterColumn>
      </autoFilter>
    </filter>
  </filters>
</pivotTableDefinition>
</file>

<file path=xl/tables/table1.xml><?xml version="1.0" encoding="utf-8"?>
<table xmlns="http://schemas.openxmlformats.org/spreadsheetml/2006/main" id="1" name="Tabelle2" displayName="Tabelle2" ref="A1:F14" headerRowCount="1" totalsRowShown="0" headerRowDxfId="788">
  <autoFilter ref="A1:F14"/>
  <tableColumns count="6">
    <tableColumn id="1" name="BU"/>
    <tableColumn id="6" name="Spalte1" dataDxfId="787"/>
    <tableColumn id="2" name="Categorie" dataDxfId="786"/>
    <tableColumn id="3" name="D-Status"/>
    <tableColumn id="4" name="Refuse Raison"/>
    <tableColumn id="5" name="externalis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_DCFC" displayName="tbl_DCFC" ref="A2:AW316" headerRowCount="1" totalsRowShown="0" tableBorderDxfId="731">
  <autoFilter ref="A2:AW316"/>
  <tableColumns count="49">
    <tableColumn id="1" name="Date" dataDxfId="730"/>
    <tableColumn id="2" name="BU_Key" dataDxfId="729">
      <calculatedColumnFormula>IFERROR(INDEX(Tabelle2[BU],MATCH(tbl_DCFC[[#This Row],[Categorie]],CAT,0)),"")</calculatedColumnFormula>
    </tableColumn>
    <tableColumn id="3" name="CW" dataDxfId="728">
      <calculatedColumnFormula>IF(D3&lt;&gt;"","S"&amp;TEXT(WEEKNUM(D3,21),"00"),"")</calculatedColumnFormula>
    </tableColumn>
    <tableColumn id="4" name="Date Devis" dataDxfId="727"/>
    <tableColumn id="5" name="Devis N°" dataDxfId="726"/>
    <tableColumn id="6" name="Index" dataDxfId="725"/>
    <tableColumn id="7" name="Client" dataDxfId="724"/>
    <tableColumn id="8" name="End Client" dataDxfId="723"/>
    <tableColumn id="9" name="D Montant € HT" dataDxfId="722"/>
    <tableColumn id="10" name="ASM" dataDxfId="721"/>
    <tableColumn id="11" name="Categorie" dataDxfId="720"/>
    <tableColumn id="12" name="Status" dataDxfId="719"/>
    <tableColumn id="13" name="Spalte2" dataDxfId="718"/>
    <tableColumn id="14" name="CW ORDER" dataDxfId="717">
      <calculatedColumnFormula>IF(Q3&lt;&gt;"","S"&amp;TEXT(WEEKNUM(Q3,21),"00"),"")</calculatedColumnFormula>
    </tableColumn>
    <tableColumn id="15" name="OI_Year" dataDxfId="716">
      <calculatedColumnFormula>IF(Data!$Q3="","",YEAR(Data!$Q3))</calculatedColumnFormula>
    </tableColumn>
    <tableColumn id="16" name="OI_Month" dataDxfId="715">
      <calculatedColumnFormula>IF(Data!$Q3="","",MONTH(Data!$Q3))</calculatedColumnFormula>
    </tableColumn>
    <tableColumn id="17" name="Date Cmde" dataDxfId="714"/>
    <tableColumn id="18" name="Cmde N°" dataDxfId="713"/>
    <tableColumn id="19" name="C Montant € HT" dataDxfId="712"/>
    <tableColumn id="20" name="Montant Restant €" dataDxfId="711"/>
    <tableColumn id="21" name="Délai (semaine)" dataDxfId="710"/>
    <tableColumn id="22" name="Spalte4" dataDxfId="709"/>
    <tableColumn id="23" name="Date réelle réception matériel" dataDxfId="708"/>
    <tableColumn id="24" name="CW REV" dataDxfId="707">
      <calculatedColumnFormula>IF(AC3&lt;&gt;"","S"&amp;TEXT(WEEKNUM(AC3,21),"00"),"")</calculatedColumnFormula>
    </tableColumn>
    <tableColumn id="25" name="Revenue_Year" dataDxfId="706">
      <calculatedColumnFormula>IF(Data!$AC3="","",YEAR(Data!$AC3))</calculatedColumnFormula>
    </tableColumn>
    <tableColumn id="26" name="Revenue_Month" dataDxfId="705">
      <calculatedColumnFormula>IF(Data!$AC3="","",MONTH(Data!$AC3))</calculatedColumnFormula>
    </tableColumn>
    <tableColumn id="27" name="Date Liv. Réelle" dataDxfId="704"/>
    <tableColumn id="28" name="Facture N°" dataDxfId="703"/>
    <tableColumn id="29" name="Date Facture" dataDxfId="702"/>
    <tableColumn id="30" name="F Montant HT" dataDxfId="701"/>
    <tableColumn id="31" name="Date Liv. Prévue" dataDxfId="700"/>
    <tableColumn id="32" name="In-house/_x000a_On-site" dataDxfId="699"/>
    <tableColumn id="33" name="Raison" dataDxfId="698"/>
    <tableColumn id="34" name="Spalte7" dataDxfId="697"/>
    <tableColumn id="35" name="parts" dataDxfId="696"/>
    <tableColumn id="36" name="Product Description" dataDxfId="695"/>
    <tableColumn id="37" name="Spalte8" dataDxfId="694"/>
    <tableColumn id="38" name="Commentaire" dataDxfId="693"/>
    <tableColumn id="39" name="Spalte9" dataDxfId="692"/>
    <tableColumn id="40" name="l'externalisation" dataDxfId="691"/>
    <tableColumn id="41" name="Spalte10" dataDxfId="690"/>
    <tableColumn id="42" name="Lien dossier" dataDxfId="689"/>
    <tableColumn id="43" name="Spalte11" dataDxfId="688"/>
    <tableColumn id="44" name="Contact Person" dataDxfId="687"/>
    <tableColumn id="45" name="Spalte12" dataDxfId="686"/>
    <tableColumn id="46" name="Coûts achats" dataDxfId="685"/>
    <tableColumn id="49" name="Coûts main d'œuvre" dataDxfId="684"/>
    <tableColumn id="47" name="Marge" dataDxfId="683">
      <calculatedColumnFormula>IF(AT3="","",S3-AT3)</calculatedColumnFormula>
    </tableColumn>
    <tableColumn id="48" name="Marge %" dataDxfId="682">
      <calculatedColumnFormula>IFERROR(IF(tbl_DCFC[[#This Row],[F Montant HT]]="","",tbl_DCFC[[#This Row],[Marge]]/tbl_DCFC[[#This Row],[F Montant HT]]),"")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OI" displayName="OI" ref="A1:AL12" headerRowCount="1" headerRowDxfId="69">
  <autoFilter ref="A1:AL12"/>
  <tableColumns count="38">
    <tableColumn id="37" name="ENTITY" totalsRowDxfId="68"/>
    <tableColumn id="36" name="CURR" totalsRowDxfId="67"/>
    <tableColumn id="35" name="DIMENSION" totalsRowDxfId="66"/>
    <tableColumn id="38" name="DIMENSION 2" totalsRowDxfId="65"/>
    <tableColumn id="1" name="IC" totalsRowDxfId="64"/>
    <tableColumn id="33" name="YEAR" totalsRowDxfId="63"/>
    <tableColumn id="34" name="PG" totalsRowDxfId="62"/>
    <tableColumn id="3" name="1" dataDxfId="61" totalsRowDxfId="60">
      <calculatedColumnFormula>SUMIFS(Data!$S:$S,Data!$Q:$Q,"&gt;="&amp;DATE(CurrentYear,H$1,1),Data!$Q:$Q,"&gt;="&amp;EOMONTH(DATE(CurrentYear,H$1,1),0),Data!$G:$G,"*HYDRO*")</calculatedColumnFormula>
    </tableColumn>
    <tableColumn id="4" name="2" dataDxfId="59" totalsRowDxfId="58">
      <calculatedColumnFormula>SUMIFS(Data!$S:$S,Data!$Q:$Q,"&gt;="&amp;DATE(CurrentYear,I$1,1),Data!$Q:$Q,"&gt;="&amp;EOMONTH(DATE(CurrentYear,I$1,1),0))</calculatedColumnFormula>
    </tableColumn>
    <tableColumn id="5" name="3" dataDxfId="57" totalsRowDxfId="56">
      <calculatedColumnFormula>SUMIFS(Data!$S:$S,Data!$Q:$Q,"&gt;="&amp;DATE(CurrentYear,J$1,1),Data!$Q:$Q,"&gt;="&amp;EOMONTH(DATE(CurrentYear,J$1,1),0))</calculatedColumnFormula>
    </tableColumn>
    <tableColumn id="6" name="4" dataDxfId="55" totalsRowDxfId="54">
      <calculatedColumnFormula>SUMIFS(Data!$S:$S,Data!$Q:$Q,"&gt;="&amp;DATE(CurrentYear,K$1,1),Data!$Q:$Q,"&gt;="&amp;EOMONTH(DATE(CurrentYear,K$1,1),0))</calculatedColumnFormula>
    </tableColumn>
    <tableColumn id="7" name="5" dataDxfId="53" totalsRowDxfId="52">
      <calculatedColumnFormula>SUMIFS(Data!$S:$S,Data!$Q:$Q,"&gt;="&amp;DATE(CurrentYear,L$1,1),Data!$Q:$Q,"&gt;="&amp;EOMONTH(DATE(CurrentYear,L$1,1),0))</calculatedColumnFormula>
    </tableColumn>
    <tableColumn id="8" name="6" dataDxfId="51" totalsRowDxfId="50">
      <calculatedColumnFormula>SUMIFS(Data!$S:$S,Data!$Q:$Q,"&gt;="&amp;DATE(CurrentYear,M$1,1),Data!$Q:$Q,"&gt;="&amp;EOMONTH(DATE(CurrentYear,M$1,1),0))</calculatedColumnFormula>
    </tableColumn>
    <tableColumn id="9" name="7" dataDxfId="49" totalsRowDxfId="48">
      <calculatedColumnFormula>SUMIFS(Data!$S:$S,Data!$Q:$Q,"&gt;="&amp;DATE(CurrentYear,N$1,1),Data!$Q:$Q,"&gt;="&amp;EOMONTH(DATE(CurrentYear,N$1,1),0))</calculatedColumnFormula>
    </tableColumn>
    <tableColumn id="10" name="8" dataDxfId="47" totalsRowDxfId="46">
      <calculatedColumnFormula>SUMIFS(Data!$S:$S,Data!$Q:$Q,"&gt;="&amp;DATE(CurrentYear,O$1,1),Data!$Q:$Q,"&gt;="&amp;EOMONTH(DATE(CurrentYear,O$1,1),0))</calculatedColumnFormula>
    </tableColumn>
    <tableColumn id="11" name="9" dataDxfId="45" totalsRowDxfId="44">
      <calculatedColumnFormula>SUMIFS(Data!$S:$S,Data!$Q:$Q,"&gt;="&amp;DATE(CurrentYear,P$1,1),Data!$Q:$Q,"&gt;="&amp;EOMONTH(DATE(CurrentYear,P$1,1),0))</calculatedColumnFormula>
    </tableColumn>
    <tableColumn id="12" name="10" dataDxfId="43" totalsRowDxfId="42">
      <calculatedColumnFormula>SUMIFS(Data!$S:$S,Data!$Q:$Q,"&gt;="&amp;DATE(CurrentYear,Q$1,1),Data!$Q:$Q,"&gt;="&amp;EOMONTH(DATE(CurrentYear,Q$1,1),0))</calculatedColumnFormula>
    </tableColumn>
    <tableColumn id="13" name="11" dataDxfId="41" totalsRowDxfId="40">
      <calculatedColumnFormula>SUMIFS(Data!$S:$S,Data!$Q:$Q,"&gt;="&amp;DATE(CurrentYear,R$1,1),Data!$Q:$Q,"&gt;="&amp;EOMONTH(DATE(CurrentYear,R$1,1),0))</calculatedColumnFormula>
    </tableColumn>
    <tableColumn id="14" name="12" dataDxfId="39" totalsRowDxfId="38">
      <calculatedColumnFormula>SUMIFS(Data!$S:$S,Data!$Q:$Q,"&gt;="&amp;DATE(CurrentYear,S$1,1),Data!$Q:$Q,"&gt;="&amp;EOMONTH(DATE(CurrentYear,S$1,1),0))</calculatedColumnFormula>
    </tableColumn>
    <tableColumn id="15" name="1 YTD" dataDxfId="37" totalsRowDxfId="36">
      <calculatedColumnFormula>SUM(OI[[#This Row],[1]])</calculatedColumnFormula>
    </tableColumn>
    <tableColumn id="16" name="2 YTD" dataDxfId="35" totalsRowDxfId="34">
      <calculatedColumnFormula>SUM(OI[[#This Row],[1]],OI[[#This Row],[2]])</calculatedColumnFormula>
    </tableColumn>
    <tableColumn id="17" name="3 YTD" dataDxfId="33" totalsRowDxfId="32">
      <calculatedColumnFormula>SUM(OI[[#This Row],[1]],OI[[#This Row],[2]],OI[[#This Row],[3]])</calculatedColumnFormula>
    </tableColumn>
    <tableColumn id="18" name="4 YTD" dataDxfId="31" totalsRowDxfId="30">
      <calculatedColumnFormula>SUM(OI[[#This Row],[1]],OI[[#This Row],[2]],OI[[#This Row],[3]],OI[[#This Row],[4]])</calculatedColumnFormula>
    </tableColumn>
    <tableColumn id="19" name="5 YTD" dataDxfId="29" totalsRowDxfId="28">
      <calculatedColumnFormula>SUM(OI[[#This Row],[1]],OI[[#This Row],[2]],OI[[#This Row],[3]],OI[[#This Row],[4]],OI[[#This Row],[5]])</calculatedColumnFormula>
    </tableColumn>
    <tableColumn id="20" name="6 YTD" dataDxfId="27" totalsRowDxfId="26">
      <calculatedColumnFormula>SUM(OI[[#This Row],[1]],OI[[#This Row],[2]],OI[[#This Row],[3]],OI[[#This Row],[4]],OI[[#This Row],[5]],OI[[#This Row],[6]])</calculatedColumnFormula>
    </tableColumn>
    <tableColumn id="21" name="7 YTD" dataDxfId="25" totalsRowDxfId="24">
      <calculatedColumnFormula>SUM(OI[[#This Row],[1]],OI[[#This Row],[2]],OI[[#This Row],[3]],OI[[#This Row],[4]],OI[[#This Row],[5]],OI[[#This Row],[6]],OI[[#This Row],[7]])</calculatedColumnFormula>
    </tableColumn>
    <tableColumn id="22" name="8 YTD" dataDxfId="23" totalsRowDxfId="22">
      <calculatedColumnFormula>SUM(OI[[#This Row],[1]],OI[[#This Row],[2]],OI[[#This Row],[3]],OI[[#This Row],[4]],OI[[#This Row],[5]],OI[[#This Row],[6]],OI[[#This Row],[7]],OI[[#This Row],[8]])</calculatedColumnFormula>
    </tableColumn>
    <tableColumn id="23" name="9 YTD" dataDxfId="21" totalsRowDxfId="20">
      <calculatedColumnFormula>SUM(OI[[#This Row],[1]],OI[[#This Row],[2]],OI[[#This Row],[3]],OI[[#This Row],[4]],OI[[#This Row],[5]],OI[[#This Row],[6]],OI[[#This Row],[7]],OI[[#This Row],[8]],OI[[#This Row],[9]])</calculatedColumnFormula>
    </tableColumn>
    <tableColumn id="24" name="10 YTD" dataDxfId="19" totalsRowDxfId="18">
      <calculatedColumnFormula>SUM(OI[[#This Row],[1]],OI[[#This Row],[2]],OI[[#This Row],[3]],OI[[#This Row],[4]],OI[[#This Row],[5]],OI[[#This Row],[6]],OI[[#This Row],[7]],OI[[#This Row],[8]],OI[[#This Row],[9]],OI[[#This Row],[10]])</calculatedColumnFormula>
    </tableColumn>
    <tableColumn id="25" name="11 YTD" dataDxfId="17" totalsRowDxfId="16">
      <calculatedColumnFormula>SUM(OI[[#This Row],[1]],OI[[#This Row],[2]],OI[[#This Row],[3]],OI[[#This Row],[4]],OI[[#This Row],[5]],OI[[#This Row],[6]],OI[[#This Row],[7]],OI[[#This Row],[8]],OI[[#This Row],[9]],OI[[#This Row],[10]],OI[[#This Row],[11]])</calculatedColumnFormula>
    </tableColumn>
    <tableColumn id="26" name="12 YTD" dataDxfId="15" totalsRowDxfId="14">
      <calculatedColumnFormula>SUM(OI[[#This Row],[1]],OI[[#This Row],[2]],OI[[#This Row],[3]],OI[[#This Row],[4]],OI[[#This Row],[5]],OI[[#This Row],[6]],OI[[#This Row],[7]],OI[[#This Row],[8]],OI[[#This Row],[9]],OI[[#This Row],[10]],OI[[#This Row],[11]],OI[[#This Row],[12]])</calculatedColumnFormula>
    </tableColumn>
    <tableColumn id="27" name="Q1" dataDxfId="13" totalsRowDxfId="12">
      <calculatedColumnFormula>SUM(OI[[#This Row],[1]],OI[[#This Row],[2]],OI[[#This Row],[3]])</calculatedColumnFormula>
    </tableColumn>
    <tableColumn id="28" name="Q2" dataDxfId="11" totalsRowDxfId="10">
      <calculatedColumnFormula>SUM(OI[[#This Row],[4]],OI[[#This Row],[5]],OI[[#This Row],[6]])</calculatedColumnFormula>
    </tableColumn>
    <tableColumn id="29" name="Q3" dataDxfId="9" totalsRowDxfId="8">
      <calculatedColumnFormula>SUM(OI[[#This Row],[7]],OI[[#This Row],[8]],OI[[#This Row],[9]])</calculatedColumnFormula>
    </tableColumn>
    <tableColumn id="30" name="Q4" dataDxfId="7" totalsRowDxfId="6">
      <calculatedColumnFormula>SUM(OI[[#This Row],[10]],OI[[#This Row],[11]],OI[[#This Row],[12]])</calculatedColumnFormula>
    </tableColumn>
    <tableColumn id="31" name="S1" dataDxfId="5" totalsRowDxfId="4">
      <calculatedColumnFormula>SUM(OI[[#This Row],[1]],OI[[#This Row],[2]],OI[[#This Row],[3]],OI[[#This Row],[4]],OI[[#This Row],[5]],OI[[#This Row],[6]])</calculatedColumnFormula>
    </tableColumn>
    <tableColumn id="32" name="S2" dataDxfId="3" totalsRowDxfId="2">
      <calculatedColumnFormula>SUM(OI[[#This Row],[7]],OI[[#This Row],[8]],OI[[#This Row],[9]],OI[[#This Row],[10]],OI[[#This Row],[11]],OI[[#This Row],[12]])</calculatedColumnFormula>
    </tableColumn>
    <tableColumn id="2" name="VKGRP" dataDxfId="1" totalsRowDxfId="0">
      <calculatedColumnFormula>"HYFR"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../AFFAIRES%202021/AIA%20CF/Devis%20n&#176;4685%20-%20Maintenance%20Noria%20n&#176;6" TargetMode="External" Id="rId1" /><Relationship Type="http://schemas.openxmlformats.org/officeDocument/2006/relationships/table" Target="/xl/tables/table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3.xml" Id="rId1" /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Relationship Type="http://schemas.openxmlformats.org/officeDocument/2006/relationships/pivotTable" Target="/xl/pivotTables/pivotTable1.xml" Id="rId4" 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O17"/>
  <sheetViews>
    <sheetView workbookViewId="0">
      <selection activeCell="B11" sqref="B11"/>
    </sheetView>
  </sheetViews>
  <sheetFormatPr baseColWidth="10" defaultColWidth="11.44140625" defaultRowHeight="14.4"/>
  <cols>
    <col width="11.44140625" customWidth="1" style="701" min="1" max="1"/>
    <col width="14.44140625" bestFit="1" customWidth="1" style="701" min="2" max="2"/>
    <col width="18.109375" bestFit="1" customWidth="1" style="701" min="3" max="3"/>
    <col width="12.88671875" bestFit="1" customWidth="1" style="701" min="4" max="4"/>
    <col width="15.5546875" customWidth="1" style="701" min="5" max="5"/>
    <col width="16.5546875" customWidth="1" style="701" min="6" max="6"/>
  </cols>
  <sheetData>
    <row r="1">
      <c r="A1" s="334" t="inlineStr">
        <is>
          <t>BU</t>
        </is>
      </c>
      <c r="B1" s="334" t="inlineStr">
        <is>
          <t>Spalte1</t>
        </is>
      </c>
      <c r="C1" s="334" t="inlineStr">
        <is>
          <t>Categorie</t>
        </is>
      </c>
      <c r="D1" s="334" t="inlineStr">
        <is>
          <t>D-Status</t>
        </is>
      </c>
      <c r="E1" s="334" t="inlineStr">
        <is>
          <t>Refuse Raison</t>
        </is>
      </c>
      <c r="F1" s="334" t="inlineStr">
        <is>
          <t>externalisation</t>
        </is>
      </c>
      <c r="H1" s="108" t="n">
        <v>2022</v>
      </c>
    </row>
    <row r="2">
      <c r="A2" s="335" t="inlineStr">
        <is>
          <t>GSE</t>
        </is>
      </c>
      <c r="B2" t="inlineStr">
        <is>
          <t>TT-CP-00107-20</t>
        </is>
      </c>
      <c r="C2" t="inlineStr">
        <is>
          <t>ENGINEERING AIA</t>
        </is>
      </c>
      <c r="D2" t="inlineStr">
        <is>
          <t>Accepté</t>
        </is>
      </c>
      <c r="E2" t="inlineStr">
        <is>
          <t>Certification</t>
        </is>
      </c>
      <c r="F2" t="inlineStr">
        <is>
          <t>Certification</t>
        </is>
      </c>
      <c r="H2" s="8" t="inlineStr">
        <is>
          <t>Jan</t>
        </is>
      </c>
      <c r="N2" t="inlineStr">
        <is>
          <t>In-House</t>
        </is>
      </c>
      <c r="O2" s="333" t="inlineStr">
        <is>
          <t>FCP OTHER AIA</t>
        </is>
      </c>
    </row>
    <row r="3">
      <c r="A3" s="335" t="inlineStr">
        <is>
          <t>INT</t>
        </is>
      </c>
      <c r="B3" t="inlineStr">
        <is>
          <t>TT-CP-00108-20</t>
        </is>
      </c>
      <c r="C3" s="247" t="inlineStr">
        <is>
          <t>ENGINEERING IC</t>
        </is>
      </c>
      <c r="D3" t="inlineStr">
        <is>
          <t>Annulé</t>
        </is>
      </c>
      <c r="E3" t="inlineStr">
        <is>
          <t>Délai</t>
        </is>
      </c>
      <c r="F3" t="inlineStr">
        <is>
          <t>Compétence</t>
        </is>
      </c>
      <c r="H3" s="1" t="inlineStr">
        <is>
          <t>Feb</t>
        </is>
      </c>
      <c r="N3" t="inlineStr">
        <is>
          <t>On-Site</t>
        </is>
      </c>
      <c r="O3" s="333" t="inlineStr">
        <is>
          <t>SERVICE OTHER AIA</t>
        </is>
      </c>
    </row>
    <row r="4">
      <c r="A4" s="335" t="inlineStr">
        <is>
          <t>TOO</t>
        </is>
      </c>
      <c r="B4" t="inlineStr">
        <is>
          <t>N/A</t>
        </is>
      </c>
      <c r="C4" t="inlineStr">
        <is>
          <t>FCP AIA</t>
        </is>
      </c>
      <c r="D4" t="inlineStr">
        <is>
          <t>En Attente</t>
        </is>
      </c>
      <c r="E4" t="inlineStr">
        <is>
          <t>Prix</t>
        </is>
      </c>
      <c r="F4" t="inlineStr">
        <is>
          <t>Machine</t>
        </is>
      </c>
      <c r="H4" s="24" t="inlineStr">
        <is>
          <t>Mrz</t>
        </is>
      </c>
      <c r="O4" s="333" t="inlineStr">
        <is>
          <t>TRADING OTHER AIA</t>
        </is>
      </c>
    </row>
    <row r="5">
      <c r="A5" s="335" t="inlineStr">
        <is>
          <t>TOO</t>
        </is>
      </c>
      <c r="B5" s="248" t="inlineStr">
        <is>
          <t>TT-CP-00103-20</t>
        </is>
      </c>
      <c r="C5" t="inlineStr">
        <is>
          <t>FCP OTHER AIA</t>
        </is>
      </c>
      <c r="D5" t="inlineStr">
        <is>
          <t>Opportunité</t>
        </is>
      </c>
      <c r="E5" t="inlineStr">
        <is>
          <t>Qualité</t>
        </is>
      </c>
      <c r="F5" t="inlineStr">
        <is>
          <t>Outils</t>
        </is>
      </c>
      <c r="H5" s="12" t="inlineStr">
        <is>
          <t>Apr</t>
        </is>
      </c>
      <c r="O5" s="333" t="inlineStr">
        <is>
          <t>GSE to AIA</t>
        </is>
      </c>
    </row>
    <row r="6">
      <c r="A6" s="335" t="inlineStr">
        <is>
          <t>GSE</t>
        </is>
      </c>
      <c r="B6" t="inlineStr">
        <is>
          <t>N/A</t>
        </is>
      </c>
      <c r="C6" t="inlineStr">
        <is>
          <t>GSE (HYKG)</t>
        </is>
      </c>
      <c r="D6" t="inlineStr">
        <is>
          <t>Part. Accepté</t>
        </is>
      </c>
      <c r="E6" t="inlineStr">
        <is>
          <t>Client-interne</t>
        </is>
      </c>
      <c r="F6" t="inlineStr">
        <is>
          <t>Personnel</t>
        </is>
      </c>
      <c r="H6" s="9" t="inlineStr">
        <is>
          <t>Mai</t>
        </is>
      </c>
      <c r="O6" s="333" t="inlineStr">
        <is>
          <t>FCP AIA</t>
        </is>
      </c>
    </row>
    <row r="7">
      <c r="A7" s="335" t="inlineStr">
        <is>
          <t>GSE</t>
        </is>
      </c>
      <c r="B7" t="inlineStr">
        <is>
          <t>TT-CP-00109-20</t>
        </is>
      </c>
      <c r="C7" t="inlineStr">
        <is>
          <t>GSE to AIA</t>
        </is>
      </c>
      <c r="D7" t="inlineStr">
        <is>
          <t>Rejeté</t>
        </is>
      </c>
      <c r="F7" t="inlineStr">
        <is>
          <t>Place</t>
        </is>
      </c>
      <c r="H7" s="10" t="inlineStr">
        <is>
          <t>Jun</t>
        </is>
      </c>
      <c r="O7" s="333" t="inlineStr">
        <is>
          <t>SERVICE AIA</t>
        </is>
      </c>
    </row>
    <row r="8">
      <c r="A8" s="335" t="inlineStr">
        <is>
          <t>SER</t>
        </is>
      </c>
      <c r="B8" t="inlineStr">
        <is>
          <t>TT-CP-00101-20</t>
        </is>
      </c>
      <c r="C8" t="inlineStr">
        <is>
          <t>SERVICE AIA</t>
        </is>
      </c>
      <c r="F8" t="inlineStr">
        <is>
          <t>PLT (PV)</t>
        </is>
      </c>
      <c r="H8" s="11" t="inlineStr">
        <is>
          <t>Jul</t>
        </is>
      </c>
      <c r="O8" s="333" t="inlineStr">
        <is>
          <t>TRADING AIA</t>
        </is>
      </c>
    </row>
    <row r="9">
      <c r="A9" s="335" t="inlineStr">
        <is>
          <t>INT</t>
        </is>
      </c>
      <c r="B9" t="inlineStr">
        <is>
          <t>TT-CP-00102-20</t>
        </is>
      </c>
      <c r="C9" t="inlineStr">
        <is>
          <t>SERVICE IC</t>
        </is>
      </c>
      <c r="F9" t="inlineStr">
        <is>
          <t>N/A</t>
        </is>
      </c>
      <c r="H9" s="7" t="inlineStr">
        <is>
          <t>Aug</t>
        </is>
      </c>
      <c r="O9" s="333" t="inlineStr">
        <is>
          <t>ENGINEERING IC</t>
        </is>
      </c>
    </row>
    <row r="10">
      <c r="A10" s="335" t="inlineStr">
        <is>
          <t>SER</t>
        </is>
      </c>
      <c r="B10" t="inlineStr">
        <is>
          <t>TT-CP-00100-20</t>
        </is>
      </c>
      <c r="C10" t="inlineStr">
        <is>
          <t>SERVICE OTHER AIA</t>
        </is>
      </c>
      <c r="H10" s="15" t="inlineStr">
        <is>
          <t>Sep</t>
        </is>
      </c>
      <c r="O10" s="324" t="inlineStr">
        <is>
          <t>SERVICE IC</t>
        </is>
      </c>
    </row>
    <row r="11">
      <c r="A11" s="335" t="inlineStr">
        <is>
          <t>TOO</t>
        </is>
      </c>
      <c r="B11" s="248" t="inlineStr">
        <is>
          <t>TT-CP-00110-20</t>
        </is>
      </c>
      <c r="C11" t="inlineStr">
        <is>
          <t>TRADING OTHER AIA</t>
        </is>
      </c>
      <c r="H11" s="13" t="inlineStr">
        <is>
          <t>Okt</t>
        </is>
      </c>
    </row>
    <row r="12">
      <c r="A12" s="335" t="inlineStr">
        <is>
          <t>TOO</t>
        </is>
      </c>
      <c r="B12" t="inlineStr">
        <is>
          <t>N/A</t>
        </is>
      </c>
      <c r="C12" s="247" t="inlineStr">
        <is>
          <t>TRADING AIA</t>
        </is>
      </c>
      <c r="H12" s="16" t="inlineStr">
        <is>
          <t>Nov</t>
        </is>
      </c>
    </row>
    <row r="13">
      <c r="A13" s="335" t="inlineStr">
        <is>
          <t>TOO</t>
        </is>
      </c>
      <c r="B13" t="inlineStr">
        <is>
          <t>N/A</t>
        </is>
      </c>
      <c r="C13" s="247" t="inlineStr">
        <is>
          <t>TOOLING AIA</t>
        </is>
      </c>
      <c r="H13" s="14" t="inlineStr">
        <is>
          <t>Dez</t>
        </is>
      </c>
    </row>
    <row r="14">
      <c r="A14" s="335" t="inlineStr">
        <is>
          <t>TOO</t>
        </is>
      </c>
      <c r="B14" t="inlineStr">
        <is>
          <t>N/A</t>
        </is>
      </c>
      <c r="C14" s="247" t="inlineStr">
        <is>
          <t>TOOLING OTHER AIA</t>
        </is>
      </c>
    </row>
    <row r="15">
      <c r="C15" s="349" t="n"/>
    </row>
    <row r="16">
      <c r="C16" s="349" t="n"/>
    </row>
    <row r="17">
      <c r="C17" s="349" t="n"/>
    </row>
  </sheetData>
  <dataValidations disablePrompts="1" count="1">
    <dataValidation sqref="O2:O10" showErrorMessage="1" showInputMessage="1" allowBlank="1" type="list">
      <formula1>CAT</formula1>
    </dataValidation>
  </dataValidations>
  <pageMargins left="0.7" right="0.7" top="0.787401575" bottom="0.7874015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BA604"/>
  <sheetViews>
    <sheetView tabSelected="1" topLeftCell="A127" zoomScale="85" zoomScaleNormal="85" workbookViewId="0">
      <selection activeCell="A134" sqref="A134:L145"/>
    </sheetView>
  </sheetViews>
  <sheetFormatPr baseColWidth="10" defaultColWidth="11.44140625" defaultRowHeight="14.4"/>
  <cols>
    <col width="10.88671875" bestFit="1" customWidth="1" style="707" min="1" max="1"/>
    <col width="4.5546875" customWidth="1" style="327" min="2" max="2"/>
    <col width="10.109375" bestFit="1" customWidth="1" style="701" min="3" max="3"/>
    <col width="12.33203125" customWidth="1" style="707" min="4" max="4"/>
    <col width="10.5546875" customWidth="1" style="701" min="5" max="5"/>
    <col width="8.109375" bestFit="1" customWidth="1" style="701" min="6" max="6"/>
    <col width="16.44140625" customWidth="1" style="701" min="7" max="7"/>
    <col width="5.88671875" customWidth="1" style="701" min="8" max="8"/>
    <col width="17.109375" customWidth="1" style="708" min="9" max="9"/>
    <col width="13.88671875" customWidth="1" style="701" min="10" max="10"/>
    <col width="26.88671875" customWidth="1" style="701" min="11" max="11"/>
    <col width="12.109375" customWidth="1" style="701" min="12" max="12"/>
    <col width="3.88671875" customWidth="1" style="327" min="13" max="13"/>
    <col width="12.5546875" customWidth="1" style="701" min="14" max="14"/>
    <col hidden="1" outlineLevel="1" width="10.5546875" customWidth="1" style="701" min="15" max="16"/>
    <col collapsed="1" width="15.88671875" customWidth="1" style="163" min="17" max="17"/>
    <col width="10.88671875" bestFit="1" customWidth="1" style="343" min="18" max="18"/>
    <col width="17.88671875" customWidth="1" style="709" min="19" max="19"/>
    <col width="19.88671875" customWidth="1" style="710" min="20" max="20"/>
    <col width="16.44140625" customWidth="1" style="700" min="21" max="21"/>
    <col width="9.33203125" customWidth="1" style="327" min="22" max="22"/>
    <col width="29.5546875" customWidth="1" style="707" min="23" max="23"/>
    <col width="9.6640625" customWidth="1" style="701" min="24" max="24"/>
    <col outlineLevel="1" width="19.109375" customWidth="1" style="701" min="25" max="26"/>
    <col width="16.5546875" customWidth="1" style="707" min="27" max="27"/>
    <col width="12.109375" bestFit="1" customWidth="1" style="57" min="28" max="28"/>
    <col width="14.109375" bestFit="1" customWidth="1" style="163" min="29" max="29"/>
    <col width="15.109375" customWidth="1" style="710" min="30" max="30"/>
    <col width="17.44140625" customWidth="1" style="707" min="31" max="31"/>
    <col width="9.33203125" customWidth="1" style="327" min="32" max="32"/>
    <col width="9.88671875" bestFit="1" customWidth="1" style="701" min="33" max="33"/>
    <col width="2.33203125" customWidth="1" style="327" min="34" max="34"/>
    <col width="9" customWidth="1" style="701" min="35" max="35"/>
    <col width="43.44140625" customWidth="1" style="701" min="36" max="36"/>
    <col width="1.5546875" customWidth="1" style="327" min="37" max="37"/>
    <col width="110.5546875" customWidth="1" style="701" min="38" max="38"/>
    <col width="9.33203125" customWidth="1" style="327" min="39" max="39"/>
    <col width="34.88671875" customWidth="1" style="329" min="40" max="40"/>
    <col width="10.44140625" customWidth="1" style="327" min="41" max="41"/>
    <col width="61.88671875" customWidth="1" style="701" min="42" max="42"/>
    <col width="10.44140625" customWidth="1" style="327" min="43" max="43"/>
    <col width="32.88671875" customWidth="1" style="700" min="44" max="44"/>
    <col width="10.44140625" customWidth="1" style="327" min="45" max="45"/>
    <col width="16.88671875" customWidth="1" style="711" min="46" max="46"/>
    <col width="14" customWidth="1" style="711" min="47" max="47"/>
    <col width="13.109375" bestFit="1" customWidth="1" style="711" min="48" max="49"/>
    <col width="11.44140625" customWidth="1" style="701" min="50" max="61"/>
    <col width="11.44140625" customWidth="1" style="701" min="62" max="16384"/>
  </cols>
  <sheetData>
    <row r="1">
      <c r="A1" s="712" t="inlineStr">
        <is>
          <t>RfQ</t>
        </is>
      </c>
      <c r="C1" s="693" t="inlineStr">
        <is>
          <t>D E V I S / Q U O T E S</t>
        </is>
      </c>
      <c r="D1" s="691" t="n"/>
      <c r="E1" s="691" t="n"/>
      <c r="F1" s="691" t="n"/>
      <c r="G1" s="691" t="n"/>
      <c r="H1" s="691" t="n"/>
      <c r="I1" s="691" t="n"/>
      <c r="J1" s="691" t="n"/>
      <c r="K1" s="691" t="n"/>
      <c r="L1" s="691" t="n"/>
      <c r="N1" s="690" t="inlineStr">
        <is>
          <t>C O M M A N D E S / O R D E R S</t>
        </is>
      </c>
      <c r="O1" s="691" t="n"/>
      <c r="P1" s="691" t="n"/>
      <c r="Q1" s="691" t="n"/>
      <c r="R1" s="691" t="n"/>
      <c r="S1" s="691" t="n"/>
      <c r="T1" s="691" t="n"/>
      <c r="U1" s="691" t="n"/>
      <c r="W1" s="713" t="n"/>
      <c r="X1" s="692" t="inlineStr">
        <is>
          <t>F A C T U R A T I O N / I N V O I C E S</t>
        </is>
      </c>
      <c r="Y1" s="691" t="n"/>
      <c r="Z1" s="691" t="n"/>
      <c r="AA1" s="691" t="n"/>
      <c r="AB1" s="691" t="n"/>
      <c r="AC1" s="691" t="n"/>
      <c r="AD1" s="691" t="n"/>
      <c r="AE1" s="691" t="n"/>
      <c r="AG1" s="2" t="inlineStr">
        <is>
          <t>Si Rejeté</t>
        </is>
      </c>
      <c r="AI1" s="146" t="inlineStr">
        <is>
          <t>Nb. of</t>
        </is>
      </c>
      <c r="AJ1" s="116" t="n"/>
      <c r="AL1" s="4" t="n"/>
      <c r="AN1" s="51" t="inlineStr">
        <is>
          <t xml:space="preserve">Raison pour </t>
        </is>
      </c>
      <c r="AP1" s="3" t="n"/>
      <c r="AR1" s="5" t="n"/>
      <c r="AT1" s="714" t="n"/>
      <c r="AU1" s="714" t="n"/>
      <c r="AV1" s="714" t="n"/>
      <c r="AW1" s="714" t="n"/>
    </row>
    <row r="2" ht="45" customFormat="1" customHeight="1" s="103">
      <c r="A2" s="715" t="inlineStr">
        <is>
          <t>Date</t>
        </is>
      </c>
      <c r="B2" s="286" t="inlineStr">
        <is>
          <t>BU_Key</t>
        </is>
      </c>
      <c r="C2" s="287" t="inlineStr">
        <is>
          <t>CW</t>
        </is>
      </c>
      <c r="D2" s="716" t="inlineStr">
        <is>
          <t>Date Devis</t>
        </is>
      </c>
      <c r="E2" s="288" t="inlineStr">
        <is>
          <t>Devis N°</t>
        </is>
      </c>
      <c r="F2" s="288" t="inlineStr">
        <is>
          <t>Index</t>
        </is>
      </c>
      <c r="G2" s="288" t="inlineStr">
        <is>
          <t>Client</t>
        </is>
      </c>
      <c r="H2" s="289" t="inlineStr">
        <is>
          <t>End Client</t>
        </is>
      </c>
      <c r="I2" s="717" t="inlineStr">
        <is>
          <t>D Montant € HT</t>
        </is>
      </c>
      <c r="J2" s="289" t="inlineStr">
        <is>
          <t>ASM</t>
        </is>
      </c>
      <c r="K2" s="288" t="inlineStr">
        <is>
          <t>Categorie</t>
        </is>
      </c>
      <c r="L2" s="288" t="inlineStr">
        <is>
          <t>Status</t>
        </is>
      </c>
      <c r="M2" s="290" t="inlineStr">
        <is>
          <t>Spalte2</t>
        </is>
      </c>
      <c r="N2" s="291" t="inlineStr">
        <is>
          <t>CW ORDER</t>
        </is>
      </c>
      <c r="O2" s="291" t="inlineStr">
        <is>
          <t>OI_Year</t>
        </is>
      </c>
      <c r="P2" s="291" t="inlineStr">
        <is>
          <t>OI_Month</t>
        </is>
      </c>
      <c r="Q2" s="292" t="inlineStr">
        <is>
          <t>Date Cmde</t>
        </is>
      </c>
      <c r="R2" s="291" t="inlineStr">
        <is>
          <t>Cmde N°</t>
        </is>
      </c>
      <c r="S2" s="718" t="inlineStr">
        <is>
          <t>C Montant € HT</t>
        </is>
      </c>
      <c r="T2" s="719" t="inlineStr">
        <is>
          <t>Montant Restant €</t>
        </is>
      </c>
      <c r="U2" s="291" t="inlineStr">
        <is>
          <t>Délai (semaine)</t>
        </is>
      </c>
      <c r="V2" s="286" t="inlineStr">
        <is>
          <t>Spalte4</t>
        </is>
      </c>
      <c r="W2" s="720" t="inlineStr">
        <is>
          <t>Date réelle réception matériel</t>
        </is>
      </c>
      <c r="X2" s="293" t="inlineStr">
        <is>
          <t>CW REV</t>
        </is>
      </c>
      <c r="Y2" s="293" t="inlineStr">
        <is>
          <t>Revenue_Year</t>
        </is>
      </c>
      <c r="Z2" s="293" t="inlineStr">
        <is>
          <t>Revenue_Month</t>
        </is>
      </c>
      <c r="AA2" s="720" t="inlineStr">
        <is>
          <t>Date Liv. Réelle</t>
        </is>
      </c>
      <c r="AB2" s="294" t="inlineStr">
        <is>
          <t>Facture N°</t>
        </is>
      </c>
      <c r="AC2" s="295" t="inlineStr">
        <is>
          <t>Date Facture</t>
        </is>
      </c>
      <c r="AD2" s="721" t="inlineStr">
        <is>
          <t>F Montant HT</t>
        </is>
      </c>
      <c r="AE2" s="720" t="inlineStr">
        <is>
          <t>Date Liv. Prévue</t>
        </is>
      </c>
      <c r="AF2" s="345" t="inlineStr">
        <is>
          <t>In-house/
On-site</t>
        </is>
      </c>
      <c r="AG2" s="296" t="inlineStr">
        <is>
          <t>Raison</t>
        </is>
      </c>
      <c r="AH2" s="286" t="inlineStr">
        <is>
          <t>Spalte7</t>
        </is>
      </c>
      <c r="AI2" s="287" t="inlineStr">
        <is>
          <t>parts</t>
        </is>
      </c>
      <c r="AJ2" s="287" t="inlineStr">
        <is>
          <t>Product Description</t>
        </is>
      </c>
      <c r="AK2" s="286" t="inlineStr">
        <is>
          <t>Spalte8</t>
        </is>
      </c>
      <c r="AL2" s="297" t="inlineStr">
        <is>
          <t>Commentaire</t>
        </is>
      </c>
      <c r="AM2" s="286" t="inlineStr">
        <is>
          <t>Spalte9</t>
        </is>
      </c>
      <c r="AN2" s="298" t="inlineStr">
        <is>
          <t>l'externalisation</t>
        </is>
      </c>
      <c r="AO2" s="286" t="inlineStr">
        <is>
          <t>Spalte10</t>
        </is>
      </c>
      <c r="AP2" s="299" t="inlineStr">
        <is>
          <t>Lien dossier</t>
        </is>
      </c>
      <c r="AQ2" s="286" t="inlineStr">
        <is>
          <t>Spalte11</t>
        </is>
      </c>
      <c r="AR2" s="300" t="inlineStr">
        <is>
          <t>Contact Person</t>
        </is>
      </c>
      <c r="AS2" s="286" t="inlineStr">
        <is>
          <t>Spalte12</t>
        </is>
      </c>
      <c r="AT2" s="722" t="inlineStr">
        <is>
          <t>Coûts achats</t>
        </is>
      </c>
      <c r="AU2" s="722" t="inlineStr">
        <is>
          <t>Coûts main d'œuvre</t>
        </is>
      </c>
      <c r="AV2" s="723" t="inlineStr">
        <is>
          <t>Marge</t>
        </is>
      </c>
      <c r="AW2" s="723" t="inlineStr">
        <is>
          <t>Marge %</t>
        </is>
      </c>
    </row>
    <row r="3" ht="15" customHeight="1" s="701">
      <c r="A3" s="724" t="n"/>
      <c r="B3" s="347">
        <f>IFERROR(INDEX(Tabelle2[BU],MATCH(tbl_DCFC[[#This Row],[Categorie]],CAT,0)),"")</f>
        <v/>
      </c>
      <c r="C3" s="301" t="n"/>
      <c r="D3" s="724" t="n">
        <v>43831</v>
      </c>
      <c r="E3" s="301" t="n"/>
      <c r="F3" s="301" t="n"/>
      <c r="G3" s="301" t="inlineStr">
        <is>
          <t>HYDRO SYSTEMS KG</t>
        </is>
      </c>
      <c r="H3" s="301" t="n"/>
      <c r="I3" s="725" t="n">
        <v>50000</v>
      </c>
      <c r="J3" s="301" t="inlineStr">
        <is>
          <t>ASI+ABA</t>
        </is>
      </c>
      <c r="K3" s="301" t="inlineStr">
        <is>
          <t>ENGINEERING IC</t>
        </is>
      </c>
      <c r="L3" s="309" t="inlineStr">
        <is>
          <t>Accepté</t>
        </is>
      </c>
      <c r="M3" s="302" t="n"/>
      <c r="N3" s="307" t="n"/>
      <c r="O3" s="301">
        <f>IF(Data!$Q3="","",YEAR(Data!$Q3))</f>
        <v/>
      </c>
      <c r="P3" s="301">
        <f>IF(Data!$Q3="","",MONTH(Data!$Q3))</f>
        <v/>
      </c>
      <c r="Q3" s="338" t="n">
        <v>44239</v>
      </c>
      <c r="R3" s="339" t="inlineStr">
        <is>
          <t>2021-012</t>
        </is>
      </c>
      <c r="S3" s="726" t="n"/>
      <c r="T3" s="727" t="n"/>
      <c r="U3" s="728" t="n"/>
      <c r="V3" s="302" t="n"/>
      <c r="W3" s="304" t="n"/>
      <c r="X3" s="303">
        <f>IF(AC3&lt;&gt;"","S"&amp;TEXT(WEEKNUM(AC3,21),"00"),"")</f>
        <v/>
      </c>
      <c r="Y3" s="303">
        <f>IF(Data!$AC3="","",YEAR(Data!$AC3))</f>
        <v/>
      </c>
      <c r="Z3" s="303">
        <f>IF(Data!$AC3="","",MONTH(Data!$AC3))</f>
        <v/>
      </c>
      <c r="AA3" s="304" t="n"/>
      <c r="AB3" s="305" t="n"/>
      <c r="AC3" s="304" t="n"/>
      <c r="AD3" s="729" t="n"/>
      <c r="AE3" s="304" t="n"/>
      <c r="AF3" s="302" t="n"/>
      <c r="AH3" s="302" t="n"/>
      <c r="AI3" s="306" t="n">
        <v>1</v>
      </c>
      <c r="AJ3" s="306" t="inlineStr">
        <is>
          <t>Services pour clients HYKG</t>
        </is>
      </c>
      <c r="AK3" s="302" t="n"/>
      <c r="AL3" s="306" t="n"/>
      <c r="AM3" s="302" t="n"/>
      <c r="AN3" s="303" t="n"/>
      <c r="AO3" s="302" t="n"/>
      <c r="AP3" s="306" t="n"/>
      <c r="AQ3" s="302" t="n"/>
      <c r="AR3" s="308" t="n"/>
      <c r="AS3" s="302" t="n"/>
      <c r="AT3" s="730" t="n"/>
      <c r="AU3" s="730" t="n"/>
      <c r="AV3" s="731">
        <f>IF(AT3="","",S3-AT3-AU3)</f>
        <v/>
      </c>
      <c r="AW3" s="331">
        <f>IFERROR(IF(tbl_DCFC[[#This Row],[F Montant HT]]="","",tbl_DCFC[[#This Row],[Marge]]/tbl_DCFC[[#This Row],[F Montant HT]]),"")</f>
        <v/>
      </c>
    </row>
    <row r="4" ht="15" customHeight="1" s="701">
      <c r="A4" s="724" t="n"/>
      <c r="B4" s="347">
        <f>IFERROR(INDEX(Tabelle2[BU],MATCH(tbl_DCFC[[#This Row],[Categorie]],CAT,0)),"")</f>
        <v/>
      </c>
      <c r="C4" s="301" t="n"/>
      <c r="D4" s="724" t="n">
        <v>44215</v>
      </c>
      <c r="E4" s="301" t="n">
        <v>4524</v>
      </c>
      <c r="F4" s="301" t="inlineStr">
        <is>
          <t>A</t>
        </is>
      </c>
      <c r="G4" s="301" t="inlineStr">
        <is>
          <t>AIA</t>
        </is>
      </c>
      <c r="H4" s="301" t="n"/>
      <c r="I4" s="725" t="n">
        <v>2980</v>
      </c>
      <c r="J4" s="301" t="inlineStr">
        <is>
          <t>ABA</t>
        </is>
      </c>
      <c r="K4" s="301" t="inlineStr">
        <is>
          <t>TRADING AIA</t>
        </is>
      </c>
      <c r="L4" s="301" t="inlineStr">
        <is>
          <t>En Attente</t>
        </is>
      </c>
      <c r="M4" s="347" t="n"/>
      <c r="N4" s="350">
        <f>IF(Q4&lt;&gt;"","S"&amp;TEXT(WEEKNUM(Q4,21),"00"),"")</f>
        <v/>
      </c>
      <c r="O4" s="350">
        <f>IF(Data!$Q4="","",YEAR(Data!$Q4))</f>
        <v/>
      </c>
      <c r="P4" s="350">
        <f>IF(Data!$Q4="","",MONTH(Data!$Q4))</f>
        <v/>
      </c>
      <c r="Q4" s="310" t="n"/>
      <c r="R4" s="311" t="n"/>
      <c r="S4" s="732" t="n"/>
      <c r="T4" s="733" t="n"/>
      <c r="U4" s="734" t="n"/>
      <c r="V4" s="347" t="n"/>
      <c r="W4" s="318" t="n"/>
      <c r="X4" s="350">
        <f>IF(AC4&lt;&gt;"","S"&amp;TEXT(WEEKNUM(AC4,21),"00"),"")</f>
        <v/>
      </c>
      <c r="Y4" s="350">
        <f>IF(Data!$AC4="","",YEAR(Data!$AC4))</f>
        <v/>
      </c>
      <c r="Z4" s="350">
        <f>IF(Data!$AC4="","",MONTH(Data!$AC4))</f>
        <v/>
      </c>
      <c r="AA4" s="318" t="n"/>
      <c r="AB4" s="319" t="n"/>
      <c r="AC4" s="318" t="n"/>
      <c r="AD4" s="735" t="n"/>
      <c r="AE4" s="310" t="n"/>
      <c r="AF4" s="302" t="n"/>
      <c r="AH4" s="347" t="n"/>
      <c r="AI4" s="340" t="n">
        <v>2</v>
      </c>
      <c r="AJ4" s="340" t="inlineStr">
        <is>
          <t>Roulettes</t>
        </is>
      </c>
      <c r="AK4" s="347" t="n"/>
      <c r="AL4" s="735" t="n"/>
      <c r="AM4" s="347" t="n"/>
      <c r="AN4" s="350" t="n"/>
      <c r="AO4" s="347" t="n"/>
      <c r="AP4" s="340" t="inlineStr">
        <is>
          <t>L:\KL_CO\110_HYFR\AFFAIRES 2021\AIA\Devis n°4524-Renseignement roulettes</t>
        </is>
      </c>
      <c r="AQ4" s="347" t="n"/>
      <c r="AR4" s="313" t="n"/>
      <c r="AS4" s="347" t="n"/>
      <c r="AT4" s="736" t="n"/>
      <c r="AU4" s="736" t="n"/>
      <c r="AV4" s="731">
        <f>IF(AT4="","",S4-AT4-AU4)</f>
        <v/>
      </c>
      <c r="AW4" s="331">
        <f>IFERROR(IF(tbl_DCFC[[#This Row],[F Montant HT]]="","",tbl_DCFC[[#This Row],[Marge]]/tbl_DCFC[[#This Row],[F Montant HT]]),"")</f>
        <v/>
      </c>
    </row>
    <row r="5" ht="15" customHeight="1" s="701">
      <c r="A5" s="724" t="n"/>
      <c r="B5" s="347">
        <f>IFERROR(INDEX(Tabelle2[BU],MATCH(tbl_DCFC[[#This Row],[Categorie]],CAT,0)),"")</f>
        <v/>
      </c>
      <c r="C5" s="301" t="n"/>
      <c r="D5" s="724" t="n">
        <v>44230</v>
      </c>
      <c r="E5" s="314" t="n">
        <v>4532</v>
      </c>
      <c r="F5" s="301" t="inlineStr">
        <is>
          <t>A</t>
        </is>
      </c>
      <c r="G5" s="301" t="inlineStr">
        <is>
          <t>HYDRO SYSTEMS KG</t>
        </is>
      </c>
      <c r="H5" s="301" t="n"/>
      <c r="I5" s="725" t="n">
        <v>6900</v>
      </c>
      <c r="J5" s="301" t="inlineStr">
        <is>
          <t>ASI</t>
        </is>
      </c>
      <c r="K5" s="301" t="inlineStr">
        <is>
          <t>SERVICE OTHER AIA</t>
        </is>
      </c>
      <c r="L5" s="301" t="inlineStr">
        <is>
          <t>Accepté</t>
        </is>
      </c>
      <c r="M5" s="347" t="n"/>
      <c r="N5" s="301" t="n"/>
      <c r="O5" s="301">
        <f>IF(Data!$Q5="","",YEAR(Data!$Q5))</f>
        <v/>
      </c>
      <c r="P5" s="301">
        <f>IF(Data!$Q5="","",MONTH(Data!$Q5))</f>
        <v/>
      </c>
      <c r="Q5" s="320" t="n">
        <v>44231</v>
      </c>
      <c r="R5" s="321" t="inlineStr">
        <is>
          <t>2021-016</t>
        </is>
      </c>
      <c r="S5" s="737" t="n">
        <v>6900</v>
      </c>
      <c r="T5" s="738" t="n"/>
      <c r="U5" s="739" t="n"/>
      <c r="V5" s="347" t="n"/>
      <c r="W5" s="310" t="n"/>
      <c r="X5" s="350">
        <f>IF(AC5&lt;&gt;"","S"&amp;TEXT(WEEKNUM(AC5,21),"00"),"")</f>
        <v/>
      </c>
      <c r="Y5" s="350">
        <f>IF(Data!$AC5="","",YEAR(Data!$AC5))</f>
        <v/>
      </c>
      <c r="Z5" s="350">
        <f>IF(Data!$AC5="","",MONTH(Data!$AC5))</f>
        <v/>
      </c>
      <c r="AA5" s="310" t="n">
        <v>44561</v>
      </c>
      <c r="AB5" s="312" t="n">
        <v>5196</v>
      </c>
      <c r="AC5" s="310" t="n">
        <v>44601</v>
      </c>
      <c r="AD5" s="732" t="n">
        <v>6900</v>
      </c>
      <c r="AE5" s="310" t="n">
        <v>44561</v>
      </c>
      <c r="AF5" s="302" t="n"/>
      <c r="AH5" s="347" t="n"/>
      <c r="AI5" s="315" t="n">
        <v>1</v>
      </c>
      <c r="AJ5" s="315" t="inlineStr">
        <is>
          <t>Modification de 4 Cobra</t>
        </is>
      </c>
      <c r="AK5" s="347" t="n"/>
      <c r="AL5" s="315" t="n"/>
      <c r="AM5" s="347" t="n"/>
      <c r="AN5" s="350" t="n"/>
      <c r="AO5" s="347" t="n"/>
      <c r="AP5" s="315" t="n"/>
      <c r="AQ5" s="347" t="n"/>
      <c r="AR5" s="317" t="n"/>
      <c r="AS5" s="347" t="n"/>
      <c r="AT5" s="740" t="n">
        <v>1415.21</v>
      </c>
      <c r="AU5" s="740" t="n">
        <v>4700</v>
      </c>
      <c r="AV5" s="731">
        <f>IF(AT5="","",S5-AT5-AU5)</f>
        <v/>
      </c>
      <c r="AW5" s="331">
        <f>IFERROR(IF(tbl_DCFC[[#This Row],[F Montant HT]]="","",tbl_DCFC[[#This Row],[Marge]]/tbl_DCFC[[#This Row],[F Montant HT]]),"")</f>
        <v/>
      </c>
    </row>
    <row r="6" ht="15" customHeight="1" s="701">
      <c r="A6" s="724" t="n"/>
      <c r="B6" s="347">
        <f>IFERROR(INDEX(Tabelle2[BU],MATCH(tbl_DCFC[[#This Row],[Categorie]],CAT,0)),"")</f>
        <v/>
      </c>
      <c r="C6" s="301" t="n"/>
      <c r="D6" s="724" t="n">
        <v>44236</v>
      </c>
      <c r="E6" s="301" t="n">
        <v>4537</v>
      </c>
      <c r="F6" s="301" t="inlineStr">
        <is>
          <t>A</t>
        </is>
      </c>
      <c r="G6" s="301" t="inlineStr">
        <is>
          <t>SABENA</t>
        </is>
      </c>
      <c r="H6" s="301" t="n"/>
      <c r="I6" s="725" t="n"/>
      <c r="J6" s="301" t="inlineStr">
        <is>
          <t>ABA</t>
        </is>
      </c>
      <c r="K6" s="301" t="inlineStr">
        <is>
          <t>SERVICE OTHER AIA</t>
        </is>
      </c>
      <c r="L6" s="301" t="inlineStr">
        <is>
          <t>Annulé</t>
        </is>
      </c>
      <c r="M6" s="347" t="n"/>
      <c r="N6" s="350">
        <f>IF(Q6&lt;&gt;"","S"&amp;TEXT(WEEKNUM(Q6,21),"00"),"")</f>
        <v/>
      </c>
      <c r="O6" s="350">
        <f>IF(Data!$Q6="","",YEAR(Data!$Q6))</f>
        <v/>
      </c>
      <c r="P6" s="350">
        <f>IF(Data!$Q6="","",MONTH(Data!$Q6))</f>
        <v/>
      </c>
      <c r="Q6" s="310" t="n"/>
      <c r="R6" s="311" t="n"/>
      <c r="S6" s="732" t="n"/>
      <c r="T6" s="733" t="n"/>
      <c r="U6" s="734" t="n"/>
      <c r="V6" s="347" t="n"/>
      <c r="W6" s="310" t="n"/>
      <c r="X6" s="350">
        <f>IF(AC6&lt;&gt;"","S"&amp;TEXT(WEEKNUM(AC6,21),"00"),"")</f>
        <v/>
      </c>
      <c r="Y6" s="350">
        <f>IF(Data!$AC6="","",YEAR(Data!$AC6))</f>
        <v/>
      </c>
      <c r="Z6" s="350">
        <f>IF(Data!$AC6="","",MONTH(Data!$AC6))</f>
        <v/>
      </c>
      <c r="AA6" s="310" t="n"/>
      <c r="AB6" s="312" t="n"/>
      <c r="AC6" s="310" t="n"/>
      <c r="AD6" s="732" t="n"/>
      <c r="AE6" s="310" t="n"/>
      <c r="AF6" s="302" t="n"/>
      <c r="AH6" s="347" t="n"/>
      <c r="AI6" s="340" t="n">
        <v>1</v>
      </c>
      <c r="AJ6" s="340" t="inlineStr">
        <is>
          <t>Essais en charge liste de crics et vérins sur site Dinard</t>
        </is>
      </c>
      <c r="AK6" s="347" t="n"/>
      <c r="AL6" s="340" t="inlineStr">
        <is>
          <t>Négo contrat cadre en cours-Décalé plus Q3 2021</t>
        </is>
      </c>
      <c r="AM6" s="347" t="n"/>
      <c r="AN6" s="350" t="n"/>
      <c r="AO6" s="347" t="n"/>
      <c r="AP6" s="340" t="inlineStr">
        <is>
          <t>L:\KL_CO\110_HYFR\AFFAIRES 2021\SABENA DNR\Devis n°4537A_Essais en charge liste vérins+crics</t>
        </is>
      </c>
      <c r="AQ6" s="347" t="n"/>
      <c r="AR6" s="313" t="n"/>
      <c r="AS6" s="347" t="n"/>
      <c r="AT6" s="736" t="n"/>
      <c r="AU6" s="736" t="n"/>
      <c r="AV6" s="731">
        <f>IF(AT6="","",S6-AT6-AU6)</f>
        <v/>
      </c>
      <c r="AW6" s="331">
        <f>IFERROR(IF(tbl_DCFC[[#This Row],[F Montant HT]]="","",tbl_DCFC[[#This Row],[Marge]]/tbl_DCFC[[#This Row],[F Montant HT]]),"")</f>
        <v/>
      </c>
    </row>
    <row r="7" ht="15" customHeight="1" s="701">
      <c r="A7" s="724" t="n"/>
      <c r="B7" s="347">
        <f>IFERROR(INDEX(Tabelle2[BU],MATCH(tbl_DCFC[[#This Row],[Categorie]],CAT,0)),"")</f>
        <v/>
      </c>
      <c r="C7" s="301" t="n"/>
      <c r="D7" s="724" t="n">
        <v>44260</v>
      </c>
      <c r="E7" s="301" t="n">
        <v>4553</v>
      </c>
      <c r="F7" s="301" t="inlineStr">
        <is>
          <t>A</t>
        </is>
      </c>
      <c r="G7" s="301" t="inlineStr">
        <is>
          <t>KAWNEER</t>
        </is>
      </c>
      <c r="H7" s="301" t="n"/>
      <c r="I7" s="725" t="n">
        <v>1035.65</v>
      </c>
      <c r="J7" s="301" t="inlineStr">
        <is>
          <t>ABA</t>
        </is>
      </c>
      <c r="K7" s="301" t="inlineStr">
        <is>
          <t>SERVICE OTHER AIA</t>
        </is>
      </c>
      <c r="L7" s="301" t="inlineStr">
        <is>
          <t>Accepté</t>
        </is>
      </c>
      <c r="M7" s="347" t="n"/>
      <c r="N7" s="301" t="n"/>
      <c r="O7" s="301">
        <f>IF(Data!$Q7="","",YEAR(Data!$Q7))</f>
        <v/>
      </c>
      <c r="P7" s="301">
        <f>IF(Data!$Q7="","",MONTH(Data!$Q7))</f>
        <v/>
      </c>
      <c r="Q7" s="320" t="n">
        <v>44267</v>
      </c>
      <c r="R7" s="321" t="inlineStr">
        <is>
          <t>2021-023</t>
        </is>
      </c>
      <c r="S7" s="737" t="n">
        <v>1035.65</v>
      </c>
      <c r="T7" s="738" t="n"/>
      <c r="U7" s="739" t="n"/>
      <c r="V7" s="347" t="n"/>
      <c r="W7" s="310" t="n"/>
      <c r="X7" s="350">
        <f>IF(AC7&lt;&gt;"","S"&amp;TEXT(WEEKNUM(AC7,21),"00"),"")</f>
        <v/>
      </c>
      <c r="Y7" s="350">
        <f>IF(Data!$AC7="","",YEAR(Data!$AC7))</f>
        <v/>
      </c>
      <c r="Z7" s="350">
        <f>IF(Data!$AC7="","",MONTH(Data!$AC7))</f>
        <v/>
      </c>
      <c r="AA7" s="310" t="n"/>
      <c r="AB7" s="312" t="n"/>
      <c r="AC7" s="310" t="n"/>
      <c r="AD7" s="732" t="n"/>
      <c r="AE7" s="310" t="n">
        <v>44926</v>
      </c>
      <c r="AF7" s="302" t="n"/>
      <c r="AH7" s="347" t="n"/>
      <c r="AI7" s="315" t="n">
        <v>1</v>
      </c>
      <c r="AJ7" s="315" t="inlineStr">
        <is>
          <t>Réparation sur outil n°107</t>
        </is>
      </c>
      <c r="AK7" s="347" t="n"/>
      <c r="AL7" s="315" t="n"/>
      <c r="AM7" s="347" t="n"/>
      <c r="AN7" s="350" t="n"/>
      <c r="AO7" s="347" t="n"/>
      <c r="AP7" s="316" t="n"/>
      <c r="AQ7" s="347" t="n"/>
      <c r="AR7" s="317" t="n"/>
      <c r="AS7" s="347" t="n"/>
      <c r="AT7" s="740" t="n"/>
      <c r="AU7" s="740" t="n"/>
      <c r="AV7" s="731">
        <f>IF(AT7="","",S7-AT7-AU7)</f>
        <v/>
      </c>
      <c r="AW7" s="331">
        <f>IFERROR(IF(tbl_DCFC[[#This Row],[F Montant HT]]="","",tbl_DCFC[[#This Row],[Marge]]/tbl_DCFC[[#This Row],[F Montant HT]]),"")</f>
        <v/>
      </c>
    </row>
    <row r="8" ht="15" customHeight="1" s="701">
      <c r="A8" s="724" t="n"/>
      <c r="B8" s="347">
        <f>IFERROR(INDEX(Tabelle2[BU],MATCH(tbl_DCFC[[#This Row],[Categorie]],CAT,0)),"")</f>
        <v/>
      </c>
      <c r="C8" s="301" t="n"/>
      <c r="D8" s="724" t="n">
        <v>44267</v>
      </c>
      <c r="E8" s="301" t="n">
        <v>4555</v>
      </c>
      <c r="F8" s="301" t="inlineStr">
        <is>
          <t>A</t>
        </is>
      </c>
      <c r="G8" s="301" t="inlineStr">
        <is>
          <t>HYDRO SYSTEMS KG</t>
        </is>
      </c>
      <c r="H8" s="301" t="inlineStr">
        <is>
          <t>AIA</t>
        </is>
      </c>
      <c r="I8" s="725" t="n"/>
      <c r="J8" s="301" t="inlineStr">
        <is>
          <t>ABA</t>
        </is>
      </c>
      <c r="K8" s="301" t="inlineStr">
        <is>
          <t>TRADING OTHER AIA</t>
        </is>
      </c>
      <c r="L8" s="301" t="inlineStr">
        <is>
          <t>Rejeté</t>
        </is>
      </c>
      <c r="M8" s="347" t="n"/>
      <c r="N8" s="350">
        <f>IF(Q8&lt;&gt;"","S"&amp;TEXT(WEEKNUM(Q8,21),"00"),"")</f>
        <v/>
      </c>
      <c r="O8" s="350">
        <f>IF(Data!$Q8="","",YEAR(Data!$Q8))</f>
        <v/>
      </c>
      <c r="P8" s="350">
        <f>IF(Data!$Q8="","",MONTH(Data!$Q8))</f>
        <v/>
      </c>
      <c r="Q8" s="310" t="n"/>
      <c r="R8" s="311" t="n"/>
      <c r="S8" s="732" t="n"/>
      <c r="T8" s="733" t="n"/>
      <c r="U8" s="734" t="n"/>
      <c r="V8" s="347" t="n"/>
      <c r="W8" s="310" t="n"/>
      <c r="X8" s="350">
        <f>IF(AC8&lt;&gt;"","S"&amp;TEXT(WEEKNUM(AC8,21),"00"),"")</f>
        <v/>
      </c>
      <c r="Y8" s="350">
        <f>IF(Data!$AC8="","",YEAR(Data!$AC8))</f>
        <v/>
      </c>
      <c r="Z8" s="350">
        <f>IF(Data!$AC8="","",MONTH(Data!$AC8))</f>
        <v/>
      </c>
      <c r="AA8" s="310" t="n"/>
      <c r="AB8" s="312" t="n"/>
      <c r="AC8" s="310" t="n"/>
      <c r="AD8" s="732" t="n"/>
      <c r="AE8" s="310" t="n"/>
      <c r="AF8" s="302" t="n"/>
      <c r="AH8" s="347" t="n"/>
      <c r="AI8" s="315" t="n">
        <v>1</v>
      </c>
      <c r="AJ8" s="315" t="inlineStr">
        <is>
          <t>Conception et fabrication plateformes NH90 Caïman</t>
        </is>
      </c>
      <c r="AK8" s="347" t="n"/>
      <c r="AL8" s="315" t="inlineStr">
        <is>
          <t>Offre irrégulière car 100% du 1er poste doit être fait par Hydro</t>
        </is>
      </c>
      <c r="AM8" s="347" t="n"/>
      <c r="AN8" s="350" t="n"/>
      <c r="AO8" s="347" t="n"/>
      <c r="AP8" s="315" t="inlineStr">
        <is>
          <t>L:\KL_CO\110_HYFR\AFFAIRES 2021\AIA\Devis n° 4555A - réf. 21047_Plateformes mobiles pour NH90_Caïman</t>
        </is>
      </c>
      <c r="AQ8" s="347" t="n"/>
      <c r="AR8" s="317" t="n"/>
      <c r="AS8" s="347" t="n"/>
      <c r="AT8" s="740" t="n"/>
      <c r="AU8" s="740" t="n"/>
      <c r="AV8" s="731">
        <f>IF(AT8="","",S8-AT8-AU8)</f>
        <v/>
      </c>
      <c r="AW8" s="331">
        <f>IFERROR(IF(tbl_DCFC[[#This Row],[F Montant HT]]="","",tbl_DCFC[[#This Row],[Marge]]/tbl_DCFC[[#This Row],[F Montant HT]]),"")</f>
        <v/>
      </c>
    </row>
    <row r="9" ht="15" customHeight="1" s="701">
      <c r="A9" s="724" t="n"/>
      <c r="B9" s="347">
        <f>IFERROR(INDEX(Tabelle2[BU],MATCH(tbl_DCFC[[#This Row],[Categorie]],CAT,0)),"")</f>
        <v/>
      </c>
      <c r="C9" s="301" t="n"/>
      <c r="D9" s="724" t="n">
        <v>44292</v>
      </c>
      <c r="E9" s="314" t="n">
        <v>4561</v>
      </c>
      <c r="F9" s="301" t="inlineStr">
        <is>
          <t>A</t>
        </is>
      </c>
      <c r="G9" s="301" t="inlineStr">
        <is>
          <t>AIA</t>
        </is>
      </c>
      <c r="H9" s="301" t="n"/>
      <c r="I9" s="725" t="n"/>
      <c r="J9" s="301" t="inlineStr">
        <is>
          <t>ABA</t>
        </is>
      </c>
      <c r="K9" s="301" t="inlineStr">
        <is>
          <t>SERVICE AIA</t>
        </is>
      </c>
      <c r="L9" s="301" t="inlineStr">
        <is>
          <t>Annulé</t>
        </is>
      </c>
      <c r="M9" s="347" t="n"/>
      <c r="N9" s="350">
        <f>IF(Q9&lt;&gt;"","S"&amp;TEXT(WEEKNUM(Q9,21),"00"),"")</f>
        <v/>
      </c>
      <c r="O9" s="350">
        <f>IF(Data!$Q9="","",YEAR(Data!$Q9))</f>
        <v/>
      </c>
      <c r="P9" s="350">
        <f>IF(Data!$Q9="","",MONTH(Data!$Q9))</f>
        <v/>
      </c>
      <c r="Q9" s="310" t="n"/>
      <c r="R9" s="311" t="n"/>
      <c r="S9" s="732" t="n"/>
      <c r="T9" s="733" t="n"/>
      <c r="U9" s="734" t="n"/>
      <c r="V9" s="347" t="n"/>
      <c r="W9" s="310" t="n"/>
      <c r="X9" s="350">
        <f>IF(AC9&lt;&gt;"","S"&amp;TEXT(WEEKNUM(AC9,21),"00"),"")</f>
        <v/>
      </c>
      <c r="Y9" s="350">
        <f>IF(Data!$AC9="","",YEAR(Data!$AC9))</f>
        <v/>
      </c>
      <c r="Z9" s="350">
        <f>IF(Data!$AC9="","",MONTH(Data!$AC9))</f>
        <v/>
      </c>
      <c r="AA9" s="310" t="n"/>
      <c r="AB9" s="312" t="n"/>
      <c r="AC9" s="310" t="n"/>
      <c r="AD9" s="732" t="n"/>
      <c r="AE9" s="310" t="n"/>
      <c r="AF9" s="302" t="n"/>
      <c r="AH9" s="347" t="n"/>
      <c r="AI9" s="315" t="n">
        <v>1</v>
      </c>
      <c r="AJ9" s="315" t="inlineStr">
        <is>
          <t>Entretien préventif et curatif des moyens de levage - Candidature</t>
        </is>
      </c>
      <c r="AK9" s="347" t="n"/>
      <c r="AL9" s="741" t="inlineStr">
        <is>
          <t>Phase candidature déposée le 03/05 - Pour étude faisabilité uniquement</t>
        </is>
      </c>
      <c r="AM9" s="347" t="n"/>
      <c r="AN9" s="350" t="n"/>
      <c r="AO9" s="347" t="n"/>
      <c r="AP9" s="315" t="inlineStr">
        <is>
          <t>L:\KL_CO\110_HYFR\AFFAIRES 2021\AIA\Devis n° 4561A - 21005 - Entretien préventif et curatif des moyens de levage</t>
        </is>
      </c>
      <c r="AQ9" s="347" t="n"/>
      <c r="AR9" s="317" t="n"/>
      <c r="AS9" s="347" t="n"/>
      <c r="AT9" s="740" t="n"/>
      <c r="AU9" s="740" t="n"/>
      <c r="AV9" s="731">
        <f>IF(AT9="","",S9-AT9-AU9)</f>
        <v/>
      </c>
      <c r="AW9" s="331">
        <f>IFERROR(IF(tbl_DCFC[[#This Row],[F Montant HT]]="","",tbl_DCFC[[#This Row],[Marge]]/tbl_DCFC[[#This Row],[F Montant HT]]),"")</f>
        <v/>
      </c>
    </row>
    <row r="10" ht="15" customHeight="1" s="701">
      <c r="A10" s="724" t="n"/>
      <c r="B10" s="347">
        <f>IFERROR(INDEX(Tabelle2[BU],MATCH(tbl_DCFC[[#This Row],[Categorie]],CAT,0)),"")</f>
        <v/>
      </c>
      <c r="C10" s="301" t="n"/>
      <c r="D10" s="724" t="n">
        <v>44298</v>
      </c>
      <c r="E10" s="314" t="n">
        <v>4569</v>
      </c>
      <c r="F10" s="301" t="inlineStr">
        <is>
          <t>A</t>
        </is>
      </c>
      <c r="G10" s="301" t="inlineStr">
        <is>
          <t>BASE AERIENNE ROMORANTIN</t>
        </is>
      </c>
      <c r="H10" s="301" t="n"/>
      <c r="I10" s="725" t="n">
        <v>3236</v>
      </c>
      <c r="J10" s="301" t="inlineStr">
        <is>
          <t>ABA</t>
        </is>
      </c>
      <c r="K10" s="301" t="inlineStr">
        <is>
          <t>TRADING OTHER AIA</t>
        </is>
      </c>
      <c r="L10" s="301" t="inlineStr">
        <is>
          <t>Accepté</t>
        </is>
      </c>
      <c r="M10" s="347" t="n"/>
      <c r="N10" s="301" t="n"/>
      <c r="O10" s="301">
        <f>IF(Data!$Q10="","",YEAR(Data!$Q10))</f>
        <v/>
      </c>
      <c r="P10" s="301">
        <f>IF(Data!$Q10="","",MONTH(Data!$Q10))</f>
        <v/>
      </c>
      <c r="Q10" s="320" t="n">
        <v>44453</v>
      </c>
      <c r="R10" s="321" t="inlineStr">
        <is>
          <t>2021-080</t>
        </is>
      </c>
      <c r="S10" s="737" t="n">
        <v>3236</v>
      </c>
      <c r="T10" s="738" t="n"/>
      <c r="U10" s="739" t="n"/>
      <c r="V10" s="347" t="n"/>
      <c r="W10" s="310" t="n"/>
      <c r="X10" s="350">
        <f>IF(AC10&lt;&gt;"","S"&amp;TEXT(WEEKNUM(AC10,21),"00"),"")</f>
        <v/>
      </c>
      <c r="Y10" s="350">
        <f>IF(Data!$AC10="","",YEAR(Data!$AC10))</f>
        <v/>
      </c>
      <c r="Z10" s="350">
        <f>IF(Data!$AC10="","",MONTH(Data!$AC10))</f>
        <v/>
      </c>
      <c r="AA10" s="310" t="n">
        <v>44620</v>
      </c>
      <c r="AB10" s="312" t="n">
        <v>5208</v>
      </c>
      <c r="AC10" s="310" t="n">
        <v>44620</v>
      </c>
      <c r="AD10" s="732" t="n">
        <v>3236</v>
      </c>
      <c r="AE10" s="310" t="n">
        <v>44592</v>
      </c>
      <c r="AF10" s="302" t="n"/>
      <c r="AH10" s="347" t="n"/>
      <c r="AI10" s="315" t="n">
        <v>1</v>
      </c>
      <c r="AJ10" s="315" t="inlineStr">
        <is>
          <t>Devis lot spares</t>
        </is>
      </c>
      <c r="AK10" s="347" t="n"/>
      <c r="AL10" s="315" t="n"/>
      <c r="AM10" s="347" t="n"/>
      <c r="AN10" s="350" t="n"/>
      <c r="AO10" s="347" t="n"/>
      <c r="AP10" s="315" t="inlineStr">
        <is>
          <t>L:\KL_CO\110_HYFR\AFFAIRES 2021\BASE AERIENNE ROMORANTIN\Devis n° 4569A - Devis Hengstler</t>
        </is>
      </c>
      <c r="AQ10" s="347" t="n"/>
      <c r="AR10" s="317" t="n"/>
      <c r="AS10" s="347" t="n"/>
      <c r="AT10" s="740" t="n">
        <v>911</v>
      </c>
      <c r="AU10" s="740" t="n"/>
      <c r="AV10" s="731">
        <f>IF(AT10="","",S10-AT10-AU10)</f>
        <v/>
      </c>
      <c r="AW10" s="331">
        <f>IFERROR(IF(tbl_DCFC[[#This Row],[F Montant HT]]="","",tbl_DCFC[[#This Row],[Marge]]/tbl_DCFC[[#This Row],[F Montant HT]]),"")</f>
        <v/>
      </c>
    </row>
    <row r="11" ht="15" customHeight="1" s="701">
      <c r="A11" s="724" t="n"/>
      <c r="B11" s="347">
        <f>IFERROR(INDEX(Tabelle2[BU],MATCH(tbl_DCFC[[#This Row],[Categorie]],CAT,0)),"")</f>
        <v/>
      </c>
      <c r="C11" s="301" t="n"/>
      <c r="D11" s="724" t="n">
        <v>44300</v>
      </c>
      <c r="E11" s="314" t="n">
        <v>4571</v>
      </c>
      <c r="F11" s="301" t="inlineStr">
        <is>
          <t>A</t>
        </is>
      </c>
      <c r="G11" s="301" t="inlineStr">
        <is>
          <t>HYDRO SYSTEMS KG</t>
        </is>
      </c>
      <c r="H11" s="301" t="n"/>
      <c r="I11" s="725" t="n">
        <v>1200</v>
      </c>
      <c r="J11" s="301" t="inlineStr">
        <is>
          <t>ASI</t>
        </is>
      </c>
      <c r="K11" s="301" t="inlineStr">
        <is>
          <t>SERVICE OTHER AIA</t>
        </is>
      </c>
      <c r="L11" s="301" t="inlineStr">
        <is>
          <t>Accepté</t>
        </is>
      </c>
      <c r="M11" s="347" t="n"/>
      <c r="N11" s="301" t="n"/>
      <c r="O11" s="301">
        <f>IF(Data!$Q11="","",YEAR(Data!$Q11))</f>
        <v/>
      </c>
      <c r="P11" s="301">
        <f>IF(Data!$Q11="","",MONTH(Data!$Q11))</f>
        <v/>
      </c>
      <c r="Q11" s="320" t="n">
        <v>44300</v>
      </c>
      <c r="R11" s="321" t="inlineStr">
        <is>
          <t>2021-030</t>
        </is>
      </c>
      <c r="S11" s="737" t="n">
        <v>1200</v>
      </c>
      <c r="T11" s="738" t="n"/>
      <c r="U11" s="739" t="n"/>
      <c r="V11" s="347" t="n"/>
      <c r="W11" s="310" t="n"/>
      <c r="X11" s="350">
        <f>IF(AC11&lt;&gt;"","S"&amp;TEXT(WEEKNUM(AC11,21),"00"),"")</f>
        <v/>
      </c>
      <c r="Y11" s="350">
        <f>IF(Data!$AC11="","",YEAR(Data!$AC11))</f>
        <v/>
      </c>
      <c r="Z11" s="350">
        <f>IF(Data!$AC11="","",MONTH(Data!$AC11))</f>
        <v/>
      </c>
      <c r="AA11" s="310" t="n">
        <v>44319</v>
      </c>
      <c r="AB11" s="312" t="n">
        <v>5212</v>
      </c>
      <c r="AC11" s="310" t="n">
        <v>44629</v>
      </c>
      <c r="AD11" s="732" t="n">
        <v>1200</v>
      </c>
      <c r="AE11" s="310" t="n"/>
      <c r="AF11" s="302" t="n"/>
      <c r="AH11" s="347" t="n"/>
      <c r="AI11" s="315" t="n">
        <v>1</v>
      </c>
      <c r="AJ11" s="315" t="inlineStr">
        <is>
          <t>Modification Safety kit</t>
        </is>
      </c>
      <c r="AK11" s="347" t="n"/>
      <c r="AL11" s="315" t="n"/>
      <c r="AM11" s="347" t="n"/>
      <c r="AN11" s="350" t="n"/>
      <c r="AO11" s="347" t="n"/>
      <c r="AP11" s="315" t="inlineStr">
        <is>
          <t>L:\KL_CO\110_HYFR\AFFAIRES 2021\HYDRO KG\Devis n° 4571A - modification Safety Kit</t>
        </is>
      </c>
      <c r="AQ11" s="347" t="n"/>
      <c r="AR11" s="317" t="n"/>
      <c r="AS11" s="347" t="n"/>
      <c r="AT11" s="740" t="n">
        <v>660</v>
      </c>
      <c r="AU11" s="740" t="n">
        <v>362.5</v>
      </c>
      <c r="AV11" s="731">
        <f>IF(AT11="","",S11-AT11-AU11)</f>
        <v/>
      </c>
      <c r="AW11" s="331">
        <f>IFERROR(IF(tbl_DCFC[[#This Row],[F Montant HT]]="","",tbl_DCFC[[#This Row],[Marge]]/tbl_DCFC[[#This Row],[F Montant HT]]),"")</f>
        <v/>
      </c>
    </row>
    <row r="12" ht="15" customHeight="1" s="701">
      <c r="A12" s="724" t="n"/>
      <c r="B12" s="347">
        <f>IFERROR(INDEX(Tabelle2[BU],MATCH(tbl_DCFC[[#This Row],[Categorie]],CAT,0)),"")</f>
        <v/>
      </c>
      <c r="C12" s="301" t="n"/>
      <c r="D12" s="724" t="n">
        <v>44365</v>
      </c>
      <c r="E12" s="314" t="n">
        <v>4604</v>
      </c>
      <c r="F12" s="301" t="inlineStr">
        <is>
          <t>A</t>
        </is>
      </c>
      <c r="G12" s="301" t="inlineStr">
        <is>
          <t>ROLLS ROYCE</t>
        </is>
      </c>
      <c r="H12" s="301" t="n"/>
      <c r="I12" s="725" t="n">
        <v>1945</v>
      </c>
      <c r="J12" s="301" t="inlineStr">
        <is>
          <t>ASI</t>
        </is>
      </c>
      <c r="K12" s="301" t="inlineStr">
        <is>
          <t>SERVICE OTHER AIA</t>
        </is>
      </c>
      <c r="L12" s="301" t="inlineStr">
        <is>
          <t>Accepté</t>
        </is>
      </c>
      <c r="M12" s="347" t="n"/>
      <c r="N12" s="301" t="n"/>
      <c r="O12" s="301">
        <f>IF(Data!$Q12="","",YEAR(Data!$Q12))</f>
        <v/>
      </c>
      <c r="P12" s="301">
        <f>IF(Data!$Q12="","",MONTH(Data!$Q12))</f>
        <v/>
      </c>
      <c r="Q12" s="320" t="n">
        <v>44365</v>
      </c>
      <c r="R12" s="321" t="inlineStr">
        <is>
          <t>2021-051</t>
        </is>
      </c>
      <c r="S12" s="737" t="n">
        <v>1945</v>
      </c>
      <c r="T12" s="738" t="n"/>
      <c r="U12" s="739" t="n"/>
      <c r="V12" s="347" t="n"/>
      <c r="W12" s="310" t="n">
        <v>44364</v>
      </c>
      <c r="X12" s="350">
        <f>IF(AC12&lt;&gt;"","S"&amp;TEXT(WEEKNUM(AC12,21),"00"),"")</f>
        <v/>
      </c>
      <c r="Y12" s="350">
        <f>IF(Data!$AC12="","",YEAR(Data!$AC12))</f>
        <v/>
      </c>
      <c r="Z12" s="350">
        <f>IF(Data!$AC12="","",MONTH(Data!$AC12))</f>
        <v/>
      </c>
      <c r="AA12" s="310" t="n">
        <v>44595</v>
      </c>
      <c r="AB12" s="312" t="n">
        <v>5197</v>
      </c>
      <c r="AC12" s="310" t="n">
        <v>44601</v>
      </c>
      <c r="AD12" s="732" t="n">
        <v>1945</v>
      </c>
      <c r="AE12" s="310" t="n">
        <v>44620</v>
      </c>
      <c r="AF12" s="302" t="n"/>
      <c r="AH12" s="347" t="n"/>
      <c r="AI12" s="340" t="n">
        <v>1</v>
      </c>
      <c r="AJ12" s="340" t="inlineStr">
        <is>
          <t>Réparation RRT068182</t>
        </is>
      </c>
      <c r="AK12" s="347" t="n"/>
      <c r="AL12" s="340" t="n"/>
      <c r="AM12" s="347" t="n"/>
      <c r="AN12" s="350" t="n"/>
      <c r="AO12" s="347" t="n"/>
      <c r="AP12" s="340" t="inlineStr">
        <is>
          <t>L:\KL_CO\110_HYFR\AFFAIRES 2021\ROLLS ROYCE\Devis n° 4604A - Réparation Draining Tool</t>
        </is>
      </c>
      <c r="AQ12" s="347" t="n"/>
      <c r="AR12" s="313" t="n"/>
      <c r="AS12" s="347" t="n"/>
      <c r="AT12" s="736" t="n">
        <v>576</v>
      </c>
      <c r="AU12" s="736" t="n">
        <v>62.5</v>
      </c>
      <c r="AV12" s="731">
        <f>IF(AT12="","",S12-AT12-AU12)</f>
        <v/>
      </c>
      <c r="AW12" s="331">
        <f>IFERROR(IF(tbl_DCFC[[#This Row],[F Montant HT]]="","",tbl_DCFC[[#This Row],[Marge]]/tbl_DCFC[[#This Row],[F Montant HT]]),"")</f>
        <v/>
      </c>
    </row>
    <row r="13" ht="15" customHeight="1" s="701">
      <c r="A13" s="724" t="n"/>
      <c r="B13" s="347">
        <f>IFERROR(INDEX(Tabelle2[BU],MATCH(tbl_DCFC[[#This Row],[Categorie]],CAT,0)),"")</f>
        <v/>
      </c>
      <c r="C13" s="301" t="n"/>
      <c r="D13" s="724" t="n">
        <v>44365</v>
      </c>
      <c r="E13" s="314" t="n">
        <v>4605</v>
      </c>
      <c r="F13" s="301" t="inlineStr">
        <is>
          <t>A</t>
        </is>
      </c>
      <c r="G13" s="301" t="inlineStr">
        <is>
          <t>AIA</t>
        </is>
      </c>
      <c r="H13" s="301" t="n"/>
      <c r="I13" s="725" t="n">
        <v>48920</v>
      </c>
      <c r="J13" s="301" t="inlineStr">
        <is>
          <t>ABA</t>
        </is>
      </c>
      <c r="K13" s="301" t="inlineStr">
        <is>
          <t>GSE to AIA</t>
        </is>
      </c>
      <c r="L13" s="301" t="inlineStr">
        <is>
          <t>En Attente</t>
        </is>
      </c>
      <c r="M13" s="347" t="n"/>
      <c r="N13" s="350">
        <f>IF(Q13&lt;&gt;"","S"&amp;TEXT(WEEKNUM(Q13,21),"00"),"")</f>
        <v/>
      </c>
      <c r="O13" s="350">
        <f>IF(Data!$Q13="","",YEAR(Data!$Q13))</f>
        <v/>
      </c>
      <c r="P13" s="350">
        <f>IF(Data!$Q13="","",MONTH(Data!$Q13))</f>
        <v/>
      </c>
      <c r="Q13" s="310" t="n"/>
      <c r="R13" s="311" t="n"/>
      <c r="S13" s="732" t="n"/>
      <c r="T13" s="733" t="n"/>
      <c r="U13" s="734" t="n"/>
      <c r="V13" s="347" t="n"/>
      <c r="W13" s="310" t="n"/>
      <c r="X13" s="350">
        <f>IF(AC13&lt;&gt;"","S"&amp;TEXT(WEEKNUM(AC13,21),"00"),"")</f>
        <v/>
      </c>
      <c r="Y13" s="350">
        <f>IF(Data!$AC13="","",YEAR(Data!$AC13))</f>
        <v/>
      </c>
      <c r="Z13" s="350">
        <f>IF(Data!$AC13="","",MONTH(Data!$AC13))</f>
        <v/>
      </c>
      <c r="AA13" s="310" t="n"/>
      <c r="AB13" s="312" t="n"/>
      <c r="AC13" s="310" t="n"/>
      <c r="AD13" s="732" t="n"/>
      <c r="AE13" s="310" t="n"/>
      <c r="AF13" s="302" t="n"/>
      <c r="AH13" s="347" t="n"/>
      <c r="AI13" s="340" t="n">
        <v>8</v>
      </c>
      <c r="AJ13" s="340" t="inlineStr">
        <is>
          <t>Crics C130 - RC3515B5A0A03</t>
        </is>
      </c>
      <c r="AK13" s="347" t="n"/>
      <c r="AL13" s="340" t="n"/>
      <c r="AM13" s="347" t="n"/>
      <c r="AN13" s="350" t="n"/>
      <c r="AO13" s="347" t="n"/>
      <c r="AP13" s="340" t="inlineStr">
        <is>
          <t>L:\KL_CO\110_HYFR\AFFAIRES 2021\AIA\Devis n°4605A - DCE-REC8 LOT 1 - crics RC3515B5A0A03</t>
        </is>
      </c>
      <c r="AQ13" s="347" t="n"/>
      <c r="AR13" s="313" t="n"/>
      <c r="AS13" s="347" t="n"/>
      <c r="AT13" s="736" t="n"/>
      <c r="AU13" s="736" t="n"/>
      <c r="AV13" s="731">
        <f>IF(AT13="","",S13-AT13-AU13)</f>
        <v/>
      </c>
      <c r="AW13" s="331">
        <f>IFERROR(IF(tbl_DCFC[[#This Row],[F Montant HT]]="","",tbl_DCFC[[#This Row],[Marge]]/tbl_DCFC[[#This Row],[F Montant HT]]),"")</f>
        <v/>
      </c>
    </row>
    <row r="14" ht="15" customHeight="1" s="701">
      <c r="A14" s="724" t="n"/>
      <c r="B14" s="347">
        <f>IFERROR(INDEX(Tabelle2[BU],MATCH(tbl_DCFC[[#This Row],[Categorie]],CAT,0)),"")</f>
        <v/>
      </c>
      <c r="C14" s="301" t="n"/>
      <c r="D14" s="724" t="n">
        <v>44396</v>
      </c>
      <c r="E14" s="314" t="n">
        <v>4620</v>
      </c>
      <c r="F14" s="301" t="inlineStr">
        <is>
          <t>A</t>
        </is>
      </c>
      <c r="G14" s="301" t="inlineStr">
        <is>
          <t>KAWNEER</t>
        </is>
      </c>
      <c r="H14" s="301" t="n"/>
      <c r="I14" s="725" t="n">
        <v>492</v>
      </c>
      <c r="J14" s="301" t="inlineStr">
        <is>
          <t>ABA</t>
        </is>
      </c>
      <c r="K14" s="301" t="inlineStr">
        <is>
          <t>SERVICE OTHER AIA</t>
        </is>
      </c>
      <c r="L14" s="301" t="inlineStr">
        <is>
          <t>Accepté</t>
        </is>
      </c>
      <c r="M14" s="347" t="n"/>
      <c r="N14" s="301" t="n"/>
      <c r="O14" s="301">
        <f>IF(Data!$Q14="","",YEAR(Data!$Q14))</f>
        <v/>
      </c>
      <c r="P14" s="301">
        <f>IF(Data!$Q14="","",MONTH(Data!$Q14))</f>
        <v/>
      </c>
      <c r="Q14" s="320" t="n">
        <v>44473</v>
      </c>
      <c r="R14" s="321" t="inlineStr">
        <is>
          <t>2021-061</t>
        </is>
      </c>
      <c r="S14" s="737" t="n">
        <v>492</v>
      </c>
      <c r="T14" s="738" t="n"/>
      <c r="U14" s="739" t="n"/>
      <c r="V14" s="347" t="n"/>
      <c r="W14" s="310" t="n"/>
      <c r="X14" s="350">
        <f>IF(AC14&lt;&gt;"","S"&amp;TEXT(WEEKNUM(AC14,21),"00"),"")</f>
        <v/>
      </c>
      <c r="Y14" s="350">
        <f>IF(Data!$AC14="","",YEAR(Data!$AC14))</f>
        <v/>
      </c>
      <c r="Z14" s="350">
        <f>IF(Data!$AC14="","",MONTH(Data!$AC14))</f>
        <v/>
      </c>
      <c r="AA14" s="310" t="n"/>
      <c r="AB14" s="312" t="n"/>
      <c r="AC14" s="310" t="n"/>
      <c r="AD14" s="732" t="n"/>
      <c r="AE14" s="310" t="n">
        <v>44926</v>
      </c>
      <c r="AF14" s="302" t="n"/>
      <c r="AH14" s="347" t="n"/>
      <c r="AI14" s="315" t="n">
        <v>1</v>
      </c>
      <c r="AJ14" s="315" t="inlineStr">
        <is>
          <t>Réparation sur outil n°106</t>
        </is>
      </c>
      <c r="AK14" s="347" t="n"/>
      <c r="AL14" s="315" t="n"/>
      <c r="AM14" s="347" t="n"/>
      <c r="AN14" s="350" t="n"/>
      <c r="AO14" s="347" t="n"/>
      <c r="AP14" s="315" t="n"/>
      <c r="AQ14" s="347" t="n"/>
      <c r="AR14" s="317" t="n"/>
      <c r="AS14" s="347" t="n"/>
      <c r="AT14" s="740" t="n"/>
      <c r="AU14" s="740" t="n"/>
      <c r="AV14" s="731">
        <f>IF(AT14="","",S14-AT14-AU14)</f>
        <v/>
      </c>
      <c r="AW14" s="331">
        <f>IFERROR(IF(tbl_DCFC[[#This Row],[F Montant HT]]="","",tbl_DCFC[[#This Row],[Marge]]/tbl_DCFC[[#This Row],[F Montant HT]]),"")</f>
        <v/>
      </c>
    </row>
    <row r="15" ht="15" customHeight="1" s="701">
      <c r="A15" s="724" t="n"/>
      <c r="B15" s="347">
        <f>IFERROR(INDEX(Tabelle2[BU],MATCH(tbl_DCFC[[#This Row],[Categorie]],CAT,0)),"")</f>
        <v/>
      </c>
      <c r="C15" s="301" t="n"/>
      <c r="D15" s="724" t="n">
        <v>44404</v>
      </c>
      <c r="E15" s="314" t="n">
        <v>4623</v>
      </c>
      <c r="F15" s="301" t="inlineStr">
        <is>
          <t>A</t>
        </is>
      </c>
      <c r="G15" s="301" t="inlineStr">
        <is>
          <t>KAWNEER</t>
        </is>
      </c>
      <c r="H15" s="301" t="n"/>
      <c r="I15" s="725" t="n">
        <v>360.65</v>
      </c>
      <c r="J15" s="301" t="inlineStr">
        <is>
          <t>ABA</t>
        </is>
      </c>
      <c r="K15" s="301" t="inlineStr">
        <is>
          <t>SERVICE OTHER AIA</t>
        </is>
      </c>
      <c r="L15" s="301" t="inlineStr">
        <is>
          <t>Accepté</t>
        </is>
      </c>
      <c r="M15" s="347" t="n"/>
      <c r="N15" s="301" t="n"/>
      <c r="O15" s="301">
        <f>IF(Data!$Q15="","",YEAR(Data!$Q15))</f>
        <v/>
      </c>
      <c r="P15" s="301">
        <f>IF(Data!$Q15="","",MONTH(Data!$Q15))</f>
        <v/>
      </c>
      <c r="Q15" s="320" t="n">
        <v>44473</v>
      </c>
      <c r="R15" s="321" t="inlineStr">
        <is>
          <t>2021-065</t>
        </is>
      </c>
      <c r="S15" s="737" t="n">
        <v>361</v>
      </c>
      <c r="T15" s="738" t="n"/>
      <c r="U15" s="739" t="n"/>
      <c r="V15" s="347" t="n"/>
      <c r="W15" s="310" t="n"/>
      <c r="X15" s="350">
        <f>IF(AC15&lt;&gt;"","S"&amp;TEXT(WEEKNUM(AC15,21),"00"),"")</f>
        <v/>
      </c>
      <c r="Y15" s="350">
        <f>IF(Data!$AC15="","",YEAR(Data!$AC15))</f>
        <v/>
      </c>
      <c r="Z15" s="350">
        <f>IF(Data!$AC15="","",MONTH(Data!$AC15))</f>
        <v/>
      </c>
      <c r="AA15" s="310" t="n"/>
      <c r="AB15" s="312" t="n"/>
      <c r="AC15" s="310" t="n"/>
      <c r="AD15" s="732" t="n"/>
      <c r="AE15" s="310" t="n">
        <v>44926</v>
      </c>
      <c r="AF15" s="302" t="n"/>
      <c r="AH15" s="347" t="n"/>
      <c r="AI15" s="340" t="n">
        <v>1</v>
      </c>
      <c r="AJ15" s="340" t="inlineStr">
        <is>
          <t>Réparation sur outil n°125</t>
        </is>
      </c>
      <c r="AK15" s="347" t="n"/>
      <c r="AL15" s="340" t="n"/>
      <c r="AM15" s="347" t="n"/>
      <c r="AN15" s="350" t="n"/>
      <c r="AO15" s="347" t="n"/>
      <c r="AP15" s="340" t="n"/>
      <c r="AQ15" s="347" t="n"/>
      <c r="AR15" s="313" t="n"/>
      <c r="AS15" s="347" t="n"/>
      <c r="AT15" s="736" t="n"/>
      <c r="AU15" s="736" t="n"/>
      <c r="AV15" s="731">
        <f>IF(AT15="","",S15-AT15-AU15)</f>
        <v/>
      </c>
      <c r="AW15" s="331">
        <f>IFERROR(IF(tbl_DCFC[[#This Row],[F Montant HT]]="","",tbl_DCFC[[#This Row],[Marge]]/tbl_DCFC[[#This Row],[F Montant HT]]),"")</f>
        <v/>
      </c>
    </row>
    <row r="16" ht="15" customHeight="1" s="701">
      <c r="A16" s="724" t="n"/>
      <c r="B16" s="347">
        <f>IFERROR(INDEX(Tabelle2[BU],MATCH(tbl_DCFC[[#This Row],[Categorie]],CAT,0)),"")</f>
        <v/>
      </c>
      <c r="C16" s="301" t="n"/>
      <c r="D16" s="724" t="n">
        <v>44411</v>
      </c>
      <c r="E16" s="314" t="n">
        <v>4630</v>
      </c>
      <c r="F16" s="301" t="inlineStr">
        <is>
          <t>A</t>
        </is>
      </c>
      <c r="G16" s="301" t="inlineStr">
        <is>
          <t>VALLAIR</t>
        </is>
      </c>
      <c r="H16" s="301" t="n"/>
      <c r="I16" s="725" t="n"/>
      <c r="J16" s="301" t="inlineStr">
        <is>
          <t>ABA</t>
        </is>
      </c>
      <c r="K16" s="301" t="inlineStr">
        <is>
          <t>SERVICE OTHER AIA</t>
        </is>
      </c>
      <c r="L16" s="301" t="inlineStr">
        <is>
          <t>Annulé</t>
        </is>
      </c>
      <c r="M16" s="347" t="n"/>
      <c r="N16" s="350">
        <f>IF(Q16&lt;&gt;"","S"&amp;TEXT(WEEKNUM(Q16,21),"00"),"")</f>
        <v/>
      </c>
      <c r="O16" s="350">
        <f>IF(Data!$Q16="","",YEAR(Data!$Q16))</f>
        <v/>
      </c>
      <c r="P16" s="350">
        <f>IF(Data!$Q16="","",MONTH(Data!$Q16))</f>
        <v/>
      </c>
      <c r="Q16" s="310" t="n"/>
      <c r="R16" s="311" t="n"/>
      <c r="S16" s="732" t="n"/>
      <c r="T16" s="733" t="n"/>
      <c r="U16" s="734" t="n"/>
      <c r="V16" s="347" t="n"/>
      <c r="W16" s="310" t="n"/>
      <c r="X16" s="350">
        <f>IF(AC16&lt;&gt;"","S"&amp;TEXT(WEEKNUM(AC16,21),"00"),"")</f>
        <v/>
      </c>
      <c r="Y16" s="350">
        <f>IF(Data!$AC16="","",YEAR(Data!$AC16))</f>
        <v/>
      </c>
      <c r="Z16" s="350">
        <f>IF(Data!$AC16="","",MONTH(Data!$AC16))</f>
        <v/>
      </c>
      <c r="AA16" s="310" t="n"/>
      <c r="AB16" s="312" t="n"/>
      <c r="AC16" s="310" t="n"/>
      <c r="AD16" s="732" t="n"/>
      <c r="AE16" s="310" t="n"/>
      <c r="AF16" s="302" t="n"/>
      <c r="AH16" s="347" t="n"/>
      <c r="AI16" s="340" t="n">
        <v>3</v>
      </c>
      <c r="AJ16" s="340" t="inlineStr">
        <is>
          <t>Calibration palans et cric</t>
        </is>
      </c>
      <c r="AK16" s="347" t="n"/>
      <c r="AL16" s="340" t="inlineStr">
        <is>
          <t>Besoin plus d'actualité</t>
        </is>
      </c>
      <c r="AM16" s="347" t="n"/>
      <c r="AN16" s="350" t="n"/>
      <c r="AO16" s="347" t="n"/>
      <c r="AP16" s="340" t="inlineStr">
        <is>
          <t>L:\KL_CO\110_HYFR\AFFAIRES 2021\VALLAIR\Devis n°4630 - Calibration palans et cric TMH</t>
        </is>
      </c>
      <c r="AQ16" s="347" t="n"/>
      <c r="AR16" s="313" t="n"/>
      <c r="AS16" s="347" t="n"/>
      <c r="AT16" s="736" t="n"/>
      <c r="AU16" s="736" t="n"/>
      <c r="AV16" s="731">
        <f>IF(AT16="","",S16-AT16-AU16)</f>
        <v/>
      </c>
      <c r="AW16" s="331">
        <f>IFERROR(IF(tbl_DCFC[[#This Row],[F Montant HT]]="","",tbl_DCFC[[#This Row],[Marge]]/tbl_DCFC[[#This Row],[F Montant HT]]),"")</f>
        <v/>
      </c>
      <c r="AX16" t="n">
        <v>-7</v>
      </c>
      <c r="BA16" t="n">
        <v>-7</v>
      </c>
    </row>
    <row r="17" ht="15" customHeight="1" s="701">
      <c r="A17" s="724" t="n"/>
      <c r="B17" s="347">
        <f>IFERROR(INDEX(Tabelle2[BU],MATCH(tbl_DCFC[[#This Row],[Categorie]],CAT,0)),"")</f>
        <v/>
      </c>
      <c r="C17" s="301" t="n"/>
      <c r="D17" s="724" t="n">
        <v>44411</v>
      </c>
      <c r="E17" s="314" t="n">
        <v>4634</v>
      </c>
      <c r="F17" s="301" t="inlineStr">
        <is>
          <t>A</t>
        </is>
      </c>
      <c r="G17" s="301" t="inlineStr">
        <is>
          <t>BASE DE DEFENSE DE TOULON</t>
        </is>
      </c>
      <c r="H17" s="301" t="n"/>
      <c r="I17" s="725" t="n"/>
      <c r="J17" s="301" t="inlineStr">
        <is>
          <t>ABA</t>
        </is>
      </c>
      <c r="K17" s="301" t="inlineStr">
        <is>
          <t>SERVICE AIA</t>
        </is>
      </c>
      <c r="L17" s="301" t="inlineStr">
        <is>
          <t>En Attente</t>
        </is>
      </c>
      <c r="M17" s="347" t="n"/>
      <c r="N17" s="350">
        <f>IF(Q17&lt;&gt;"","S"&amp;TEXT(WEEKNUM(Q17,21),"00"),"")</f>
        <v/>
      </c>
      <c r="O17" s="350">
        <f>IF(Data!$Q17="","",YEAR(Data!$Q17))</f>
        <v/>
      </c>
      <c r="P17" s="350">
        <f>IF(Data!$Q17="","",MONTH(Data!$Q17))</f>
        <v/>
      </c>
      <c r="Q17" s="310" t="n"/>
      <c r="R17" s="311" t="n"/>
      <c r="S17" s="732" t="n"/>
      <c r="T17" s="733" t="n"/>
      <c r="U17" s="734" t="n"/>
      <c r="V17" s="347" t="n"/>
      <c r="W17" s="310" t="n"/>
      <c r="X17" s="350">
        <f>IF(AC17&lt;&gt;"","S"&amp;TEXT(WEEKNUM(AC17,21),"00"),"")</f>
        <v/>
      </c>
      <c r="Y17" s="350">
        <f>IF(Data!$AC17="","",YEAR(Data!$AC17))</f>
        <v/>
      </c>
      <c r="Z17" s="350">
        <f>IF(Data!$AC17="","",MONTH(Data!$AC17))</f>
        <v/>
      </c>
      <c r="AA17" s="310" t="n"/>
      <c r="AB17" s="312" t="n"/>
      <c r="AC17" s="310" t="n"/>
      <c r="AD17" s="732" t="n"/>
      <c r="AE17" s="310" t="n"/>
      <c r="AF17" s="302" t="n"/>
      <c r="AH17" s="347" t="n"/>
      <c r="AI17" s="340" t="n">
        <v>1</v>
      </c>
      <c r="AJ17" s="340" t="inlineStr">
        <is>
          <t>Vérification et maintenance d'appareils de levage</t>
        </is>
      </c>
      <c r="AK17" s="347" t="n"/>
      <c r="AL17" s="340" t="inlineStr">
        <is>
          <t>Phase de candidature remise</t>
        </is>
      </c>
      <c r="AM17" s="347" t="n"/>
      <c r="AN17" s="350" t="n"/>
      <c r="AO17" s="347" t="n"/>
      <c r="AP17" s="340" t="inlineStr">
        <is>
          <t>L:\KL_CO\110_HYFR\AFFAIRES 2021\BASE DE DEFENSE DE TOULON\Devis n°4634 - Vérification et maintenance des appareils de levage Toulon</t>
        </is>
      </c>
      <c r="AQ17" s="347" t="n"/>
      <c r="AR17" s="313" t="n"/>
      <c r="AS17" s="347" t="n"/>
      <c r="AT17" s="736" t="n"/>
      <c r="AU17" s="736" t="n"/>
      <c r="AV17" s="731">
        <f>IF(AT17="","",S17-AT17-AU17)</f>
        <v/>
      </c>
      <c r="AW17" s="331">
        <f>IFERROR(IF(tbl_DCFC[[#This Row],[F Montant HT]]="","",tbl_DCFC[[#This Row],[Marge]]/tbl_DCFC[[#This Row],[F Montant HT]]),"")</f>
        <v/>
      </c>
    </row>
    <row r="18" ht="15" customHeight="1" s="701">
      <c r="A18" s="724" t="n"/>
      <c r="B18" s="347">
        <f>IFERROR(INDEX(Tabelle2[BU],MATCH(tbl_DCFC[[#This Row],[Categorie]],CAT,0)),"")</f>
        <v/>
      </c>
      <c r="C18" s="301" t="n"/>
      <c r="D18" s="724" t="n">
        <v>44447</v>
      </c>
      <c r="E18" s="314" t="n">
        <v>4633</v>
      </c>
      <c r="F18" s="301" t="inlineStr">
        <is>
          <t>A</t>
        </is>
      </c>
      <c r="G18" s="301" t="inlineStr">
        <is>
          <t>LATECOERE</t>
        </is>
      </c>
      <c r="H18" s="301" t="n"/>
      <c r="I18" s="725" t="n">
        <v>1200</v>
      </c>
      <c r="J18" s="301" t="inlineStr">
        <is>
          <t>ABA</t>
        </is>
      </c>
      <c r="K18" s="301" t="inlineStr">
        <is>
          <t>SERVICE OTHER AIA</t>
        </is>
      </c>
      <c r="L18" s="301" t="inlineStr">
        <is>
          <t>Annulé</t>
        </is>
      </c>
      <c r="M18" s="347" t="n"/>
      <c r="N18" s="350">
        <f>IF(Q18&lt;&gt;"","S"&amp;TEXT(WEEKNUM(Q18,21),"00"),"")</f>
        <v/>
      </c>
      <c r="O18" s="350">
        <f>IF(Data!$Q18="","",YEAR(Data!$Q18))</f>
        <v/>
      </c>
      <c r="P18" s="350">
        <f>IF(Data!$Q18="","",MONTH(Data!$Q18))</f>
        <v/>
      </c>
      <c r="Q18" s="310" t="n"/>
      <c r="R18" s="311" t="n"/>
      <c r="S18" s="732" t="n"/>
      <c r="T18" s="733" t="n"/>
      <c r="U18" s="734" t="n"/>
      <c r="V18" s="347" t="n"/>
      <c r="W18" s="310" t="n"/>
      <c r="X18" s="350">
        <f>IF(AC18&lt;&gt;"","S"&amp;TEXT(WEEKNUM(AC18,21),"00"),"")</f>
        <v/>
      </c>
      <c r="Y18" s="350">
        <f>IF(Data!$AC18="","",YEAR(Data!$AC18))</f>
        <v/>
      </c>
      <c r="Z18" s="350">
        <f>IF(Data!$AC18="","",MONTH(Data!$AC18))</f>
        <v/>
      </c>
      <c r="AA18" s="310" t="n"/>
      <c r="AB18" s="312" t="n"/>
      <c r="AC18" s="310" t="n"/>
      <c r="AD18" s="732" t="n"/>
      <c r="AE18" s="310" t="n"/>
      <c r="AF18" s="302" t="n"/>
      <c r="AH18" s="347" t="n"/>
      <c r="AI18" s="315" t="n">
        <v>13</v>
      </c>
      <c r="AJ18" s="315" t="inlineStr">
        <is>
          <t>Réparation chariots</t>
        </is>
      </c>
      <c r="AK18" s="347" t="n"/>
      <c r="AL18" s="315" t="inlineStr">
        <is>
          <t>Plus besoin</t>
        </is>
      </c>
      <c r="AM18" s="347" t="n"/>
      <c r="AN18" s="350" t="n"/>
      <c r="AO18" s="347" t="n"/>
      <c r="AP18" s="315" t="inlineStr">
        <is>
          <t>L:\KL_CO\110_HYFR\AFFAIRES 2021\LATECOERE\Devis n°4633A - Réparation chariots (Qty 13)</t>
        </is>
      </c>
      <c r="AQ18" s="347" t="n"/>
      <c r="AR18" s="317" t="n"/>
      <c r="AS18" s="347" t="n"/>
      <c r="AT18" s="740" t="n"/>
      <c r="AU18" s="740" t="n"/>
      <c r="AV18" s="731">
        <f>IF(AT18="","",S18-AT18-AU18)</f>
        <v/>
      </c>
      <c r="AW18" s="331">
        <f>IFERROR(IF(tbl_DCFC[[#This Row],[F Montant HT]]="","",tbl_DCFC[[#This Row],[Marge]]/tbl_DCFC[[#This Row],[F Montant HT]]),"")</f>
        <v/>
      </c>
    </row>
    <row r="19" ht="15" customHeight="1" s="701">
      <c r="A19" s="724" t="n"/>
      <c r="B19" s="347">
        <f>IFERROR(INDEX(Tabelle2[BU],MATCH(tbl_DCFC[[#This Row],[Categorie]],CAT,0)),"")</f>
        <v/>
      </c>
      <c r="C19" s="301" t="n"/>
      <c r="D19" s="724" t="n">
        <v>44460</v>
      </c>
      <c r="E19" s="314" t="n">
        <v>4631</v>
      </c>
      <c r="F19" s="301" t="inlineStr">
        <is>
          <t>B</t>
        </is>
      </c>
      <c r="G19" s="301" t="inlineStr">
        <is>
          <t>VALLAIR</t>
        </is>
      </c>
      <c r="H19" s="301" t="n"/>
      <c r="I19" s="725" t="n">
        <v>7057</v>
      </c>
      <c r="J19" s="301" t="inlineStr">
        <is>
          <t>ABA</t>
        </is>
      </c>
      <c r="K19" s="301" t="inlineStr">
        <is>
          <t>SERVICE OTHER AIA</t>
        </is>
      </c>
      <c r="L19" s="301" t="inlineStr">
        <is>
          <t>Annulé</t>
        </is>
      </c>
      <c r="M19" s="347" t="n"/>
      <c r="N19" s="350">
        <f>IF(Q19&lt;&gt;"","S"&amp;TEXT(WEEKNUM(Q19,21),"00"),"")</f>
        <v/>
      </c>
      <c r="O19" s="350">
        <f>IF(Data!$Q19="","",YEAR(Data!$Q19))</f>
        <v/>
      </c>
      <c r="P19" s="350">
        <f>IF(Data!$Q19="","",MONTH(Data!$Q19))</f>
        <v/>
      </c>
      <c r="Q19" s="310" t="n"/>
      <c r="R19" s="311" t="n"/>
      <c r="S19" s="732" t="n"/>
      <c r="T19" s="733" t="n"/>
      <c r="U19" s="734" t="n"/>
      <c r="V19" s="347" t="n"/>
      <c r="W19" s="310" t="n"/>
      <c r="X19" s="350">
        <f>IF(AC19&lt;&gt;"","S"&amp;TEXT(WEEKNUM(AC19,21),"00"),"")</f>
        <v/>
      </c>
      <c r="Y19" s="350">
        <f>IF(Data!$AC19="","",YEAR(Data!$AC19))</f>
        <v/>
      </c>
      <c r="Z19" s="350">
        <f>IF(Data!$AC19="","",MONTH(Data!$AC19))</f>
        <v/>
      </c>
      <c r="AA19" s="310" t="n"/>
      <c r="AB19" s="312" t="n"/>
      <c r="AC19" s="310" t="n"/>
      <c r="AD19" s="732" t="n"/>
      <c r="AE19" s="310" t="n"/>
      <c r="AF19" s="302" t="n"/>
      <c r="AH19" s="347" t="n"/>
      <c r="AI19" s="315" t="n">
        <v>1</v>
      </c>
      <c r="AJ19" s="315" t="inlineStr">
        <is>
          <t>Remplacement pièces MLGTMULTI-1-AA + VGP</t>
        </is>
      </c>
      <c r="AK19" s="347" t="n"/>
      <c r="AL19" s="315" t="inlineStr">
        <is>
          <t>Relancé semaine 44</t>
        </is>
      </c>
      <c r="AM19" s="347" t="n"/>
      <c r="AN19" s="350" t="n"/>
      <c r="AO19" s="347" t="n"/>
      <c r="AP19" s="315" t="inlineStr">
        <is>
          <t>L:\KL_CO\110_HYFR\AFFAIRES 2021\VALLAIR\Devis N°4631 - Réparation et Recertification MLGTMULTI</t>
        </is>
      </c>
      <c r="AQ19" s="347" t="n"/>
      <c r="AR19" s="317" t="n"/>
      <c r="AS19" s="347" t="n"/>
      <c r="AT19" s="740" t="n"/>
      <c r="AU19" s="740" t="n"/>
      <c r="AV19" s="731">
        <f>IF(AT19="","",S19-AT19-AU19)</f>
        <v/>
      </c>
      <c r="AW19" s="331">
        <f>IFERROR(IF(tbl_DCFC[[#This Row],[F Montant HT]]="","",tbl_DCFC[[#This Row],[Marge]]/tbl_DCFC[[#This Row],[F Montant HT]]),"")</f>
        <v/>
      </c>
    </row>
    <row r="20" ht="15" customHeight="1" s="701">
      <c r="A20" s="724" t="n"/>
      <c r="B20" s="347">
        <f>IFERROR(INDEX(Tabelle2[BU],MATCH(tbl_DCFC[[#This Row],[Categorie]],CAT,0)),"")</f>
        <v/>
      </c>
      <c r="C20" s="301" t="n"/>
      <c r="D20" s="724" t="n">
        <v>44460</v>
      </c>
      <c r="E20" s="314" t="n">
        <v>4656</v>
      </c>
      <c r="F20" s="301" t="inlineStr">
        <is>
          <t>A</t>
        </is>
      </c>
      <c r="G20" s="301" t="inlineStr">
        <is>
          <t>ELECTROIMPACT</t>
        </is>
      </c>
      <c r="H20" s="301" t="n"/>
      <c r="I20" s="725" t="n">
        <v>6610</v>
      </c>
      <c r="J20" s="301" t="inlineStr">
        <is>
          <t>ABA</t>
        </is>
      </c>
      <c r="K20" s="301" t="inlineStr">
        <is>
          <t>FCP OTHER AIA</t>
        </is>
      </c>
      <c r="L20" s="301" t="inlineStr">
        <is>
          <t>Annulé</t>
        </is>
      </c>
      <c r="M20" s="347" t="n"/>
      <c r="N20" s="350">
        <f>IF(Q20&lt;&gt;"","S"&amp;TEXT(WEEKNUM(Q20,21),"00"),"")</f>
        <v/>
      </c>
      <c r="O20" s="350">
        <f>IF(Data!$Q20="","",YEAR(Data!$Q20))</f>
        <v/>
      </c>
      <c r="P20" s="350">
        <f>IF(Data!$Q20="","",MONTH(Data!$Q20))</f>
        <v/>
      </c>
      <c r="Q20" s="310" t="n"/>
      <c r="R20" s="311" t="n"/>
      <c r="S20" s="732" t="n"/>
      <c r="T20" s="733" t="n"/>
      <c r="U20" s="734" t="n"/>
      <c r="V20" s="347" t="n"/>
      <c r="W20" s="310" t="n"/>
      <c r="X20" s="350">
        <f>IF(AC20&lt;&gt;"","S"&amp;TEXT(WEEKNUM(AC20,21),"00"),"")</f>
        <v/>
      </c>
      <c r="Y20" s="350">
        <f>IF(Data!$AC20="","",YEAR(Data!$AC20))</f>
        <v/>
      </c>
      <c r="Z20" s="350">
        <f>IF(Data!$AC20="","",MONTH(Data!$AC20))</f>
        <v/>
      </c>
      <c r="AA20" s="310" t="n"/>
      <c r="AB20" s="312" t="n"/>
      <c r="AC20" s="310" t="n"/>
      <c r="AD20" s="732" t="n"/>
      <c r="AE20" s="310" t="n"/>
      <c r="AF20" s="302" t="n"/>
      <c r="AH20" s="347" t="n"/>
      <c r="AI20" s="340" t="n">
        <v>1</v>
      </c>
      <c r="AJ20" s="340" t="inlineStr">
        <is>
          <t>Fab chariot acier et bâti alu</t>
        </is>
      </c>
      <c r="AK20" s="347" t="n"/>
      <c r="AL20" s="340" t="inlineStr">
        <is>
          <t>150 € remise si livraison groupée</t>
        </is>
      </c>
      <c r="AM20" s="347" t="n"/>
      <c r="AN20" s="350" t="n"/>
      <c r="AO20" s="347" t="n"/>
      <c r="AP20" s="340" t="inlineStr">
        <is>
          <t>L:\KL_CO\110_HYFR\AFFAIRES 2021\ELECTROIMPACT\Devis n° 4656 - Fourniture de châssis suivant plans</t>
        </is>
      </c>
      <c r="AQ20" s="347" t="n"/>
      <c r="AR20" s="313" t="n"/>
      <c r="AS20" s="347" t="n"/>
      <c r="AT20" s="736" t="n"/>
      <c r="AU20" s="736" t="n"/>
      <c r="AV20" s="731">
        <f>IF(AT20="","",S20-AT20-AU20)</f>
        <v/>
      </c>
      <c r="AW20" s="331">
        <f>IFERROR(IF(tbl_DCFC[[#This Row],[F Montant HT]]="","",tbl_DCFC[[#This Row],[Marge]]/tbl_DCFC[[#This Row],[F Montant HT]]),"")</f>
        <v/>
      </c>
    </row>
    <row r="21" ht="15" customHeight="1" s="701">
      <c r="A21" s="724" t="n"/>
      <c r="B21" s="347">
        <f>IFERROR(INDEX(Tabelle2[BU],MATCH(tbl_DCFC[[#This Row],[Categorie]],CAT,0)),"")</f>
        <v/>
      </c>
      <c r="C21" s="301" t="n"/>
      <c r="D21" s="724" t="n">
        <v>44469</v>
      </c>
      <c r="E21" s="314" t="n">
        <v>4626</v>
      </c>
      <c r="F21" s="301" t="inlineStr">
        <is>
          <t>B</t>
        </is>
      </c>
      <c r="G21" s="301" t="inlineStr">
        <is>
          <t>BASE AERIENNE ISTRES</t>
        </is>
      </c>
      <c r="H21" s="301" t="n"/>
      <c r="I21" s="725" t="n">
        <v>2193</v>
      </c>
      <c r="J21" s="301" t="inlineStr">
        <is>
          <t>ABA</t>
        </is>
      </c>
      <c r="K21" s="301" t="inlineStr">
        <is>
          <t>SERVICE AIA</t>
        </is>
      </c>
      <c r="L21" s="301" t="inlineStr">
        <is>
          <t>En Attente</t>
        </is>
      </c>
      <c r="M21" s="347" t="n"/>
      <c r="N21" s="350">
        <f>IF(Q21&lt;&gt;"","S"&amp;TEXT(WEEKNUM(Q21,21),"00"),"")</f>
        <v/>
      </c>
      <c r="O21" s="350">
        <f>IF(Data!$Q21="","",YEAR(Data!$Q21))</f>
        <v/>
      </c>
      <c r="P21" s="350">
        <f>IF(Data!$Q21="","",MONTH(Data!$Q21))</f>
        <v/>
      </c>
      <c r="Q21" s="310" t="n"/>
      <c r="R21" s="311" t="n"/>
      <c r="S21" s="732" t="n"/>
      <c r="T21" s="733" t="n"/>
      <c r="U21" s="734" t="n"/>
      <c r="V21" s="347" t="n"/>
      <c r="W21" s="310" t="n"/>
      <c r="X21" s="350">
        <f>IF(AC21&lt;&gt;"","S"&amp;TEXT(WEEKNUM(AC21,21),"00"),"")</f>
        <v/>
      </c>
      <c r="Y21" s="350">
        <f>IF(Data!$AC21="","",YEAR(Data!$AC21))</f>
        <v/>
      </c>
      <c r="Z21" s="350">
        <f>IF(Data!$AC21="","",MONTH(Data!$AC21))</f>
        <v/>
      </c>
      <c r="AA21" s="310" t="n"/>
      <c r="AB21" s="312" t="n"/>
      <c r="AC21" s="310" t="n"/>
      <c r="AD21" s="732" t="n"/>
      <c r="AE21" s="310" t="n"/>
      <c r="AF21" s="302" t="n"/>
      <c r="AH21" s="347" t="n"/>
      <c r="AI21" s="315" t="n">
        <v>1</v>
      </c>
      <c r="AJ21" s="315" t="inlineStr">
        <is>
          <t>Inspection outillages LANGA (A330-92010-0001)</t>
        </is>
      </c>
      <c r="AK21" s="347" t="n"/>
      <c r="AL21" s="315" t="inlineStr">
        <is>
          <t>Devis transféré à la DMAé, en attente de retour (relancé sem47)</t>
        </is>
      </c>
      <c r="AM21" s="347" t="n"/>
      <c r="AN21" s="350" t="n"/>
      <c r="AO21" s="347" t="n"/>
      <c r="AP21" s="315" t="inlineStr">
        <is>
          <t>L:\KL_CO\110_HYFR\AFFAIRES 2021\BASE AERIENNE ISTRES\Devis n°4626A - Inspection outillage LANGA</t>
        </is>
      </c>
      <c r="AQ21" s="347" t="n"/>
      <c r="AR21" s="317" t="n"/>
      <c r="AS21" s="347" t="n"/>
      <c r="AT21" s="740" t="n"/>
      <c r="AU21" s="740" t="n"/>
      <c r="AV21" s="731">
        <f>IF(AT21="","",S21-AT21-AU21)</f>
        <v/>
      </c>
      <c r="AW21" s="331">
        <f>IFERROR(IF(tbl_DCFC[[#This Row],[F Montant HT]]="","",tbl_DCFC[[#This Row],[Marge]]/tbl_DCFC[[#This Row],[F Montant HT]]),"")</f>
        <v/>
      </c>
    </row>
    <row r="22" ht="15" customHeight="1" s="701">
      <c r="A22" s="724" t="n"/>
      <c r="B22" s="347">
        <f>IFERROR(INDEX(Tabelle2[BU],MATCH(tbl_DCFC[[#This Row],[Categorie]],CAT,0)),"")</f>
        <v/>
      </c>
      <c r="C22" s="301" t="n"/>
      <c r="D22" s="724" t="n">
        <v>44469</v>
      </c>
      <c r="E22" s="314" t="n">
        <v>4627</v>
      </c>
      <c r="F22" s="301" t="inlineStr">
        <is>
          <t>A</t>
        </is>
      </c>
      <c r="G22" s="301" t="inlineStr">
        <is>
          <t>BASE AERIENNE ISTRES</t>
        </is>
      </c>
      <c r="H22" s="301" t="n"/>
      <c r="I22" s="725" t="n">
        <v>2193</v>
      </c>
      <c r="J22" s="301" t="inlineStr">
        <is>
          <t>ABA</t>
        </is>
      </c>
      <c r="K22" s="301" t="inlineStr">
        <is>
          <t>SERVICE AIA</t>
        </is>
      </c>
      <c r="L22" s="301" t="inlineStr">
        <is>
          <t>En Attente</t>
        </is>
      </c>
      <c r="M22" s="347" t="n"/>
      <c r="N22" s="350">
        <f>IF(Q22&lt;&gt;"","S"&amp;TEXT(WEEKNUM(Q22,21),"00"),"")</f>
        <v/>
      </c>
      <c r="O22" s="350">
        <f>IF(Data!$Q22="","",YEAR(Data!$Q22))</f>
        <v/>
      </c>
      <c r="P22" s="350">
        <f>IF(Data!$Q22="","",MONTH(Data!$Q22))</f>
        <v/>
      </c>
      <c r="Q22" s="310" t="n"/>
      <c r="R22" s="311" t="n"/>
      <c r="S22" s="732" t="n"/>
      <c r="T22" s="733" t="n"/>
      <c r="U22" s="734" t="n"/>
      <c r="V22" s="347" t="n"/>
      <c r="W22" s="310" t="n"/>
      <c r="X22" s="350">
        <f>IF(AC22&lt;&gt;"","S"&amp;TEXT(WEEKNUM(AC22,21),"00"),"")</f>
        <v/>
      </c>
      <c r="Y22" s="350">
        <f>IF(Data!$AC22="","",YEAR(Data!$AC22))</f>
        <v/>
      </c>
      <c r="Z22" s="350">
        <f>IF(Data!$AC22="","",MONTH(Data!$AC22))</f>
        <v/>
      </c>
      <c r="AA22" s="310" t="n"/>
      <c r="AB22" s="312" t="n"/>
      <c r="AC22" s="310" t="n"/>
      <c r="AD22" s="732" t="n"/>
      <c r="AE22" s="310" t="n"/>
      <c r="AF22" s="302" t="n"/>
      <c r="AH22" s="347" t="n"/>
      <c r="AI22" s="340" t="n">
        <v>1</v>
      </c>
      <c r="AJ22" s="340" t="inlineStr">
        <is>
          <t>Maintenance annuelle palan AGSE</t>
        </is>
      </c>
      <c r="AK22" s="347" t="n"/>
      <c r="AL22" s="340" t="inlineStr">
        <is>
          <t>Devis transféré à la DMAé, en attente de retour (relancé sem47)</t>
        </is>
      </c>
      <c r="AM22" s="347" t="n"/>
      <c r="AN22" s="350" t="n"/>
      <c r="AO22" s="347" t="n"/>
      <c r="AP22" s="340" t="inlineStr">
        <is>
          <t>L:\KL_CO\110_HYFR\AFFAIRES 2021\BASE AERIENNE ISTRES\Devis n°4627A - Maintenance annuelle AGSE-Y002-G01</t>
        </is>
      </c>
      <c r="AQ22" s="347" t="n"/>
      <c r="AR22" s="313" t="n"/>
      <c r="AS22" s="347" t="n"/>
      <c r="AT22" s="736" t="n"/>
      <c r="AU22" s="736" t="n"/>
      <c r="AV22" s="731">
        <f>IF(AT22="","",S22-AT22-AU22)</f>
        <v/>
      </c>
      <c r="AW22" s="331">
        <f>IFERROR(IF(tbl_DCFC[[#This Row],[F Montant HT]]="","",tbl_DCFC[[#This Row],[Marge]]/tbl_DCFC[[#This Row],[F Montant HT]]),"")</f>
        <v/>
      </c>
    </row>
    <row r="23" ht="15" customHeight="1" s="701">
      <c r="A23" s="724" t="n"/>
      <c r="B23" s="347">
        <f>IFERROR(INDEX(Tabelle2[BU],MATCH(tbl_DCFC[[#This Row],[Categorie]],CAT,0)),"")</f>
        <v/>
      </c>
      <c r="C23" s="301" t="n"/>
      <c r="D23" s="724" t="n">
        <v>44477</v>
      </c>
      <c r="E23" s="314" t="n">
        <v>4663</v>
      </c>
      <c r="F23" s="301" t="inlineStr">
        <is>
          <t>A</t>
        </is>
      </c>
      <c r="G23" s="301" t="inlineStr">
        <is>
          <t>AIA BORDEAUX</t>
        </is>
      </c>
      <c r="H23" s="301" t="n"/>
      <c r="I23" s="725" t="n"/>
      <c r="J23" s="301" t="inlineStr">
        <is>
          <t>ASI</t>
        </is>
      </c>
      <c r="K23" s="301" t="inlineStr">
        <is>
          <t>FCP AIA</t>
        </is>
      </c>
      <c r="L23" s="301" t="inlineStr">
        <is>
          <t>Annulé</t>
        </is>
      </c>
      <c r="M23" s="347" t="n"/>
      <c r="N23" s="350">
        <f>IF(Q23&lt;&gt;"","S"&amp;TEXT(WEEKNUM(Q23,21),"00"),"")</f>
        <v/>
      </c>
      <c r="O23" s="350">
        <f>IF(Data!$Q23="","",YEAR(Data!$Q23))</f>
        <v/>
      </c>
      <c r="P23" s="350">
        <f>IF(Data!$Q23="","",MONTH(Data!$Q23))</f>
        <v/>
      </c>
      <c r="Q23" s="310" t="n"/>
      <c r="R23" s="311" t="n"/>
      <c r="S23" s="732" t="n"/>
      <c r="T23" s="733" t="n"/>
      <c r="U23" s="734" t="n"/>
      <c r="V23" s="347" t="n"/>
      <c r="W23" s="310" t="n"/>
      <c r="X23" s="350">
        <f>IF(AC23&lt;&gt;"","S"&amp;TEXT(WEEKNUM(AC23,21),"00"),"")</f>
        <v/>
      </c>
      <c r="Y23" s="350">
        <f>IF(Data!$AC23="","",YEAR(Data!$AC23))</f>
        <v/>
      </c>
      <c r="Z23" s="350">
        <f>IF(Data!$AC23="","",MONTH(Data!$AC23))</f>
        <v/>
      </c>
      <c r="AA23" s="310" t="n"/>
      <c r="AB23" s="312" t="n"/>
      <c r="AC23" s="310" t="n"/>
      <c r="AD23" s="732" t="n"/>
      <c r="AE23" s="310" t="n"/>
      <c r="AF23" s="302" t="n"/>
      <c r="AH23" s="347" t="n"/>
      <c r="AI23" s="315" t="n"/>
      <c r="AJ23" s="315" t="n"/>
      <c r="AK23" s="347" t="n"/>
      <c r="AL23" s="315" t="inlineStr">
        <is>
          <t>fournisseurs externes contactés (Blix)</t>
        </is>
      </c>
      <c r="AM23" s="347" t="n"/>
      <c r="AN23" s="350" t="n"/>
      <c r="AO23" s="347" t="n"/>
      <c r="AP23" s="315" t="inlineStr">
        <is>
          <t>L:\KL_CO\110_HYFR\AFFAIRES 2021\AIA BORDEAUX\Devis n°4663A - Fabrication caisses plastique</t>
        </is>
      </c>
      <c r="AQ23" s="347" t="n"/>
      <c r="AR23" s="317" t="n"/>
      <c r="AS23" s="347" t="n"/>
      <c r="AT23" s="740" t="n"/>
      <c r="AU23" s="740" t="n"/>
      <c r="AV23" s="731">
        <f>IF(AT23="","",S23-AT23-AU23)</f>
        <v/>
      </c>
      <c r="AW23" s="331">
        <f>IFERROR(IF(tbl_DCFC[[#This Row],[F Montant HT]]="","",tbl_DCFC[[#This Row],[Marge]]/tbl_DCFC[[#This Row],[F Montant HT]]),"")</f>
        <v/>
      </c>
    </row>
    <row r="24" ht="15" customHeight="1" s="701">
      <c r="A24" s="724" t="n"/>
      <c r="B24" s="347">
        <f>IFERROR(INDEX(Tabelle2[BU],MATCH(tbl_DCFC[[#This Row],[Categorie]],CAT,0)),"")</f>
        <v/>
      </c>
      <c r="C24" s="301" t="n"/>
      <c r="D24" s="724" t="n">
        <v>44480</v>
      </c>
      <c r="E24" s="314" t="n">
        <v>4666</v>
      </c>
      <c r="F24" s="301" t="inlineStr">
        <is>
          <t>A</t>
        </is>
      </c>
      <c r="G24" s="301" t="inlineStr">
        <is>
          <t>IGO</t>
        </is>
      </c>
      <c r="H24" s="301" t="n"/>
      <c r="I24" s="725" t="n"/>
      <c r="J24" s="301" t="inlineStr">
        <is>
          <t>ASI</t>
        </is>
      </c>
      <c r="K24" s="301" t="inlineStr">
        <is>
          <t>SERVICE OTHER AIA</t>
        </is>
      </c>
      <c r="L24" s="301" t="inlineStr">
        <is>
          <t>Accepté</t>
        </is>
      </c>
      <c r="M24" s="347" t="n"/>
      <c r="N24" s="350">
        <f>IF(Q24&lt;&gt;"","S"&amp;TEXT(WEEKNUM(Q24,21),"00"),"")</f>
        <v/>
      </c>
      <c r="O24" s="350">
        <f>IF(Data!$Q24="","",YEAR(Data!$Q24))</f>
        <v/>
      </c>
      <c r="P24" s="350">
        <f>IF(Data!$Q24="","",MONTH(Data!$Q24))</f>
        <v/>
      </c>
      <c r="Q24" s="310" t="n"/>
      <c r="R24" s="311" t="n"/>
      <c r="S24" s="732" t="n"/>
      <c r="T24" s="733" t="n"/>
      <c r="U24" s="734" t="n"/>
      <c r="V24" s="347" t="n"/>
      <c r="W24" s="310" t="n"/>
      <c r="X24" s="350">
        <f>IF(AC24&lt;&gt;"","S"&amp;TEXT(WEEKNUM(AC24,21),"00"),"")</f>
        <v/>
      </c>
      <c r="Y24" s="350">
        <f>IF(Data!$AC24="","",YEAR(Data!$AC24))</f>
        <v/>
      </c>
      <c r="Z24" s="350">
        <f>IF(Data!$AC24="","",MONTH(Data!$AC24))</f>
        <v/>
      </c>
      <c r="AA24" s="310" t="n"/>
      <c r="AB24" s="312" t="n"/>
      <c r="AC24" s="310" t="n"/>
      <c r="AD24" s="732" t="n"/>
      <c r="AE24" s="310" t="n"/>
      <c r="AF24" s="302" t="n"/>
      <c r="AH24" s="347" t="n"/>
      <c r="AI24" s="340" t="n">
        <v>1</v>
      </c>
      <c r="AJ24" s="340" t="inlineStr">
        <is>
          <t>Recertification FEN122A21</t>
        </is>
      </c>
      <c r="AK24" s="347" t="n"/>
      <c r="AL24" s="340" t="inlineStr">
        <is>
          <t>Attente réception moyen</t>
        </is>
      </c>
      <c r="AM24" s="347" t="n"/>
      <c r="AN24" s="350" t="n"/>
      <c r="AO24" s="347" t="n"/>
      <c r="AP24" s="340" t="inlineStr">
        <is>
          <t>L:\KL_CO\110_HYFR\AFFAIRES 2021\IGO\Devis n°4666 - Recertification FEN122A21</t>
        </is>
      </c>
      <c r="AQ24" s="347" t="n"/>
      <c r="AR24" s="313" t="n"/>
      <c r="AS24" s="347" t="n"/>
      <c r="AT24" s="736" t="n"/>
      <c r="AU24" s="736" t="n"/>
      <c r="AV24" s="731">
        <f>IF(AT24="","",S24-AT24-AU24)</f>
        <v/>
      </c>
      <c r="AW24" s="331">
        <f>IFERROR(IF(tbl_DCFC[[#This Row],[F Montant HT]]="","",tbl_DCFC[[#This Row],[Marge]]/tbl_DCFC[[#This Row],[F Montant HT]]),"")</f>
        <v/>
      </c>
    </row>
    <row r="25" ht="15" customHeight="1" s="701">
      <c r="A25" s="724" t="n"/>
      <c r="B25" s="347">
        <f>IFERROR(INDEX(Tabelle2[BU],MATCH(tbl_DCFC[[#This Row],[Categorie]],CAT,0)),"")</f>
        <v/>
      </c>
      <c r="C25" s="301" t="n"/>
      <c r="D25" s="724" t="n">
        <v>44483</v>
      </c>
      <c r="E25" s="314" t="n">
        <v>4668</v>
      </c>
      <c r="F25" s="301" t="inlineStr">
        <is>
          <t>A</t>
        </is>
      </c>
      <c r="G25" s="301" t="inlineStr">
        <is>
          <t>AIA</t>
        </is>
      </c>
      <c r="H25" s="301" t="n"/>
      <c r="I25" s="725" t="n">
        <v>3180</v>
      </c>
      <c r="J25" s="301" t="inlineStr">
        <is>
          <t>ABA</t>
        </is>
      </c>
      <c r="K25" s="301" t="inlineStr">
        <is>
          <t>SERVICE AIA</t>
        </is>
      </c>
      <c r="L25" s="301" t="inlineStr">
        <is>
          <t>Accepté</t>
        </is>
      </c>
      <c r="M25" s="347" t="n"/>
      <c r="N25" s="301" t="n"/>
      <c r="O25" s="301">
        <f>IF(Data!$Q25="","",YEAR(Data!$Q25))</f>
        <v/>
      </c>
      <c r="P25" s="301">
        <f>IF(Data!$Q25="","",MONTH(Data!$Q25))</f>
        <v/>
      </c>
      <c r="Q25" s="320" t="n">
        <v>44515</v>
      </c>
      <c r="R25" s="321" t="inlineStr">
        <is>
          <t>2021-098</t>
        </is>
      </c>
      <c r="S25" s="737" t="n">
        <v>3180</v>
      </c>
      <c r="T25" s="738" t="n"/>
      <c r="U25" s="739" t="n"/>
      <c r="V25" s="347" t="n"/>
      <c r="W25" s="310" t="n">
        <v>44516</v>
      </c>
      <c r="X25" s="350">
        <f>IF(AC25&lt;&gt;"","S"&amp;TEXT(WEEKNUM(AC25,21),"00"),"")</f>
        <v/>
      </c>
      <c r="Y25" s="350">
        <f>IF(Data!$AC25="","",YEAR(Data!$AC25))</f>
        <v/>
      </c>
      <c r="Z25" s="350">
        <f>IF(Data!$AC25="","",MONTH(Data!$AC25))</f>
        <v/>
      </c>
      <c r="AA25" s="310" t="n">
        <v>44571</v>
      </c>
      <c r="AB25" s="312" t="n">
        <v>5188</v>
      </c>
      <c r="AC25" s="310" t="n">
        <v>44574</v>
      </c>
      <c r="AD25" s="732" t="n">
        <v>3180</v>
      </c>
      <c r="AE25" s="310" t="n">
        <v>44609</v>
      </c>
      <c r="AF25" s="302" t="n"/>
      <c r="AH25" s="347" t="n"/>
      <c r="AI25" s="340" t="n">
        <v>6</v>
      </c>
      <c r="AJ25" s="340" t="inlineStr">
        <is>
          <t>Vérification crics et vérins</t>
        </is>
      </c>
      <c r="AK25" s="347" t="n"/>
      <c r="AL25" s="340" t="inlineStr">
        <is>
          <t>Noria n°5 remise en service</t>
        </is>
      </c>
      <c r="AM25" s="347" t="n"/>
      <c r="AN25" s="350" t="n"/>
      <c r="AO25" s="347" t="n"/>
      <c r="AP25" s="340" t="inlineStr">
        <is>
          <t>L:\KL_CO\110_HYFR\AFFAIRES 2021\AIA CF\Devis n°4668 - Maintenance Noria n°5</t>
        </is>
      </c>
      <c r="AQ25" s="347" t="n"/>
      <c r="AR25" s="313" t="n"/>
      <c r="AS25" s="347" t="n"/>
      <c r="AT25" s="736" t="n">
        <v>1000</v>
      </c>
      <c r="AU25" s="736" t="n">
        <v>1437</v>
      </c>
      <c r="AV25" s="731">
        <f>IF(AT25="","",S25-AT25-AU25)</f>
        <v/>
      </c>
      <c r="AW25" s="331">
        <f>IFERROR(IF(tbl_DCFC[[#This Row],[F Montant HT]]="","",tbl_DCFC[[#This Row],[Marge]]/tbl_DCFC[[#This Row],[F Montant HT]]),"")</f>
        <v/>
      </c>
    </row>
    <row r="26" ht="15" customHeight="1" s="701">
      <c r="A26" s="724" t="n"/>
      <c r="B26" s="347">
        <f>IFERROR(INDEX(Tabelle2[BU],MATCH(tbl_DCFC[[#This Row],[Categorie]],CAT,0)),"")</f>
        <v/>
      </c>
      <c r="C26" s="301" t="n"/>
      <c r="D26" s="724" t="n">
        <v>44488</v>
      </c>
      <c r="E26" s="314" t="n">
        <v>4670</v>
      </c>
      <c r="F26" s="301" t="inlineStr">
        <is>
          <t>A</t>
        </is>
      </c>
      <c r="G26" s="301" t="inlineStr">
        <is>
          <t>HYDRO SYSTEMS KG</t>
        </is>
      </c>
      <c r="H26" s="301" t="n"/>
      <c r="I26" s="725" t="n">
        <v>5515</v>
      </c>
      <c r="J26" s="301" t="inlineStr">
        <is>
          <t>ABA+ASI</t>
        </is>
      </c>
      <c r="K26" s="301" t="inlineStr">
        <is>
          <t>TRADING OTHER AIA</t>
        </is>
      </c>
      <c r="L26" s="301" t="inlineStr">
        <is>
          <t>En Attente</t>
        </is>
      </c>
      <c r="M26" s="347" t="n"/>
      <c r="N26" s="350">
        <f>IF(Q26&lt;&gt;"","S"&amp;TEXT(WEEKNUM(Q26,21),"00"),"")</f>
        <v/>
      </c>
      <c r="O26" s="350">
        <f>IF(Data!$Q26="","",YEAR(Data!$Q26))</f>
        <v/>
      </c>
      <c r="P26" s="350">
        <f>IF(Data!$Q26="","",MONTH(Data!$Q26))</f>
        <v/>
      </c>
      <c r="Q26" s="310" t="n"/>
      <c r="R26" s="311" t="n"/>
      <c r="S26" s="732" t="n"/>
      <c r="T26" s="733" t="n"/>
      <c r="U26" s="734" t="n"/>
      <c r="V26" s="347" t="n"/>
      <c r="W26" s="310" t="n"/>
      <c r="X26" s="350">
        <f>IF(AC26&lt;&gt;"","S"&amp;TEXT(WEEKNUM(AC26,21),"00"),"")</f>
        <v/>
      </c>
      <c r="Y26" s="350">
        <f>IF(Data!$AC26="","",YEAR(Data!$AC26))</f>
        <v/>
      </c>
      <c r="Z26" s="350">
        <f>IF(Data!$AC26="","",MONTH(Data!$AC26))</f>
        <v/>
      </c>
      <c r="AA26" s="310" t="n"/>
      <c r="AB26" s="312" t="n"/>
      <c r="AC26" s="310" t="n"/>
      <c r="AD26" s="732" t="n"/>
      <c r="AE26" s="310" t="n"/>
      <c r="AF26" s="302" t="n"/>
      <c r="AH26" s="347" t="n"/>
      <c r="AI26" s="315" t="n">
        <v>1</v>
      </c>
      <c r="AJ26" s="315" t="inlineStr">
        <is>
          <t>Stockage container MERO</t>
        </is>
      </c>
      <c r="AK26" s="347" t="n"/>
      <c r="AL26" s="315" t="n"/>
      <c r="AM26" s="347" t="n"/>
      <c r="AN26" s="350" t="n"/>
      <c r="AO26" s="347" t="n"/>
      <c r="AP26" s="315" t="n"/>
      <c r="AQ26" s="347" t="n"/>
      <c r="AR26" s="317" t="n"/>
      <c r="AS26" s="347" t="n"/>
      <c r="AT26" s="740" t="n"/>
      <c r="AU26" s="740" t="n"/>
      <c r="AV26" s="731">
        <f>IF(AT26="","",S26-AT26-AU26)</f>
        <v/>
      </c>
      <c r="AW26" s="331">
        <f>IFERROR(IF(tbl_DCFC[[#This Row],[F Montant HT]]="","",tbl_DCFC[[#This Row],[Marge]]/tbl_DCFC[[#This Row],[F Montant HT]]),"")</f>
        <v/>
      </c>
    </row>
    <row r="27" ht="15" customHeight="1" s="701">
      <c r="A27" s="724" t="n"/>
      <c r="B27" s="347">
        <f>IFERROR(INDEX(Tabelle2[BU],MATCH(tbl_DCFC[[#This Row],[Categorie]],CAT,0)),"")</f>
        <v/>
      </c>
      <c r="C27" s="301" t="n"/>
      <c r="D27" s="724" t="n">
        <v>44489</v>
      </c>
      <c r="E27" s="314" t="n">
        <v>4671</v>
      </c>
      <c r="F27" s="301" t="inlineStr">
        <is>
          <t>A</t>
        </is>
      </c>
      <c r="G27" s="301" t="inlineStr">
        <is>
          <t>AIA</t>
        </is>
      </c>
      <c r="H27" s="301" t="n"/>
      <c r="I27" s="725" t="n"/>
      <c r="J27" s="301" t="inlineStr">
        <is>
          <t>ABA</t>
        </is>
      </c>
      <c r="K27" s="301" t="inlineStr">
        <is>
          <t>TRADING AIA</t>
        </is>
      </c>
      <c r="L27" s="301" t="inlineStr">
        <is>
          <t>Annulé</t>
        </is>
      </c>
      <c r="M27" s="347" t="n"/>
      <c r="N27" s="350">
        <f>IF(Q27&lt;&gt;"","S"&amp;TEXT(WEEKNUM(Q27,21),"00"),"")</f>
        <v/>
      </c>
      <c r="O27" s="350">
        <f>IF(Data!$Q27="","",YEAR(Data!$Q27))</f>
        <v/>
      </c>
      <c r="P27" s="350">
        <f>IF(Data!$Q27="","",MONTH(Data!$Q27))</f>
        <v/>
      </c>
      <c r="Q27" s="310" t="n"/>
      <c r="R27" s="311" t="n"/>
      <c r="S27" s="732" t="n"/>
      <c r="T27" s="733" t="n"/>
      <c r="U27" s="734" t="n"/>
      <c r="V27" s="347" t="n"/>
      <c r="W27" s="310" t="n"/>
      <c r="X27" s="350">
        <f>IF(AC27&lt;&gt;"","S"&amp;TEXT(WEEKNUM(AC27,21),"00"),"")</f>
        <v/>
      </c>
      <c r="Y27" s="350">
        <f>IF(Data!$AC27="","",YEAR(Data!$AC27))</f>
        <v/>
      </c>
      <c r="Z27" s="350">
        <f>IF(Data!$AC27="","",MONTH(Data!$AC27))</f>
        <v/>
      </c>
      <c r="AA27" s="310" t="n"/>
      <c r="AB27" s="312" t="n"/>
      <c r="AC27" s="310" t="n"/>
      <c r="AD27" s="732" t="n"/>
      <c r="AE27" s="310" t="n"/>
      <c r="AF27" s="302" t="n"/>
      <c r="AH27" s="347" t="n"/>
      <c r="AI27" s="340" t="n">
        <v>1</v>
      </c>
      <c r="AJ27" s="340" t="inlineStr">
        <is>
          <t>Fourniture d'outillages et de moyens d'accès pour C130</t>
        </is>
      </c>
      <c r="AK27" s="347" t="n"/>
      <c r="AL27" s="340" t="inlineStr">
        <is>
          <t>Attente retour fournisseurs - Remise de l'offre 15/11 - Déclaré sans suite le 18/02/2022</t>
        </is>
      </c>
      <c r="AM27" s="347" t="n"/>
      <c r="AN27" s="350" t="n"/>
      <c r="AO27" s="347" t="n"/>
      <c r="AP27" s="340" t="inlineStr">
        <is>
          <t>L:\KL_CO\110_HYFR\AFFAIRES 2021\AIA CF\Devis n°4671A - DCE_Rec9_lot 1 - Fourniture d'outillages pour C130</t>
        </is>
      </c>
      <c r="AQ27" s="347" t="n"/>
      <c r="AR27" s="313" t="n"/>
      <c r="AS27" s="347" t="n"/>
      <c r="AT27" s="736" t="n"/>
      <c r="AU27" s="736" t="n"/>
      <c r="AV27" s="731">
        <f>IF(AT27="","",S27-AT27-AU27)</f>
        <v/>
      </c>
      <c r="AW27" s="331">
        <f>IFERROR(IF(tbl_DCFC[[#This Row],[F Montant HT]]="","",tbl_DCFC[[#This Row],[Marge]]/tbl_DCFC[[#This Row],[F Montant HT]]),"")</f>
        <v/>
      </c>
    </row>
    <row r="28" ht="13.5" customHeight="1" s="701">
      <c r="A28" s="724" t="n"/>
      <c r="B28" s="347">
        <f>IFERROR(INDEX(Tabelle2[BU],MATCH(tbl_DCFC[[#This Row],[Categorie]],CAT,0)),"")</f>
        <v/>
      </c>
      <c r="C28" s="301" t="n"/>
      <c r="D28" s="724" t="n">
        <v>44489</v>
      </c>
      <c r="E28" s="314" t="n">
        <v>4673</v>
      </c>
      <c r="F28" s="301" t="inlineStr">
        <is>
          <t>A</t>
        </is>
      </c>
      <c r="G28" s="301" t="inlineStr">
        <is>
          <t>AIA</t>
        </is>
      </c>
      <c r="H28" s="301" t="n"/>
      <c r="I28" s="725" t="n">
        <v>8579</v>
      </c>
      <c r="J28" s="301" t="inlineStr">
        <is>
          <t>ABA</t>
        </is>
      </c>
      <c r="K28" s="301" t="inlineStr">
        <is>
          <t>ENGINEERING AIA</t>
        </is>
      </c>
      <c r="L28" s="301" t="inlineStr">
        <is>
          <t>Accepté</t>
        </is>
      </c>
      <c r="M28" s="347" t="n"/>
      <c r="N28" s="350">
        <f>IF(Q28&lt;&gt;"","S"&amp;TEXT(WEEKNUM(Q28,21),"00"),"")</f>
        <v/>
      </c>
      <c r="O28" s="350">
        <f>IF(Data!$Q28="","",YEAR(Data!$Q28))</f>
        <v/>
      </c>
      <c r="P28" s="350">
        <f>IF(Data!$Q28="","",MONTH(Data!$Q28))</f>
        <v/>
      </c>
      <c r="Q28" s="310" t="n">
        <v>44614</v>
      </c>
      <c r="R28" s="311" t="inlineStr">
        <is>
          <t>2022-023</t>
        </is>
      </c>
      <c r="S28" s="732" t="n">
        <v>8579</v>
      </c>
      <c r="T28" s="733" t="n"/>
      <c r="U28" s="734" t="n"/>
      <c r="V28" s="347" t="n"/>
      <c r="W28" s="310" t="n"/>
      <c r="X28" s="350">
        <f>IF(AC28&lt;&gt;"","S"&amp;TEXT(WEEKNUM(AC28,21),"00"),"")</f>
        <v/>
      </c>
      <c r="Y28" s="350">
        <f>IF(Data!$AC28="","",YEAR(Data!$AC28))</f>
        <v/>
      </c>
      <c r="Z28" s="350">
        <f>IF(Data!$AC28="","",MONTH(Data!$AC28))</f>
        <v/>
      </c>
      <c r="AA28" s="310" t="n">
        <v>44642</v>
      </c>
      <c r="AB28" s="312" t="n">
        <v>5216</v>
      </c>
      <c r="AC28" s="310" t="n">
        <v>44642</v>
      </c>
      <c r="AD28" s="732" t="n">
        <v>8579</v>
      </c>
      <c r="AE28" s="310" t="n">
        <v>44642</v>
      </c>
      <c r="AF28" s="302" t="n"/>
      <c r="AH28" s="347" t="n"/>
      <c r="AI28" s="340" t="n">
        <v>1</v>
      </c>
      <c r="AJ28" s="340" t="inlineStr">
        <is>
          <t>Conception d'un chariot ATL2</t>
        </is>
      </c>
      <c r="AK28" s="347" t="n"/>
      <c r="AL28" s="340" t="n"/>
      <c r="AM28" s="347" t="n"/>
      <c r="AN28" s="350" t="n"/>
      <c r="AO28" s="347" t="n"/>
      <c r="AP28" s="340" t="inlineStr">
        <is>
          <t>L:\KL_CO\110_HYFR\AFFAIRES 2021\AIA CF\Devis n°4673 -  réf. 4172117 - Conception et réalisation chariots ATL2</t>
        </is>
      </c>
      <c r="AQ28" s="347" t="n"/>
      <c r="AR28" s="313" t="n"/>
      <c r="AS28" s="347" t="n"/>
      <c r="AT28" s="736" t="n"/>
      <c r="AU28" s="736" t="n"/>
      <c r="AV28" s="731">
        <f>IF(AT28="","",S28-AT28-AU28)</f>
        <v/>
      </c>
      <c r="AW28" s="331">
        <f>IFERROR(IF(tbl_DCFC[[#This Row],[F Montant HT]]="","",tbl_DCFC[[#This Row],[Marge]]/tbl_DCFC[[#This Row],[F Montant HT]]),"")</f>
        <v/>
      </c>
    </row>
    <row r="29" ht="15" customHeight="1" s="701">
      <c r="A29" s="724" t="n"/>
      <c r="B29" s="347">
        <f>IFERROR(INDEX(Tabelle2[BU],MATCH(tbl_DCFC[[#This Row],[Categorie]],CAT,0)),"")</f>
        <v/>
      </c>
      <c r="C29" s="301" t="n"/>
      <c r="D29" s="724" t="n">
        <v>44489</v>
      </c>
      <c r="E29" s="314" t="n">
        <v>4674</v>
      </c>
      <c r="F29" s="301" t="inlineStr">
        <is>
          <t>A</t>
        </is>
      </c>
      <c r="G29" s="301" t="inlineStr">
        <is>
          <t>AIA</t>
        </is>
      </c>
      <c r="H29" s="301" t="n"/>
      <c r="I29" s="725" t="n"/>
      <c r="J29" s="301" t="inlineStr">
        <is>
          <t>ABA</t>
        </is>
      </c>
      <c r="K29" s="301" t="inlineStr">
        <is>
          <t>FCP AIA</t>
        </is>
      </c>
      <c r="L29" s="301" t="inlineStr">
        <is>
          <t>Annulé</t>
        </is>
      </c>
      <c r="M29" s="347" t="n"/>
      <c r="N29" s="350">
        <f>IF(Q29&lt;&gt;"","S"&amp;TEXT(WEEKNUM(Q29,21),"00"),"")</f>
        <v/>
      </c>
      <c r="O29" s="350">
        <f>IF(Data!$Q29="","",YEAR(Data!$Q29))</f>
        <v/>
      </c>
      <c r="P29" s="350">
        <f>IF(Data!$Q29="","",MONTH(Data!$Q29))</f>
        <v/>
      </c>
      <c r="Q29" s="310" t="n"/>
      <c r="R29" s="311" t="n"/>
      <c r="S29" s="732" t="n"/>
      <c r="T29" s="733" t="n"/>
      <c r="U29" s="734" t="n"/>
      <c r="V29" s="347" t="n"/>
      <c r="W29" s="310" t="n"/>
      <c r="X29" s="350">
        <f>IF(AC29&lt;&gt;"","S"&amp;TEXT(WEEKNUM(AC29,21),"00"),"")</f>
        <v/>
      </c>
      <c r="Y29" s="350">
        <f>IF(Data!$AC29="","",YEAR(Data!$AC29))</f>
        <v/>
      </c>
      <c r="Z29" s="350">
        <f>IF(Data!$AC29="","",MONTH(Data!$AC29))</f>
        <v/>
      </c>
      <c r="AA29" s="310" t="n"/>
      <c r="AB29" s="312" t="n"/>
      <c r="AC29" s="310" t="n"/>
      <c r="AD29" s="732" t="n"/>
      <c r="AE29" s="310" t="n"/>
      <c r="AF29" s="302" t="n"/>
      <c r="AH29" s="347" t="n"/>
      <c r="AI29" s="315" t="n">
        <v>6</v>
      </c>
      <c r="AJ29" s="315" t="inlineStr">
        <is>
          <t>Confection caissons</t>
        </is>
      </c>
      <c r="AK29" s="347" t="n"/>
      <c r="AL29" s="315" t="inlineStr">
        <is>
          <t>Remise de l'offre 16/11</t>
        </is>
      </c>
      <c r="AM29" s="347" t="n"/>
      <c r="AN29" s="350" t="n"/>
      <c r="AO29" s="347" t="n"/>
      <c r="AP29" s="315" t="inlineStr">
        <is>
          <t>L:\KL_CO\110_HYFR\AFFAIRES 2021\AIA CF\Devis n°4674 - réf. 417216 - Confection de caissons</t>
        </is>
      </c>
      <c r="AQ29" s="347" t="n"/>
      <c r="AR29" s="317" t="n"/>
      <c r="AS29" s="347" t="n"/>
      <c r="AT29" s="740" t="n"/>
      <c r="AU29" s="740" t="n"/>
      <c r="AV29" s="731">
        <f>IF(AT29="","",S29-AT29-AU29)</f>
        <v/>
      </c>
      <c r="AW29" s="331">
        <f>IFERROR(IF(tbl_DCFC[[#This Row],[F Montant HT]]="","",tbl_DCFC[[#This Row],[Marge]]/tbl_DCFC[[#This Row],[F Montant HT]]),"")</f>
        <v/>
      </c>
    </row>
    <row r="30" ht="15" customHeight="1" s="701">
      <c r="A30" s="742" t="n"/>
      <c r="B30" s="347">
        <f>IFERROR(INDEX(Tabelle2[BU],MATCH(tbl_DCFC[[#This Row],[Categorie]],CAT,0)),"")</f>
        <v/>
      </c>
      <c r="C30" s="307" t="n"/>
      <c r="D30" s="742" t="n">
        <v>44508</v>
      </c>
      <c r="E30" s="341" t="n">
        <v>4677</v>
      </c>
      <c r="F30" s="307" t="inlineStr">
        <is>
          <t>A</t>
        </is>
      </c>
      <c r="G30" s="307" t="inlineStr">
        <is>
          <t>AIRBUS OPERATIONS</t>
        </is>
      </c>
      <c r="H30" s="307" t="n"/>
      <c r="I30" s="743" t="n">
        <v>2400</v>
      </c>
      <c r="J30" s="307" t="inlineStr">
        <is>
          <t>ASI</t>
        </is>
      </c>
      <c r="K30" s="307" t="inlineStr">
        <is>
          <t>SERVICE OTHER AIA</t>
        </is>
      </c>
      <c r="L30" s="307" t="inlineStr">
        <is>
          <t>Accepté</t>
        </is>
      </c>
      <c r="M30" s="347" t="n"/>
      <c r="N30" s="301" t="n"/>
      <c r="O30" s="301">
        <f>IF(Data!$Q30="","",YEAR(Data!$Q30))</f>
        <v/>
      </c>
      <c r="P30" s="301">
        <f>IF(Data!$Q30="","",MONTH(Data!$Q30))</f>
        <v/>
      </c>
      <c r="Q30" s="320" t="n">
        <v>44529</v>
      </c>
      <c r="R30" s="321" t="inlineStr">
        <is>
          <t>2021-101</t>
        </is>
      </c>
      <c r="S30" s="737" t="n">
        <v>2400</v>
      </c>
      <c r="T30" s="738" t="n"/>
      <c r="U30" s="739" t="n"/>
      <c r="V30" s="347" t="n"/>
      <c r="W30" s="310" t="n"/>
      <c r="X30" s="350">
        <f>IF(AC30&lt;&gt;"","S"&amp;TEXT(WEEKNUM(AC30,21),"00"),"")</f>
        <v/>
      </c>
      <c r="Y30" s="350">
        <f>IF(Data!$AC30="","",YEAR(Data!$AC30))</f>
        <v/>
      </c>
      <c r="Z30" s="350">
        <f>IF(Data!$AC30="","",MONTH(Data!$AC30))</f>
        <v/>
      </c>
      <c r="AA30" s="310" t="n"/>
      <c r="AB30" s="312" t="n"/>
      <c r="AC30" s="310" t="n"/>
      <c r="AD30" s="732" t="n"/>
      <c r="AE30" s="310" t="n">
        <v>44926</v>
      </c>
      <c r="AF30" s="302" t="n"/>
      <c r="AH30" s="347" t="n"/>
      <c r="AI30" s="315" t="n">
        <v>1</v>
      </c>
      <c r="AJ30" s="315" t="inlineStr">
        <is>
          <t>Intervention sur TTR correction hauteur enrouleurs</t>
        </is>
      </c>
      <c r="AK30" s="347" t="n"/>
      <c r="AL30" s="315" t="n"/>
      <c r="AM30" s="347" t="n"/>
      <c r="AN30" s="350" t="n"/>
      <c r="AO30" s="347" t="n"/>
      <c r="AP30" s="315" t="inlineStr">
        <is>
          <t>L:\KL_CO\110_HYFR\AFFAIRES 2021\AIRBUS OPERATIONS SAS\Devis n°4677A - Guide Câble TTRs M67</t>
        </is>
      </c>
      <c r="AQ30" s="347" t="n"/>
      <c r="AR30" s="317" t="n"/>
      <c r="AS30" s="347" t="n"/>
      <c r="AT30" s="740" t="n"/>
      <c r="AU30" s="740" t="n"/>
      <c r="AV30" s="731">
        <f>IF(AT30="","",S30-AT30-AU30)</f>
        <v/>
      </c>
      <c r="AW30" s="331">
        <f>IFERROR(IF(tbl_DCFC[[#This Row],[F Montant HT]]="","",tbl_DCFC[[#This Row],[Marge]]/tbl_DCFC[[#This Row],[F Montant HT]]),"")</f>
        <v/>
      </c>
    </row>
    <row r="31" ht="15" customHeight="1" s="701">
      <c r="A31" s="724" t="n"/>
      <c r="B31" s="347">
        <f>IFERROR(INDEX(Tabelle2[BU],MATCH(tbl_DCFC[[#This Row],[Categorie]],CAT,0)),"")</f>
        <v/>
      </c>
      <c r="C31" s="301" t="n"/>
      <c r="D31" s="724" t="n">
        <v>44509</v>
      </c>
      <c r="E31" s="314" t="n">
        <v>4678</v>
      </c>
      <c r="F31" s="301" t="inlineStr">
        <is>
          <t>A</t>
        </is>
      </c>
      <c r="G31" s="301" t="inlineStr">
        <is>
          <t>HYDRO SYSTEMS KG</t>
        </is>
      </c>
      <c r="H31" s="301" t="n"/>
      <c r="I31" s="725" t="n">
        <v>4425</v>
      </c>
      <c r="J31" s="301" t="inlineStr">
        <is>
          <t>ABA+ASI</t>
        </is>
      </c>
      <c r="K31" s="301" t="inlineStr">
        <is>
          <t>TRADING OTHER AIA</t>
        </is>
      </c>
      <c r="L31" s="301" t="inlineStr">
        <is>
          <t>Accepté</t>
        </is>
      </c>
      <c r="M31" s="347" t="n"/>
      <c r="N31" s="301" t="n"/>
      <c r="O31" s="301">
        <f>IF(Data!$Q31="","",YEAR(Data!$Q31))</f>
        <v/>
      </c>
      <c r="P31" s="301">
        <f>IF(Data!$Q31="","",MONTH(Data!$Q31))</f>
        <v/>
      </c>
      <c r="Q31" s="320" t="n">
        <v>44537</v>
      </c>
      <c r="R31" s="321" t="inlineStr">
        <is>
          <t>2021-104</t>
        </is>
      </c>
      <c r="S31" s="737" t="n">
        <v>4425</v>
      </c>
      <c r="T31" s="738" t="n"/>
      <c r="U31" s="739" t="n"/>
      <c r="V31" s="347" t="n"/>
      <c r="W31" s="310" t="n"/>
      <c r="X31" s="350">
        <f>IF(AC31&lt;&gt;"","S"&amp;TEXT(WEEKNUM(AC31,21),"00"),"")</f>
        <v/>
      </c>
      <c r="Y31" s="350">
        <f>IF(Data!$AC31="","",YEAR(Data!$AC31))</f>
        <v/>
      </c>
      <c r="Z31" s="350">
        <f>IF(Data!$AC31="","",MONTH(Data!$AC31))</f>
        <v/>
      </c>
      <c r="AA31" s="310" t="n">
        <v>44607</v>
      </c>
      <c r="AB31" s="312" t="n">
        <v>5203</v>
      </c>
      <c r="AC31" s="310" t="n">
        <v>44607</v>
      </c>
      <c r="AD31" s="732" t="n">
        <v>4425</v>
      </c>
      <c r="AE31" s="310" t="n">
        <v>44610</v>
      </c>
      <c r="AF31" s="302" t="n"/>
      <c r="AH31" s="347" t="n"/>
      <c r="AI31" s="340" t="n">
        <v>1</v>
      </c>
      <c r="AJ31" s="340" t="inlineStr">
        <is>
          <t>Devis lot spares</t>
        </is>
      </c>
      <c r="AK31" s="347" t="n"/>
      <c r="AL31" s="340" t="n"/>
      <c r="AM31" s="347" t="n"/>
      <c r="AN31" s="350" t="n"/>
      <c r="AO31" s="347" t="n"/>
      <c r="AP31" s="340" t="inlineStr">
        <is>
          <t>L:\KL_CO\110_HYFR\AFFAIRES 2021\HYDRO KG\Devis n°4678A - Fourniture oil reservoir</t>
        </is>
      </c>
      <c r="AQ31" s="347" t="n"/>
      <c r="AR31" s="313" t="n"/>
      <c r="AS31" s="347" t="n"/>
      <c r="AT31" s="736" t="n">
        <v>3277.5</v>
      </c>
      <c r="AU31" s="736" t="n"/>
      <c r="AV31" s="731">
        <f>IF(AT31="","",S31-AT31-AU31)</f>
        <v/>
      </c>
      <c r="AW31" s="331">
        <f>IFERROR(IF(tbl_DCFC[[#This Row],[F Montant HT]]="","",tbl_DCFC[[#This Row],[Marge]]/tbl_DCFC[[#This Row],[F Montant HT]]),"")</f>
        <v/>
      </c>
    </row>
    <row r="32" ht="15" customHeight="1" s="701">
      <c r="A32" s="724" t="n"/>
      <c r="B32" s="347">
        <f>IFERROR(INDEX(Tabelle2[BU],MATCH(tbl_DCFC[[#This Row],[Categorie]],CAT,0)),"")</f>
        <v/>
      </c>
      <c r="C32" s="301" t="n"/>
      <c r="D32" s="724" t="n">
        <v>44509</v>
      </c>
      <c r="E32" s="314" t="n">
        <v>4679</v>
      </c>
      <c r="F32" s="301" t="inlineStr">
        <is>
          <t>A</t>
        </is>
      </c>
      <c r="G32" s="301" t="inlineStr">
        <is>
          <t>HYDRO SYSTEMS KG</t>
        </is>
      </c>
      <c r="H32" s="301" t="n"/>
      <c r="I32" s="725" t="n"/>
      <c r="J32" s="301" t="inlineStr">
        <is>
          <t>ABA+ASI</t>
        </is>
      </c>
      <c r="K32" s="301" t="inlineStr">
        <is>
          <t>TRADING OTHER AIA</t>
        </is>
      </c>
      <c r="L32" s="301" t="inlineStr">
        <is>
          <t>Annulé</t>
        </is>
      </c>
      <c r="M32" s="347" t="n"/>
      <c r="N32" s="350">
        <f>IF(Q32&lt;&gt;"","S"&amp;TEXT(WEEKNUM(Q32,21),"00"),"")</f>
        <v/>
      </c>
      <c r="O32" s="350">
        <f>IF(Data!$Q32="","",YEAR(Data!$Q32))</f>
        <v/>
      </c>
      <c r="P32" s="350">
        <f>IF(Data!$Q32="","",MONTH(Data!$Q32))</f>
        <v/>
      </c>
      <c r="Q32" s="310" t="n"/>
      <c r="R32" s="311" t="n"/>
      <c r="S32" s="732" t="n"/>
      <c r="T32" s="733" t="n"/>
      <c r="U32" s="734" t="n"/>
      <c r="V32" s="347" t="n"/>
      <c r="W32" s="310" t="n"/>
      <c r="X32" s="350">
        <f>IF(AC32&lt;&gt;"","S"&amp;TEXT(WEEKNUM(AC32,21),"00"),"")</f>
        <v/>
      </c>
      <c r="Y32" s="350">
        <f>IF(Data!$AC32="","",YEAR(Data!$AC32))</f>
        <v/>
      </c>
      <c r="Z32" s="350">
        <f>IF(Data!$AC32="","",MONTH(Data!$AC32))</f>
        <v/>
      </c>
      <c r="AA32" s="310" t="n"/>
      <c r="AB32" s="312" t="n"/>
      <c r="AC32" s="310" t="n"/>
      <c r="AD32" s="732" t="n"/>
      <c r="AE32" s="310" t="n"/>
      <c r="AF32" s="302" t="n"/>
      <c r="AH32" s="347" t="n"/>
      <c r="AI32" s="315" t="n">
        <v>1</v>
      </c>
      <c r="AJ32" s="315" t="inlineStr">
        <is>
          <t>Devis lot spares</t>
        </is>
      </c>
      <c r="AK32" s="347" t="n"/>
      <c r="AL32" s="315" t="n"/>
      <c r="AM32" s="347" t="n"/>
      <c r="AN32" s="350" t="n"/>
      <c r="AO32" s="347" t="n"/>
      <c r="AP32" s="315" t="inlineStr">
        <is>
          <t>L:\KL_CO\110_HYFR\AFFAIRES 2021\HYDRO KG\Devis n°4679A - manille lyre</t>
        </is>
      </c>
      <c r="AQ32" s="347" t="n"/>
      <c r="AR32" s="317" t="n"/>
      <c r="AS32" s="347" t="n"/>
      <c r="AT32" s="740" t="n"/>
      <c r="AU32" s="740" t="n"/>
      <c r="AV32" s="731">
        <f>IF(AT32="","",S32-AT32-AU32)</f>
        <v/>
      </c>
      <c r="AW32" s="331">
        <f>IFERROR(IF(tbl_DCFC[[#This Row],[F Montant HT]]="","",tbl_DCFC[[#This Row],[Marge]]/tbl_DCFC[[#This Row],[F Montant HT]]),"")</f>
        <v/>
      </c>
    </row>
    <row r="33" ht="15" customHeight="1" s="701">
      <c r="A33" s="724" t="n"/>
      <c r="B33" s="347">
        <f>IFERROR(INDEX(Tabelle2[BU],MATCH(tbl_DCFC[[#This Row],[Categorie]],CAT,0)),"")</f>
        <v/>
      </c>
      <c r="C33" s="301" t="n"/>
      <c r="D33" s="724" t="n">
        <v>44515</v>
      </c>
      <c r="E33" s="314" t="n">
        <v>4681</v>
      </c>
      <c r="F33" s="301" t="inlineStr">
        <is>
          <t>A</t>
        </is>
      </c>
      <c r="G33" s="301" t="inlineStr">
        <is>
          <t>COLLINS AEROSPACE</t>
        </is>
      </c>
      <c r="H33" s="301" t="n"/>
      <c r="I33" s="725" t="n"/>
      <c r="J33" s="301" t="inlineStr">
        <is>
          <t>ABA</t>
        </is>
      </c>
      <c r="K33" s="301" t="inlineStr">
        <is>
          <t>TRADING OTHER AIA</t>
        </is>
      </c>
      <c r="L33" s="301" t="inlineStr">
        <is>
          <t>Annulé</t>
        </is>
      </c>
      <c r="M33" s="347" t="n"/>
      <c r="N33" s="350">
        <f>IF(Q33&lt;&gt;"","S"&amp;TEXT(WEEKNUM(Q33,21),"00"),"")</f>
        <v/>
      </c>
      <c r="O33" s="350">
        <f>IF(Data!$Q33="","",YEAR(Data!$Q33))</f>
        <v/>
      </c>
      <c r="P33" s="350">
        <f>IF(Data!$Q33="","",MONTH(Data!$Q33))</f>
        <v/>
      </c>
      <c r="Q33" s="310" t="n"/>
      <c r="R33" s="311" t="n"/>
      <c r="S33" s="732" t="n"/>
      <c r="T33" s="733" t="n"/>
      <c r="U33" s="734" t="n"/>
      <c r="V33" s="347" t="n"/>
      <c r="W33" s="310" t="n"/>
      <c r="X33" s="350">
        <f>IF(AC33&lt;&gt;"","S"&amp;TEXT(WEEKNUM(AC33,21),"00"),"")</f>
        <v/>
      </c>
      <c r="Y33" s="350">
        <f>IF(Data!$AC33="","",YEAR(Data!$AC33))</f>
        <v/>
      </c>
      <c r="Z33" s="350">
        <f>IF(Data!$AC33="","",MONTH(Data!$AC33))</f>
        <v/>
      </c>
      <c r="AA33" s="310" t="n"/>
      <c r="AB33" s="312" t="n"/>
      <c r="AC33" s="310" t="n"/>
      <c r="AD33" s="732" t="n"/>
      <c r="AE33" s="310" t="n"/>
      <c r="AF33" s="302" t="n"/>
      <c r="AH33" s="347" t="n"/>
      <c r="AI33" s="340" t="n">
        <v>1</v>
      </c>
      <c r="AJ33" s="340" t="inlineStr">
        <is>
          <t xml:space="preserve">Lot de Balls Transfer </t>
        </is>
      </c>
      <c r="AK33" s="347" t="n"/>
      <c r="AL33" s="340" t="inlineStr">
        <is>
          <t>Attente chiffrage HYKG</t>
        </is>
      </c>
      <c r="AM33" s="347" t="n"/>
      <c r="AN33" s="350" t="n"/>
      <c r="AO33" s="347" t="n"/>
      <c r="AP33" s="340" t="inlineStr">
        <is>
          <t>L:\KL_CO\110_HYFR\AFFAIRES 2021\COLLINS\Devis n°4681 - Marquage au sol pedestal A350</t>
        </is>
      </c>
      <c r="AQ33" s="347" t="n"/>
      <c r="AR33" s="313" t="n"/>
      <c r="AS33" s="347" t="n"/>
      <c r="AT33" s="736" t="n"/>
      <c r="AU33" s="736" t="n"/>
      <c r="AV33" s="731">
        <f>IF(AT33="","",S33-AT33-AU33)</f>
        <v/>
      </c>
      <c r="AW33" s="331">
        <f>IFERROR(IF(tbl_DCFC[[#This Row],[F Montant HT]]="","",tbl_DCFC[[#This Row],[Marge]]/tbl_DCFC[[#This Row],[F Montant HT]]),"")</f>
        <v/>
      </c>
    </row>
    <row r="34" ht="15" customHeight="1" s="701">
      <c r="A34" s="724" t="n"/>
      <c r="B34" s="347">
        <f>IFERROR(INDEX(Tabelle2[BU],MATCH(tbl_DCFC[[#This Row],[Categorie]],CAT,0)),"")</f>
        <v/>
      </c>
      <c r="C34" s="301" t="n"/>
      <c r="D34" s="724" t="n">
        <v>44516</v>
      </c>
      <c r="E34" s="314" t="n">
        <v>4683</v>
      </c>
      <c r="F34" s="301" t="inlineStr">
        <is>
          <t>A</t>
        </is>
      </c>
      <c r="G34" s="301" t="inlineStr">
        <is>
          <t>AIA</t>
        </is>
      </c>
      <c r="H34" s="301" t="n"/>
      <c r="I34" s="725" t="n">
        <v>3460</v>
      </c>
      <c r="J34" s="301" t="inlineStr">
        <is>
          <t>ABA</t>
        </is>
      </c>
      <c r="K34" s="301" t="inlineStr">
        <is>
          <t>SERVICE AIA</t>
        </is>
      </c>
      <c r="L34" s="301" t="inlineStr">
        <is>
          <t>Accepté</t>
        </is>
      </c>
      <c r="M34" s="347" t="n"/>
      <c r="N34" s="301" t="n"/>
      <c r="O34" s="301">
        <f>IF(Data!$Q34="","",YEAR(Data!$Q34))</f>
        <v/>
      </c>
      <c r="P34" s="301">
        <f>IF(Data!$Q34="","",MONTH(Data!$Q34))</f>
        <v/>
      </c>
      <c r="Q34" s="320" t="n">
        <v>44538</v>
      </c>
      <c r="R34" s="321" t="inlineStr">
        <is>
          <t>2021-106</t>
        </is>
      </c>
      <c r="S34" s="737" t="n">
        <v>3460</v>
      </c>
      <c r="T34" s="738" t="n"/>
      <c r="U34" s="739" t="n"/>
      <c r="V34" s="347" t="n"/>
      <c r="W34" s="310" t="n">
        <v>44538</v>
      </c>
      <c r="X34" s="350">
        <f>IF(AC34&lt;&gt;"","S"&amp;TEXT(WEEKNUM(AC34,21),"00"),"")</f>
        <v/>
      </c>
      <c r="Y34" s="350">
        <f>IF(Data!$AC34="","",YEAR(Data!$AC34))</f>
        <v/>
      </c>
      <c r="Z34" s="350">
        <f>IF(Data!$AC34="","",MONTH(Data!$AC34))</f>
        <v/>
      </c>
      <c r="AA34" s="310" t="n">
        <v>44599</v>
      </c>
      <c r="AB34" s="312" t="n">
        <v>5199</v>
      </c>
      <c r="AC34" s="310" t="n">
        <v>44601</v>
      </c>
      <c r="AD34" s="732" t="n">
        <v>3460</v>
      </c>
      <c r="AE34" s="310" t="n">
        <v>44600</v>
      </c>
      <c r="AF34" s="302" t="n"/>
      <c r="AH34" s="347" t="n"/>
      <c r="AI34" s="340" t="n">
        <v>6</v>
      </c>
      <c r="AJ34" s="340" t="inlineStr">
        <is>
          <t>Remise en service crics et vérins</t>
        </is>
      </c>
      <c r="AK34" s="347" t="n"/>
      <c r="AL34" s="340" t="inlineStr">
        <is>
          <t>Noria n°6 remise en service</t>
        </is>
      </c>
      <c r="AM34" s="347" t="n"/>
      <c r="AN34" s="350" t="n"/>
      <c r="AO34" s="347" t="n"/>
      <c r="AP34" s="340" t="inlineStr">
        <is>
          <t>\\HY07\Public\KL_CO\110_HYFR\AFFAIRES 2021\AIA CF\Devis n°4683 - Maintenance Noria n°6</t>
        </is>
      </c>
      <c r="AQ34" s="347" t="n"/>
      <c r="AR34" s="313" t="n"/>
      <c r="AS34" s="347" t="n"/>
      <c r="AT34" s="736" t="n"/>
      <c r="AU34" s="736" t="n"/>
      <c r="AV34" s="731">
        <f>IF(AT34="","",S34-AT34-AU34)</f>
        <v/>
      </c>
      <c r="AW34" s="331">
        <f>IFERROR(IF(tbl_DCFC[[#This Row],[F Montant HT]]="","",tbl_DCFC[[#This Row],[Marge]]/tbl_DCFC[[#This Row],[F Montant HT]]),"")</f>
        <v/>
      </c>
    </row>
    <row r="35" ht="15" customHeight="1" s="701">
      <c r="A35" s="724" t="n"/>
      <c r="B35" s="347">
        <f>IFERROR(INDEX(Tabelle2[BU],MATCH(tbl_DCFC[[#This Row],[Categorie]],CAT,0)),"")</f>
        <v/>
      </c>
      <c r="C35" s="301" t="n"/>
      <c r="D35" s="724" t="n">
        <v>44516</v>
      </c>
      <c r="E35" s="314" t="n">
        <v>4684</v>
      </c>
      <c r="F35" s="301" t="inlineStr">
        <is>
          <t>A</t>
        </is>
      </c>
      <c r="G35" s="301" t="inlineStr">
        <is>
          <t>AIA</t>
        </is>
      </c>
      <c r="H35" s="301" t="n"/>
      <c r="I35" s="725" t="n">
        <v>7200</v>
      </c>
      <c r="J35" s="301" t="inlineStr">
        <is>
          <t>ABA</t>
        </is>
      </c>
      <c r="K35" s="301" t="inlineStr">
        <is>
          <t>SERVICE AIA</t>
        </is>
      </c>
      <c r="L35" s="301" t="inlineStr">
        <is>
          <t>Accepté</t>
        </is>
      </c>
      <c r="M35" s="347" t="n"/>
      <c r="N35" s="350">
        <f>IF(Q35&lt;&gt;"","S"&amp;TEXT(WEEKNUM(Q35,21),"00"),"")</f>
        <v/>
      </c>
      <c r="O35" s="350">
        <f>IF(Data!$Q35="","",YEAR(Data!$Q35))</f>
        <v/>
      </c>
      <c r="P35" s="350">
        <f>IF(Data!$Q35="","",MONTH(Data!$Q35))</f>
        <v/>
      </c>
      <c r="Q35" s="310" t="n">
        <v>44571</v>
      </c>
      <c r="R35" s="311" t="inlineStr">
        <is>
          <t>2022-003</t>
        </is>
      </c>
      <c r="S35" s="732" t="n">
        <v>7200</v>
      </c>
      <c r="T35" s="733" t="n"/>
      <c r="U35" s="734" t="n"/>
      <c r="V35" s="347" t="n"/>
      <c r="W35" s="310" t="n">
        <v>44538</v>
      </c>
      <c r="X35" s="350">
        <f>IF(AC35&lt;&gt;"","S"&amp;TEXT(WEEKNUM(AC35,21),"00"),"")</f>
        <v/>
      </c>
      <c r="Y35" s="350">
        <f>IF(Data!$AC35="","",YEAR(Data!$AC35))</f>
        <v/>
      </c>
      <c r="Z35" s="350">
        <f>IF(Data!$AC35="","",MONTH(Data!$AC35))</f>
        <v/>
      </c>
      <c r="AA35" s="310" t="n">
        <v>44599</v>
      </c>
      <c r="AB35" s="312" t="n">
        <v>5202</v>
      </c>
      <c r="AC35" s="310" t="n">
        <v>44602</v>
      </c>
      <c r="AD35" s="732" t="n">
        <v>7200</v>
      </c>
      <c r="AE35" s="310" t="inlineStr">
        <is>
          <t>29/02</t>
        </is>
      </c>
      <c r="AF35" s="302" t="n"/>
      <c r="AH35" s="347" t="n"/>
      <c r="AI35" s="315" t="n">
        <v>6</v>
      </c>
      <c r="AJ35" s="315" t="inlineStr">
        <is>
          <t>Maintenance curative crics et vérins</t>
        </is>
      </c>
      <c r="AK35" s="347" t="n"/>
      <c r="AL35" s="315" t="inlineStr">
        <is>
          <t>Noria n°6 maintenance curative devis à remettre le 21/12</t>
        </is>
      </c>
      <c r="AM35" s="347" t="n"/>
      <c r="AN35" s="350" t="n"/>
      <c r="AO35" s="347" t="n"/>
      <c r="AP35" s="340" t="inlineStr">
        <is>
          <t>\\HY07\Public\KL_CO\110_HYFR\AFFAIRES 2021\AIA CF\Devis n°4684 - Curatif Noria n°6</t>
        </is>
      </c>
      <c r="AQ35" s="347" t="n"/>
      <c r="AR35" s="317" t="n"/>
      <c r="AS35" s="347" t="n"/>
      <c r="AT35" s="740" t="n"/>
      <c r="AU35" s="740" t="n">
        <v>550</v>
      </c>
      <c r="AV35" s="731">
        <f>IF(AT35="","",S35-AT35-AU35)</f>
        <v/>
      </c>
      <c r="AW35" s="331">
        <f>IFERROR(IF(tbl_DCFC[[#This Row],[F Montant HT]]="","",tbl_DCFC[[#This Row],[Marge]]/tbl_DCFC[[#This Row],[F Montant HT]]),"")</f>
        <v/>
      </c>
    </row>
    <row r="36" ht="15" customHeight="1" s="701">
      <c r="A36" s="724" t="n"/>
      <c r="B36" s="347">
        <f>IFERROR(INDEX(Tabelle2[BU],MATCH(tbl_DCFC[[#This Row],[Categorie]],CAT,0)),"")</f>
        <v/>
      </c>
      <c r="C36" s="301" t="n"/>
      <c r="D36" s="724" t="n">
        <v>44516</v>
      </c>
      <c r="E36" s="314" t="n">
        <v>4685</v>
      </c>
      <c r="F36" s="301" t="inlineStr">
        <is>
          <t>A</t>
        </is>
      </c>
      <c r="G36" s="301" t="inlineStr">
        <is>
          <t>AIA</t>
        </is>
      </c>
      <c r="H36" s="301" t="n"/>
      <c r="I36" s="725" t="n">
        <v>2650</v>
      </c>
      <c r="J36" s="301" t="inlineStr">
        <is>
          <t>ABA</t>
        </is>
      </c>
      <c r="K36" s="301" t="inlineStr">
        <is>
          <t>SERVICE AIA</t>
        </is>
      </c>
      <c r="L36" s="301" t="inlineStr">
        <is>
          <t>Accepté</t>
        </is>
      </c>
      <c r="M36" s="347" t="n"/>
      <c r="N36" s="350">
        <f>IF(Q36&lt;&gt;"","S"&amp;TEXT(WEEKNUM(Q36,21),"00"),"")</f>
        <v/>
      </c>
      <c r="O36" s="350">
        <f>IF(Data!$Q36="","",YEAR(Data!$Q36))</f>
        <v/>
      </c>
      <c r="P36" s="350">
        <f>IF(Data!$Q36="","",MONTH(Data!$Q36))</f>
        <v/>
      </c>
      <c r="Q36" s="310" t="n">
        <v>44575</v>
      </c>
      <c r="R36" s="311" t="inlineStr">
        <is>
          <t>2022-006</t>
        </is>
      </c>
      <c r="S36" s="732" t="n">
        <v>2650</v>
      </c>
      <c r="T36" s="733" t="n"/>
      <c r="U36" s="734" t="n"/>
      <c r="V36" s="347" t="n"/>
      <c r="W36" s="310" t="n"/>
      <c r="X36" s="350">
        <f>IF(AC36&lt;&gt;"","S"&amp;TEXT(WEEKNUM(AC36,21),"00"),"")</f>
        <v/>
      </c>
      <c r="Y36" s="350">
        <f>IF(Data!$AC36="","",YEAR(Data!$AC36))</f>
        <v/>
      </c>
      <c r="Z36" s="350">
        <f>IF(Data!$AC36="","",MONTH(Data!$AC36))</f>
        <v/>
      </c>
      <c r="AA36" s="310" t="n">
        <v>44622</v>
      </c>
      <c r="AB36" s="312" t="n">
        <v>5210</v>
      </c>
      <c r="AC36" s="310" t="n">
        <v>44622</v>
      </c>
      <c r="AD36" s="732" t="n">
        <v>2650</v>
      </c>
      <c r="AE36" s="310" t="n">
        <v>44644</v>
      </c>
      <c r="AF36" s="302" t="n"/>
      <c r="AH36" s="347" t="n"/>
      <c r="AI36" s="340" t="n">
        <v>5</v>
      </c>
      <c r="AJ36" s="340" t="inlineStr">
        <is>
          <t>Remise en service crics et vérins</t>
        </is>
      </c>
      <c r="AK36" s="347" t="n"/>
      <c r="AL36" s="340" t="inlineStr">
        <is>
          <t>Noria n°6 (anciennement n°7) remise en service - 2ème partie</t>
        </is>
      </c>
      <c r="AM36" s="347" t="n"/>
      <c r="AN36" s="350" t="n"/>
      <c r="AO36" s="347" t="n"/>
      <c r="AP36" t="inlineStr">
        <is>
          <t>\\HY07\Public\KL_CO\110_HYFR\AFFAIRES 2021\AIA CF\Devis n°4685 - Maintenance Noria n°6</t>
        </is>
      </c>
      <c r="AQ36" s="347" t="n"/>
      <c r="AR36" s="313" t="n"/>
      <c r="AS36" s="347" t="n"/>
      <c r="AT36" s="736" t="n">
        <v>1548.5</v>
      </c>
      <c r="AU36" s="736" t="n">
        <v>1125.9</v>
      </c>
      <c r="AV36" s="731">
        <f>IF(AT36="","",S36-AT36-AU36)</f>
        <v/>
      </c>
      <c r="AW36" s="331">
        <f>IFERROR(IF(tbl_DCFC[[#This Row],[F Montant HT]]="","",tbl_DCFC[[#This Row],[Marge]]/tbl_DCFC[[#This Row],[F Montant HT]]),"")</f>
        <v/>
      </c>
    </row>
    <row r="37" ht="15" customHeight="1" s="701">
      <c r="A37" s="724" t="n"/>
      <c r="B37" s="347">
        <f>IFERROR(INDEX(Tabelle2[BU],MATCH(tbl_DCFC[[#This Row],[Categorie]],CAT,0)),"")</f>
        <v/>
      </c>
      <c r="C37" s="301" t="n"/>
      <c r="D37" s="724" t="n">
        <v>44516</v>
      </c>
      <c r="E37" s="314" t="n">
        <v>4686</v>
      </c>
      <c r="F37" s="301" t="inlineStr">
        <is>
          <t>A</t>
        </is>
      </c>
      <c r="G37" s="301" t="inlineStr">
        <is>
          <t>AIA</t>
        </is>
      </c>
      <c r="H37" s="301" t="n"/>
      <c r="I37" s="725" t="n">
        <v>15635</v>
      </c>
      <c r="J37" s="301" t="inlineStr">
        <is>
          <t>ABA</t>
        </is>
      </c>
      <c r="K37" s="301" t="inlineStr">
        <is>
          <t>SERVICE AIA</t>
        </is>
      </c>
      <c r="L37" s="301" t="inlineStr">
        <is>
          <t>Accepté</t>
        </is>
      </c>
      <c r="M37" s="347" t="n"/>
      <c r="N37" s="350">
        <f>IF(Q37&lt;&gt;"","S"&amp;TEXT(WEEKNUM(Q37,21),"00"),"")</f>
        <v/>
      </c>
      <c r="O37" s="350">
        <f>IF(Data!$Q37="","",YEAR(Data!$Q37))</f>
        <v/>
      </c>
      <c r="P37" s="350">
        <f>IF(Data!$Q37="","",MONTH(Data!$Q37))</f>
        <v/>
      </c>
      <c r="Q37" s="310" t="n">
        <v>44594</v>
      </c>
      <c r="R37" s="311" t="inlineStr">
        <is>
          <t>2022-015</t>
        </is>
      </c>
      <c r="S37" s="732" t="n">
        <v>5150</v>
      </c>
      <c r="T37" s="733" t="n"/>
      <c r="U37" s="734" t="n"/>
      <c r="V37" s="347" t="n"/>
      <c r="W37" s="310" t="n"/>
      <c r="X37" s="350">
        <f>IF(AC37&lt;&gt;"","S"&amp;TEXT(WEEKNUM(AC37,21),"00"),"")</f>
        <v/>
      </c>
      <c r="Y37" s="350">
        <f>IF(Data!$AC37="","",YEAR(Data!$AC37))</f>
        <v/>
      </c>
      <c r="Z37" s="350">
        <f>IF(Data!$AC37="","",MONTH(Data!$AC37))</f>
        <v/>
      </c>
      <c r="AA37" s="310" t="n">
        <v>44614</v>
      </c>
      <c r="AB37" s="312" t="n">
        <v>5206</v>
      </c>
      <c r="AC37" s="310" t="n">
        <v>44615</v>
      </c>
      <c r="AD37" s="732" t="n">
        <v>5150</v>
      </c>
      <c r="AE37" s="310" t="n">
        <v>44658</v>
      </c>
      <c r="AF37" s="302" t="n"/>
      <c r="AH37" s="347" t="n"/>
      <c r="AI37" s="315" t="n">
        <v>5</v>
      </c>
      <c r="AJ37" s="315" t="inlineStr">
        <is>
          <t>Maintenance curative crics et vérins</t>
        </is>
      </c>
      <c r="AK37" s="347" t="n"/>
      <c r="AL37" s="340" t="inlineStr">
        <is>
          <t>Noria n°6 (anciennement n°7) maintenance curative - 2 moyens non réparables</t>
        </is>
      </c>
      <c r="AM37" s="347" t="n"/>
      <c r="AN37" s="350" t="n"/>
      <c r="AO37" s="347" t="n"/>
      <c r="AP37" t="inlineStr">
        <is>
          <t>\\HY07\Public\KL_CO\110_HYFR\AFFAIRES 2021\AIA CF\Devis n°4686 - Curatif Noria n°6</t>
        </is>
      </c>
      <c r="AQ37" s="347" t="n"/>
      <c r="AR37" s="317" t="n"/>
      <c r="AS37" s="347" t="n"/>
      <c r="AT37" s="740" t="n">
        <v>2363.02</v>
      </c>
      <c r="AU37" s="740" t="n">
        <v>1125</v>
      </c>
      <c r="AV37" s="731">
        <f>IF(AT37="","",S37-AT37-AU37)</f>
        <v/>
      </c>
      <c r="AW37" s="331">
        <f>IFERROR(IF(tbl_DCFC[[#This Row],[F Montant HT]]="","",tbl_DCFC[[#This Row],[Marge]]/tbl_DCFC[[#This Row],[F Montant HT]]),"")</f>
        <v/>
      </c>
    </row>
    <row r="38" ht="15" customHeight="1" s="701">
      <c r="A38" s="724" t="n"/>
      <c r="B38" s="347">
        <f>IFERROR(INDEX(Tabelle2[BU],MATCH(tbl_DCFC[[#This Row],[Categorie]],CAT,0)),"")</f>
        <v/>
      </c>
      <c r="C38" s="301" t="n"/>
      <c r="D38" s="724" t="n">
        <v>44516</v>
      </c>
      <c r="E38" s="314" t="n">
        <v>4687</v>
      </c>
      <c r="F38" s="301" t="inlineStr">
        <is>
          <t>A</t>
        </is>
      </c>
      <c r="G38" s="301" t="inlineStr">
        <is>
          <t>HOP</t>
        </is>
      </c>
      <c r="H38" s="301" t="n"/>
      <c r="I38" s="725" t="n">
        <v>1332</v>
      </c>
      <c r="J38" s="301" t="inlineStr">
        <is>
          <t>ABA</t>
        </is>
      </c>
      <c r="K38" s="301" t="inlineStr">
        <is>
          <t>SERVICE OTHER AIA</t>
        </is>
      </c>
      <c r="L38" s="301" t="inlineStr">
        <is>
          <t>Accepté</t>
        </is>
      </c>
      <c r="M38" s="347" t="n"/>
      <c r="N38" s="301" t="n"/>
      <c r="O38" s="301">
        <f>IF(Data!$Q38="","",YEAR(Data!$Q38))</f>
        <v/>
      </c>
      <c r="P38" s="301">
        <f>IF(Data!$Q38="","",MONTH(Data!$Q38))</f>
        <v/>
      </c>
      <c r="Q38" s="320" t="n">
        <v>44517</v>
      </c>
      <c r="R38" s="321" t="inlineStr">
        <is>
          <t>2021-099</t>
        </is>
      </c>
      <c r="S38" s="737" t="n">
        <v>1332</v>
      </c>
      <c r="T38" s="738" t="n"/>
      <c r="U38" s="739" t="n"/>
      <c r="V38" s="347" t="n"/>
      <c r="W38" s="310" t="n">
        <v>44517</v>
      </c>
      <c r="X38" s="350">
        <f>IF(AC38&lt;&gt;"","S"&amp;TEXT(WEEKNUM(AC38,21),"00"),"")</f>
        <v/>
      </c>
      <c r="Y38" s="350">
        <f>IF(Data!$AC38="","",YEAR(Data!$AC38))</f>
        <v/>
      </c>
      <c r="Z38" s="350">
        <f>IF(Data!$AC38="","",MONTH(Data!$AC38))</f>
        <v/>
      </c>
      <c r="AA38" s="310" t="n">
        <v>44574</v>
      </c>
      <c r="AB38" s="312" t="n">
        <v>5189</v>
      </c>
      <c r="AC38" s="310" t="n">
        <v>44579</v>
      </c>
      <c r="AD38" s="732" t="n">
        <v>1332</v>
      </c>
      <c r="AE38" s="310" t="n">
        <v>44926</v>
      </c>
      <c r="AF38" s="302" t="n"/>
      <c r="AH38" s="347" t="n"/>
      <c r="AI38" s="315" t="n">
        <v>1</v>
      </c>
      <c r="AJ38" s="315" t="inlineStr">
        <is>
          <t>Réparation cric RT4550-001</t>
        </is>
      </c>
      <c r="AK38" s="347" t="n"/>
      <c r="AL38" s="340" t="inlineStr">
        <is>
          <t>Attente chiffrage pour mise à jour PO</t>
        </is>
      </c>
      <c r="AM38" s="347" t="n"/>
      <c r="AN38" s="350" t="n"/>
      <c r="AO38" s="347" t="n"/>
      <c r="AP38" s="315" t="inlineStr">
        <is>
          <t>L:\KL_CO\110_HYFR\AFFAIRES 2021\HOP\Devis n°4687A - Réparation RT4550-001</t>
        </is>
      </c>
      <c r="AQ38" s="347" t="n"/>
      <c r="AR38" s="317" t="n"/>
      <c r="AS38" s="347" t="n"/>
      <c r="AT38" s="740" t="n">
        <v>106</v>
      </c>
      <c r="AU38" s="740" t="n"/>
      <c r="AV38" s="731">
        <f>IF(AT38="","",S38-AT38-AU38)</f>
        <v/>
      </c>
      <c r="AW38" s="331">
        <f>IFERROR(IF(tbl_DCFC[[#This Row],[F Montant HT]]="","",tbl_DCFC[[#This Row],[Marge]]/tbl_DCFC[[#This Row],[F Montant HT]]),"")</f>
        <v/>
      </c>
    </row>
    <row r="39" ht="15" customHeight="1" s="701">
      <c r="A39" s="724" t="n"/>
      <c r="B39" s="347">
        <f>IFERROR(INDEX(Tabelle2[BU],MATCH(tbl_DCFC[[#This Row],[Categorie]],CAT,0)),"")</f>
        <v/>
      </c>
      <c r="C39" s="301" t="n"/>
      <c r="D39" s="724" t="n">
        <v>44526</v>
      </c>
      <c r="E39" s="314" t="n">
        <v>4690</v>
      </c>
      <c r="F39" s="301" t="inlineStr">
        <is>
          <t>A</t>
        </is>
      </c>
      <c r="G39" s="301" t="inlineStr">
        <is>
          <t>ADF</t>
        </is>
      </c>
      <c r="H39" s="301" t="n"/>
      <c r="I39" s="725" t="n">
        <v>9279</v>
      </c>
      <c r="J39" s="301" t="inlineStr">
        <is>
          <t>ABA</t>
        </is>
      </c>
      <c r="K39" s="301" t="inlineStr">
        <is>
          <t>SERVICE OTHER AIA</t>
        </is>
      </c>
      <c r="L39" s="301" t="inlineStr">
        <is>
          <t>Annulé</t>
        </is>
      </c>
      <c r="M39" s="347" t="n"/>
      <c r="N39" s="350">
        <f>IF(Q39&lt;&gt;"","S"&amp;TEXT(WEEKNUM(Q39,21),"00"),"")</f>
        <v/>
      </c>
      <c r="O39" s="350">
        <f>IF(Data!$Q39="","",YEAR(Data!$Q39))</f>
        <v/>
      </c>
      <c r="P39" s="350">
        <f>IF(Data!$Q39="","",MONTH(Data!$Q39))</f>
        <v/>
      </c>
      <c r="Q39" s="310" t="n"/>
      <c r="R39" s="311" t="n"/>
      <c r="S39" s="732" t="n"/>
      <c r="T39" s="733" t="n"/>
      <c r="U39" s="734" t="n"/>
      <c r="V39" s="347" t="n"/>
      <c r="W39" s="310" t="n"/>
      <c r="X39" s="350">
        <f>IF(AC39&lt;&gt;"","S"&amp;TEXT(WEEKNUM(AC39,21),"00"),"")</f>
        <v/>
      </c>
      <c r="Y39" s="350">
        <f>IF(Data!$AC39="","",YEAR(Data!$AC39))</f>
        <v/>
      </c>
      <c r="Z39" s="350">
        <f>IF(Data!$AC39="","",MONTH(Data!$AC39))</f>
        <v/>
      </c>
      <c r="AA39" s="310" t="n"/>
      <c r="AB39" s="312" t="n"/>
      <c r="AC39" s="310" t="n"/>
      <c r="AD39" s="732" t="n"/>
      <c r="AE39" s="310" t="n"/>
      <c r="AF39" s="302" t="n"/>
      <c r="AH39" s="347" t="n"/>
      <c r="AI39" s="340" t="n">
        <v>1</v>
      </c>
      <c r="AJ39" s="340" t="inlineStr">
        <is>
          <t>Changement joints pompes + VGP sur site client</t>
        </is>
      </c>
      <c r="AK39" s="347" t="n"/>
      <c r="AL39" s="340" t="inlineStr">
        <is>
          <t>Retard de paiement à régler</t>
        </is>
      </c>
      <c r="AM39" s="347" t="n"/>
      <c r="AN39" s="350" t="n"/>
      <c r="AO39" s="347" t="n"/>
      <c r="AP39" s="340" t="inlineStr">
        <is>
          <t>L:\KL_CO\110_HYFR\AFFAIRES 2021\ADF\Devis n°4690A - Changement kit de joints pompe</t>
        </is>
      </c>
      <c r="AQ39" s="347" t="n"/>
      <c r="AR39" s="313" t="n"/>
      <c r="AS39" s="347" t="n"/>
      <c r="AT39" s="736" t="n"/>
      <c r="AU39" s="736" t="n"/>
      <c r="AV39" s="731">
        <f>IF(AT39="","",S39-AT39-AU39)</f>
        <v/>
      </c>
      <c r="AW39" s="331">
        <f>IFERROR(IF(tbl_DCFC[[#This Row],[F Montant HT]]="","",tbl_DCFC[[#This Row],[Marge]]/tbl_DCFC[[#This Row],[F Montant HT]]),"")</f>
        <v/>
      </c>
    </row>
    <row r="40" ht="15" customHeight="1" s="701">
      <c r="A40" s="724" t="n"/>
      <c r="B40" s="347">
        <f>IFERROR(INDEX(Tabelle2[BU],MATCH(tbl_DCFC[[#This Row],[Categorie]],CAT,0)),"")</f>
        <v/>
      </c>
      <c r="C40" s="301" t="n"/>
      <c r="D40" s="724" t="n">
        <v>44532</v>
      </c>
      <c r="E40" s="314" t="n">
        <v>4691</v>
      </c>
      <c r="F40" s="301" t="inlineStr">
        <is>
          <t>A</t>
        </is>
      </c>
      <c r="G40" s="301" t="inlineStr">
        <is>
          <t>ADF</t>
        </is>
      </c>
      <c r="H40" s="301" t="n"/>
      <c r="I40" s="725" t="n">
        <v>1600</v>
      </c>
      <c r="J40" s="301" t="inlineStr">
        <is>
          <t>ABA</t>
        </is>
      </c>
      <c r="K40" s="301" t="inlineStr">
        <is>
          <t>SERVICE OTHER AIA</t>
        </is>
      </c>
      <c r="L40" s="301" t="inlineStr">
        <is>
          <t>En Attente</t>
        </is>
      </c>
      <c r="M40" s="347" t="n"/>
      <c r="N40" s="350">
        <f>IF(Q40&lt;&gt;"","S"&amp;TEXT(WEEKNUM(Q40,21),"00"),"")</f>
        <v/>
      </c>
      <c r="O40" s="350">
        <f>IF(Data!$Q40="","",YEAR(Data!$Q40))</f>
        <v/>
      </c>
      <c r="P40" s="350">
        <f>IF(Data!$Q40="","",MONTH(Data!$Q40))</f>
        <v/>
      </c>
      <c r="Q40" s="310" t="n"/>
      <c r="R40" s="311" t="n"/>
      <c r="S40" s="732" t="n"/>
      <c r="T40" s="733" t="n"/>
      <c r="U40" s="734" t="n"/>
      <c r="V40" s="347" t="n"/>
      <c r="W40" s="310" t="n"/>
      <c r="X40" s="350">
        <f>IF(AC40&lt;&gt;"","S"&amp;TEXT(WEEKNUM(AC40,21),"00"),"")</f>
        <v/>
      </c>
      <c r="Y40" s="350">
        <f>IF(Data!$AC40="","",YEAR(Data!$AC40))</f>
        <v/>
      </c>
      <c r="Z40" s="350">
        <f>IF(Data!$AC40="","",MONTH(Data!$AC40))</f>
        <v/>
      </c>
      <c r="AA40" s="310" t="n"/>
      <c r="AB40" s="312" t="n"/>
      <c r="AC40" s="310" t="n"/>
      <c r="AD40" s="732" t="n"/>
      <c r="AE40" s="310" t="n"/>
      <c r="AF40" s="302" t="n"/>
      <c r="AH40" s="347" t="n"/>
      <c r="AI40" s="315" t="n">
        <v>1</v>
      </c>
      <c r="AJ40" s="315" t="inlineStr">
        <is>
          <t>Changement joints pompes + VGP in-house</t>
        </is>
      </c>
      <c r="AK40" s="347" t="n"/>
      <c r="AL40" s="340" t="inlineStr">
        <is>
          <t>Retard de paiement à régler</t>
        </is>
      </c>
      <c r="AM40" s="347" t="n"/>
      <c r="AN40" s="350" t="n"/>
      <c r="AO40" s="347" t="n"/>
      <c r="AP40" s="315" t="inlineStr">
        <is>
          <t>L:\KL_CO\110_HYFR\AFFAIRES 2021\ADF\Devis n°4691A  - Changement kit de joints pompe in-house</t>
        </is>
      </c>
      <c r="AQ40" s="347" t="n"/>
      <c r="AR40" s="317" t="n"/>
      <c r="AS40" s="347" t="n"/>
      <c r="AT40" s="740" t="n"/>
      <c r="AU40" s="740" t="n"/>
      <c r="AV40" s="731">
        <f>IF(AT40="","",S40-AT40-AU40)</f>
        <v/>
      </c>
      <c r="AW40" s="331">
        <f>IFERROR(IF(tbl_DCFC[[#This Row],[F Montant HT]]="","",tbl_DCFC[[#This Row],[Marge]]/tbl_DCFC[[#This Row],[F Montant HT]]),"")</f>
        <v/>
      </c>
    </row>
    <row r="41" ht="15" customHeight="1" s="701">
      <c r="A41" s="724" t="n"/>
      <c r="B41" s="347">
        <f>IFERROR(INDEX(Tabelle2[BU],MATCH(tbl_DCFC[[#This Row],[Categorie]],CAT,0)),"")</f>
        <v/>
      </c>
      <c r="C41" s="301" t="n"/>
      <c r="D41" s="724" t="n">
        <v>44532</v>
      </c>
      <c r="E41" s="314" t="n">
        <v>4692</v>
      </c>
      <c r="F41" s="301" t="inlineStr">
        <is>
          <t>A</t>
        </is>
      </c>
      <c r="G41" s="301" t="inlineStr">
        <is>
          <t>AIA</t>
        </is>
      </c>
      <c r="H41" s="301" t="n"/>
      <c r="I41" s="725" t="n"/>
      <c r="J41" s="301" t="inlineStr">
        <is>
          <t>ABA</t>
        </is>
      </c>
      <c r="K41" s="301" t="inlineStr">
        <is>
          <t>FCP AIA</t>
        </is>
      </c>
      <c r="L41" s="301" t="inlineStr">
        <is>
          <t>Opportunité</t>
        </is>
      </c>
      <c r="M41" s="347" t="n"/>
      <c r="N41" s="350">
        <f>IF(Q41&lt;&gt;"","S"&amp;TEXT(WEEKNUM(Q41,21),"00"),"")</f>
        <v/>
      </c>
      <c r="O41" s="350">
        <f>IF(Data!$Q41="","",YEAR(Data!$Q41))</f>
        <v/>
      </c>
      <c r="P41" s="350">
        <f>IF(Data!$Q41="","",MONTH(Data!$Q41))</f>
        <v/>
      </c>
      <c r="Q41" s="310" t="n"/>
      <c r="R41" s="311" t="n"/>
      <c r="S41" s="732" t="n"/>
      <c r="T41" s="733" t="n"/>
      <c r="U41" s="734" t="n"/>
      <c r="V41" s="347" t="n"/>
      <c r="W41" s="310" t="n"/>
      <c r="X41" s="350">
        <f>IF(AC41&lt;&gt;"","S"&amp;TEXT(WEEKNUM(AC41,21),"00"),"")</f>
        <v/>
      </c>
      <c r="Y41" s="350">
        <f>IF(Data!$AC41="","",YEAR(Data!$AC41))</f>
        <v/>
      </c>
      <c r="Z41" s="350">
        <f>IF(Data!$AC41="","",MONTH(Data!$AC41))</f>
        <v/>
      </c>
      <c r="AA41" s="310" t="n"/>
      <c r="AB41" s="312" t="n"/>
      <c r="AC41" s="310" t="n"/>
      <c r="AD41" s="732" t="n"/>
      <c r="AE41" s="310" t="n"/>
      <c r="AF41" s="302" t="n"/>
      <c r="AH41" s="347" t="n"/>
      <c r="AI41" s="340" t="n">
        <v>6</v>
      </c>
      <c r="AJ41" s="340" t="inlineStr">
        <is>
          <t>Conception et facbrication chariot roues C130</t>
        </is>
      </c>
      <c r="AK41" s="347" t="n"/>
      <c r="AL41" s="340" t="inlineStr">
        <is>
          <t>Date et heure limite de remise des plis : 13/01/2022 17:30</t>
        </is>
      </c>
      <c r="AM41" s="347" t="n"/>
      <c r="AN41" s="350" t="n"/>
      <c r="AO41" s="347" t="n"/>
      <c r="AP41" s="340" t="inlineStr">
        <is>
          <t>L:\KL_CO\110_HYFR\AFFAIRES 2021\AIA CF\Devis N°4692 - Conception et fabrication chariots de stockage roues C130</t>
        </is>
      </c>
      <c r="AQ41" s="347" t="n"/>
      <c r="AR41" s="313" t="n"/>
      <c r="AS41" s="347" t="n"/>
      <c r="AT41" s="736" t="n"/>
      <c r="AU41" s="736" t="n"/>
      <c r="AV41" s="731">
        <f>IF(AT41="","",S41-AT41-AU41)</f>
        <v/>
      </c>
      <c r="AW41" s="331">
        <f>IFERROR(IF(tbl_DCFC[[#This Row],[F Montant HT]]="","",tbl_DCFC[[#This Row],[Marge]]/tbl_DCFC[[#This Row],[F Montant HT]]),"")</f>
        <v/>
      </c>
    </row>
    <row r="42" ht="15" customHeight="1" s="701">
      <c r="A42" s="724" t="n"/>
      <c r="B42" s="347">
        <f>IFERROR(INDEX(Tabelle2[BU],MATCH(tbl_DCFC[[#This Row],[Categorie]],CAT,0)),"")</f>
        <v/>
      </c>
      <c r="C42" s="301" t="n"/>
      <c r="D42" s="724" t="n">
        <v>44532</v>
      </c>
      <c r="E42" s="314" t="n">
        <v>4693</v>
      </c>
      <c r="F42" s="301" t="inlineStr">
        <is>
          <t>A</t>
        </is>
      </c>
      <c r="G42" s="301" t="inlineStr">
        <is>
          <t>DALE</t>
        </is>
      </c>
      <c r="H42" s="301" t="n"/>
      <c r="I42" s="725" t="n">
        <v>5877</v>
      </c>
      <c r="J42" s="301" t="inlineStr">
        <is>
          <t>ABA</t>
        </is>
      </c>
      <c r="K42" s="301" t="inlineStr">
        <is>
          <t>SERVICE OTHER AIA</t>
        </is>
      </c>
      <c r="L42" s="301" t="inlineStr">
        <is>
          <t>Accepté</t>
        </is>
      </c>
      <c r="M42" s="347" t="n"/>
      <c r="N42" s="301" t="n"/>
      <c r="O42" s="301">
        <f>IF(Data!$Q42="","",YEAR(Data!$Q42))</f>
        <v/>
      </c>
      <c r="P42" s="301">
        <f>IF(Data!$Q42="","",MONTH(Data!$Q42))</f>
        <v/>
      </c>
      <c r="Q42" s="320" t="n">
        <v>44532</v>
      </c>
      <c r="R42" s="321" t="inlineStr">
        <is>
          <t>2021-102</t>
        </is>
      </c>
      <c r="S42" s="737" t="n">
        <v>5877</v>
      </c>
      <c r="T42" s="738" t="n"/>
      <c r="U42" s="739" t="n"/>
      <c r="V42" s="347" t="n"/>
      <c r="W42" s="310" t="n">
        <v>44533</v>
      </c>
      <c r="X42" s="350">
        <f>IF(AC42&lt;&gt;"","S"&amp;TEXT(WEEKNUM(AC42,21),"00"),"")</f>
        <v/>
      </c>
      <c r="Y42" s="350">
        <f>IF(Data!$AC42="","",YEAR(Data!$AC42))</f>
        <v/>
      </c>
      <c r="Z42" s="350">
        <f>IF(Data!$AC42="","",MONTH(Data!$AC42))</f>
        <v/>
      </c>
      <c r="AA42" s="310" t="n"/>
      <c r="AB42" s="312" t="n"/>
      <c r="AC42" s="310" t="n"/>
      <c r="AD42" s="732" t="n"/>
      <c r="AE42" s="310" t="n">
        <v>44680</v>
      </c>
      <c r="AF42" s="302" t="n"/>
      <c r="AH42" s="347" t="n"/>
      <c r="AI42" s="315" t="n">
        <v>1</v>
      </c>
      <c r="AJ42" s="315" t="inlineStr">
        <is>
          <t>Recertification et entretien hoist</t>
        </is>
      </c>
      <c r="AK42" s="347" t="n"/>
      <c r="AL42" s="340" t="inlineStr">
        <is>
          <t>Validé par le client, en attente de réception PO - Nouveau devis repair : attente mise à jour PO</t>
        </is>
      </c>
      <c r="AM42" s="347" t="n"/>
      <c r="AN42" s="350" t="n"/>
      <c r="AO42" s="347" t="n"/>
      <c r="AP42" s="315" t="inlineStr">
        <is>
          <t>L:\KL_CO\110_HYFR\AFFAIRES 2021\DALE\Devis n°4693A - Calibration hoist</t>
        </is>
      </c>
      <c r="AQ42" s="347" t="n"/>
      <c r="AR42" s="317" t="n"/>
      <c r="AS42" s="347" t="n"/>
      <c r="AT42" s="740" t="n"/>
      <c r="AU42" s="740" t="n"/>
      <c r="AV42" s="731">
        <f>IF(AT42="","",S42-AT42-AU42)</f>
        <v/>
      </c>
      <c r="AW42" s="331">
        <f>IFERROR(IF(tbl_DCFC[[#This Row],[F Montant HT]]="","",tbl_DCFC[[#This Row],[Marge]]/tbl_DCFC[[#This Row],[F Montant HT]]),"")</f>
        <v/>
      </c>
    </row>
    <row r="43" ht="15" customHeight="1" s="701">
      <c r="A43" s="724" t="n"/>
      <c r="B43" s="347">
        <f>IFERROR(INDEX(Tabelle2[BU],MATCH(tbl_DCFC[[#This Row],[Categorie]],CAT,0)),"")</f>
        <v/>
      </c>
      <c r="C43" s="301" t="n"/>
      <c r="D43" s="724" t="n">
        <v>44532</v>
      </c>
      <c r="E43" s="314" t="n">
        <v>4694</v>
      </c>
      <c r="F43" s="301" t="inlineStr">
        <is>
          <t>A</t>
        </is>
      </c>
      <c r="G43" s="301" t="inlineStr">
        <is>
          <t>HYDRO SYSTEMS KG</t>
        </is>
      </c>
      <c r="H43" s="301" t="n"/>
      <c r="I43" s="725" t="n">
        <v>6097.5</v>
      </c>
      <c r="J43" s="301" t="inlineStr">
        <is>
          <t>ASI</t>
        </is>
      </c>
      <c r="K43" s="301" t="inlineStr">
        <is>
          <t>SERVICE OTHER AIA</t>
        </is>
      </c>
      <c r="L43" s="301" t="inlineStr">
        <is>
          <t>En Attente</t>
        </is>
      </c>
      <c r="M43" s="347" t="n"/>
      <c r="N43" s="350">
        <f>IF(Q43&lt;&gt;"","S"&amp;TEXT(WEEKNUM(Q43,21),"00"),"")</f>
        <v/>
      </c>
      <c r="O43" s="350">
        <f>IF(Data!$Q43="","",YEAR(Data!$Q43))</f>
        <v/>
      </c>
      <c r="P43" s="350">
        <f>IF(Data!$Q43="","",MONTH(Data!$Q43))</f>
        <v/>
      </c>
      <c r="Q43" s="310" t="n"/>
      <c r="R43" s="311" t="n"/>
      <c r="S43" s="732" t="n"/>
      <c r="T43" s="733" t="n"/>
      <c r="U43" s="734" t="n"/>
      <c r="V43" s="347" t="n"/>
      <c r="W43" s="310" t="n"/>
      <c r="X43" s="350">
        <f>IF(AC43&lt;&gt;"","S"&amp;TEXT(WEEKNUM(AC43,21),"00"),"")</f>
        <v/>
      </c>
      <c r="Y43" s="350">
        <f>IF(Data!$AC43="","",YEAR(Data!$AC43))</f>
        <v/>
      </c>
      <c r="Z43" s="350">
        <f>IF(Data!$AC43="","",MONTH(Data!$AC43))</f>
        <v/>
      </c>
      <c r="AA43" s="310" t="n"/>
      <c r="AB43" s="312" t="n"/>
      <c r="AC43" s="310" t="n"/>
      <c r="AD43" s="732" t="n"/>
      <c r="AE43" s="310" t="n"/>
      <c r="AF43" s="302" t="n"/>
      <c r="AH43" s="347" t="n"/>
      <c r="AI43" s="340" t="n">
        <v>5</v>
      </c>
      <c r="AJ43" s="340" t="inlineStr">
        <is>
          <t>Recertification A400M tripod set</t>
        </is>
      </c>
      <c r="AK43" s="347" t="n"/>
      <c r="AL43" s="340" t="n"/>
      <c r="AM43" s="347" t="n"/>
      <c r="AN43" s="350" t="n"/>
      <c r="AO43" s="347" t="n"/>
      <c r="AP43" s="340" t="inlineStr">
        <is>
          <t>L:\KL_CO\110_HYFR\AFFAIRES 2021\AIRBUS DEFENCE AND SPACE\Devis n°4694 - Recertification vérins A400M</t>
        </is>
      </c>
      <c r="AQ43" s="347" t="n"/>
      <c r="AR43" s="313" t="n"/>
      <c r="AS43" s="347" t="n"/>
      <c r="AT43" s="736" t="n"/>
      <c r="AU43" s="736" t="n"/>
      <c r="AV43" s="731">
        <f>IF(AT43="","",S43-AT43-AU43)</f>
        <v/>
      </c>
      <c r="AW43" s="331">
        <f>IFERROR(IF(tbl_DCFC[[#This Row],[F Montant HT]]="","",tbl_DCFC[[#This Row],[Marge]]/tbl_DCFC[[#This Row],[F Montant HT]]),"")</f>
        <v/>
      </c>
    </row>
    <row r="44" ht="15" customHeight="1" s="701">
      <c r="A44" s="724" t="n"/>
      <c r="B44" s="347">
        <f>IFERROR(INDEX(Tabelle2[BU],MATCH(tbl_DCFC[[#This Row],[Categorie]],CAT,0)),"")</f>
        <v/>
      </c>
      <c r="C44" s="301" t="n"/>
      <c r="D44" s="724" t="n">
        <v>44536</v>
      </c>
      <c r="E44" s="314" t="n">
        <v>4695</v>
      </c>
      <c r="F44" s="301" t="inlineStr">
        <is>
          <t>A</t>
        </is>
      </c>
      <c r="G44" s="301" t="inlineStr">
        <is>
          <t>AIA BORDEAUX</t>
        </is>
      </c>
      <c r="H44" s="301" t="n"/>
      <c r="I44" s="725" t="n">
        <v>2750</v>
      </c>
      <c r="J44" s="301" t="inlineStr">
        <is>
          <t>ABA</t>
        </is>
      </c>
      <c r="K44" s="301" t="inlineStr">
        <is>
          <t>FCP AIA</t>
        </is>
      </c>
      <c r="L44" s="301" t="inlineStr">
        <is>
          <t>Accepté</t>
        </is>
      </c>
      <c r="M44" s="347" t="n"/>
      <c r="N44" s="301" t="n"/>
      <c r="O44" s="301">
        <f>IF(Data!$Q44="","",YEAR(Data!$Q44))</f>
        <v/>
      </c>
      <c r="P44" s="301">
        <f>IF(Data!$Q44="","",MONTH(Data!$Q44))</f>
        <v/>
      </c>
      <c r="Q44" s="320" t="n">
        <v>44551</v>
      </c>
      <c r="R44" s="321" t="inlineStr">
        <is>
          <t>2021-109</t>
        </is>
      </c>
      <c r="S44" s="737" t="n">
        <v>2750</v>
      </c>
      <c r="T44" s="738" t="n"/>
      <c r="U44" s="739" t="n"/>
      <c r="V44" s="347" t="n"/>
      <c r="W44" s="310" t="n"/>
      <c r="X44" s="350">
        <f>IF(AC44&lt;&gt;"","S"&amp;TEXT(WEEKNUM(AC44,21),"00"),"")</f>
        <v/>
      </c>
      <c r="Y44" s="350">
        <f>IF(Data!$AC44="","",YEAR(Data!$AC44))</f>
        <v/>
      </c>
      <c r="Z44" s="350">
        <f>IF(Data!$AC44="","",MONTH(Data!$AC44))</f>
        <v/>
      </c>
      <c r="AA44" s="310" t="n">
        <v>44580</v>
      </c>
      <c r="AB44" s="312" t="n">
        <v>5191</v>
      </c>
      <c r="AC44" s="310" t="n">
        <v>44581</v>
      </c>
      <c r="AD44" s="732" t="n">
        <v>2750</v>
      </c>
      <c r="AE44" s="310" t="n">
        <v>44589</v>
      </c>
      <c r="AF44" s="302" t="n"/>
      <c r="AH44" s="347" t="n"/>
      <c r="AI44" s="315" t="n">
        <v>2</v>
      </c>
      <c r="AJ44" s="315" t="inlineStr">
        <is>
          <t>Fabrication flans en contreplaqué</t>
        </is>
      </c>
      <c r="AK44" s="347" t="n"/>
      <c r="AL44" s="340" t="inlineStr">
        <is>
          <t>Délai 5 semaines sous réserve disponibilité panneaux</t>
        </is>
      </c>
      <c r="AM44" s="347" t="n"/>
      <c r="AN44" s="350" t="n"/>
      <c r="AO44" s="347" t="n"/>
      <c r="AP44" s="315" t="inlineStr">
        <is>
          <t>L:\KL_CO\110_HYFR\AFFAIRES 2021\AIA BORDEAUX\Devis n°4695A - Fabrication flans en contreplaqué</t>
        </is>
      </c>
      <c r="AQ44" s="347" t="n"/>
      <c r="AR44" s="317" t="n"/>
      <c r="AS44" s="347" t="n"/>
      <c r="AT44" s="740" t="n"/>
      <c r="AU44" s="740" t="n"/>
      <c r="AV44" s="731">
        <f>IF(AT44="","",S44-AT44-AU44)</f>
        <v/>
      </c>
      <c r="AW44" s="331">
        <f>IFERROR(IF(tbl_DCFC[[#This Row],[F Montant HT]]="","",tbl_DCFC[[#This Row],[Marge]]/tbl_DCFC[[#This Row],[F Montant HT]]),"")</f>
        <v/>
      </c>
    </row>
    <row r="45" ht="15" customHeight="1" s="701">
      <c r="A45" s="724" t="n"/>
      <c r="B45" s="347">
        <f>IFERROR(INDEX(Tabelle2[BU],MATCH(tbl_DCFC[[#This Row],[Categorie]],CAT,0)),"")</f>
        <v/>
      </c>
      <c r="C45" s="301" t="n"/>
      <c r="D45" s="724" t="n">
        <v>44539</v>
      </c>
      <c r="E45" s="314" t="n">
        <v>4697</v>
      </c>
      <c r="F45" s="301" t="inlineStr">
        <is>
          <t>A</t>
        </is>
      </c>
      <c r="G45" s="301" t="inlineStr">
        <is>
          <t>INEO ENGIE</t>
        </is>
      </c>
      <c r="H45" s="301" t="n"/>
      <c r="I45" s="725" t="n"/>
      <c r="J45" s="301" t="inlineStr">
        <is>
          <t>ABA</t>
        </is>
      </c>
      <c r="K45" s="301" t="inlineStr">
        <is>
          <t>SERVICE OTHER AIA</t>
        </is>
      </c>
      <c r="L45" s="301" t="inlineStr">
        <is>
          <t>Opportunité</t>
        </is>
      </c>
      <c r="M45" s="347" t="n"/>
      <c r="N45" s="350">
        <f>IF(Q45&lt;&gt;"","S"&amp;TEXT(WEEKNUM(Q45,21),"00"),"")</f>
        <v/>
      </c>
      <c r="O45" s="350">
        <f>IF(Data!$Q45="","",YEAR(Data!$Q45))</f>
        <v/>
      </c>
      <c r="P45" s="350">
        <f>IF(Data!$Q45="","",MONTH(Data!$Q45))</f>
        <v/>
      </c>
      <c r="Q45" s="310" t="n"/>
      <c r="R45" s="311" t="n"/>
      <c r="S45" s="732" t="n"/>
      <c r="T45" s="733" t="n"/>
      <c r="U45" s="734" t="n"/>
      <c r="V45" s="347" t="n"/>
      <c r="W45" s="310" t="n"/>
      <c r="X45" s="350">
        <f>IF(AC45&lt;&gt;"","S"&amp;TEXT(WEEKNUM(AC45,21),"00"),"")</f>
        <v/>
      </c>
      <c r="Y45" s="350">
        <f>IF(Data!$AC45="","",YEAR(Data!$AC45))</f>
        <v/>
      </c>
      <c r="Z45" s="350">
        <f>IF(Data!$AC45="","",MONTH(Data!$AC45))</f>
        <v/>
      </c>
      <c r="AA45" s="310" t="n"/>
      <c r="AB45" s="312" t="n"/>
      <c r="AC45" s="310" t="n"/>
      <c r="AD45" s="732" t="n"/>
      <c r="AE45" s="310" t="n"/>
      <c r="AF45" s="302" t="n"/>
      <c r="AH45" s="347" t="n"/>
      <c r="AI45" s="315" t="n">
        <v>20</v>
      </c>
      <c r="AJ45" s="315" t="inlineStr">
        <is>
          <t>Recertification crics</t>
        </is>
      </c>
      <c r="AK45" s="347" t="n"/>
      <c r="AL45" s="340" t="inlineStr">
        <is>
          <t>Liste des moyens demandés avec S/N</t>
        </is>
      </c>
      <c r="AM45" s="347" t="n"/>
      <c r="AN45" s="350" t="n"/>
      <c r="AO45" s="347" t="n"/>
      <c r="AP45" s="315" t="inlineStr">
        <is>
          <t>L:\KL_CO\110_HYFR\AFFAIRES 2021\ENGIE SOLUTIONS\Devis n°4697A - Calibration crics RS0609A1A1A01</t>
        </is>
      </c>
      <c r="AQ45" s="347" t="n"/>
      <c r="AR45" s="317" t="n"/>
      <c r="AS45" s="347" t="n"/>
      <c r="AT45" s="740" t="n"/>
      <c r="AU45" s="740" t="n"/>
      <c r="AV45" s="731">
        <f>IF(AT45="","",S45-AT45-AU45)</f>
        <v/>
      </c>
      <c r="AW45" s="331">
        <f>IFERROR(IF(tbl_DCFC[[#This Row],[F Montant HT]]="","",tbl_DCFC[[#This Row],[Marge]]/tbl_DCFC[[#This Row],[F Montant HT]]),"")</f>
        <v/>
      </c>
    </row>
    <row r="46" ht="15" customHeight="1" s="701">
      <c r="A46" s="724" t="n"/>
      <c r="B46" s="347">
        <f>IFERROR(INDEX(Tabelle2[BU],MATCH(tbl_DCFC[[#This Row],[Categorie]],CAT,0)),"")</f>
        <v/>
      </c>
      <c r="C46" s="301" t="n"/>
      <c r="D46" s="724" t="n">
        <v>44544</v>
      </c>
      <c r="E46" s="314" t="n">
        <v>4698</v>
      </c>
      <c r="F46" s="301" t="inlineStr">
        <is>
          <t>A</t>
        </is>
      </c>
      <c r="G46" s="301" t="inlineStr">
        <is>
          <t>HOP</t>
        </is>
      </c>
      <c r="H46" s="301" t="n"/>
      <c r="I46" s="725" t="n">
        <v>660</v>
      </c>
      <c r="J46" s="301" t="inlineStr">
        <is>
          <t>ABA</t>
        </is>
      </c>
      <c r="K46" s="301" t="inlineStr">
        <is>
          <t>SERVICE OTHER AIA</t>
        </is>
      </c>
      <c r="L46" s="301" t="inlineStr">
        <is>
          <t>Annulé</t>
        </is>
      </c>
      <c r="M46" s="347" t="n"/>
      <c r="N46" s="301" t="n"/>
      <c r="O46" s="301">
        <f>IF(Data!$Q46="","",YEAR(Data!$Q46))</f>
        <v/>
      </c>
      <c r="P46" s="301">
        <f>IF(Data!$Q46="","",MONTH(Data!$Q46))</f>
        <v/>
      </c>
      <c r="Q46" s="320" t="n"/>
      <c r="R46" s="321" t="n"/>
      <c r="S46" s="737" t="n"/>
      <c r="T46" s="738" t="n"/>
      <c r="U46" s="739" t="n"/>
      <c r="V46" s="347" t="n"/>
      <c r="W46" s="310" t="n"/>
      <c r="X46" s="350">
        <f>IF(AC46&lt;&gt;"","S"&amp;TEXT(WEEKNUM(AC46,21),"00"),"")</f>
        <v/>
      </c>
      <c r="Y46" s="350">
        <f>IF(Data!$AC46="","",YEAR(Data!$AC46))</f>
        <v/>
      </c>
      <c r="Z46" s="350">
        <f>IF(Data!$AC46="","",MONTH(Data!$AC46))</f>
        <v/>
      </c>
      <c r="AA46" s="310" t="n"/>
      <c r="AB46" s="312" t="n"/>
      <c r="AC46" s="310" t="n"/>
      <c r="AD46" s="732" t="n"/>
      <c r="AE46" s="310" t="n"/>
      <c r="AF46" s="302" t="n"/>
      <c r="AH46" s="347" t="n"/>
      <c r="AI46" s="340" t="n">
        <v>1</v>
      </c>
      <c r="AJ46" s="340" t="inlineStr">
        <is>
          <t>Recertification cric RT4550-001</t>
        </is>
      </c>
      <c r="AK46" s="347" t="n"/>
      <c r="AL46" s="340" t="inlineStr">
        <is>
          <t>Moyen non conforme</t>
        </is>
      </c>
      <c r="AM46" s="347" t="n"/>
      <c r="AN46" s="350" t="n"/>
      <c r="AO46" s="347" t="n"/>
      <c r="AP46" s="340" t="inlineStr">
        <is>
          <t>L:\KL_CO\110_HYFR\AFFAIRES 2021\HOP\Devis n°4698A - Recertification RT4550-001</t>
        </is>
      </c>
      <c r="AQ46" s="347" t="n"/>
      <c r="AR46" s="313" t="n"/>
      <c r="AS46" s="347" t="n"/>
      <c r="AT46" s="736" t="n"/>
      <c r="AU46" s="736" t="n"/>
      <c r="AV46" s="731">
        <f>IF(AT46="","",S46-AT46-AU46)</f>
        <v/>
      </c>
      <c r="AW46" s="331">
        <f>IFERROR(IF(tbl_DCFC[[#This Row],[F Montant HT]]="","",tbl_DCFC[[#This Row],[Marge]]/tbl_DCFC[[#This Row],[F Montant HT]]),"")</f>
        <v/>
      </c>
    </row>
    <row r="47" ht="15" customHeight="1" s="701">
      <c r="A47" s="724" t="n"/>
      <c r="B47" s="347">
        <f>IFERROR(INDEX(Tabelle2[BU],MATCH(tbl_DCFC[[#This Row],[Categorie]],CAT,0)),"")</f>
        <v/>
      </c>
      <c r="C47" s="301" t="n"/>
      <c r="D47" s="724" t="n">
        <v>44545</v>
      </c>
      <c r="E47" s="314" t="n">
        <v>4699</v>
      </c>
      <c r="F47" s="301" t="inlineStr">
        <is>
          <t>A</t>
        </is>
      </c>
      <c r="G47" s="301" t="inlineStr">
        <is>
          <t>DASSAULT</t>
        </is>
      </c>
      <c r="H47" s="301" t="n"/>
      <c r="I47" s="725" t="n">
        <v>4976.5</v>
      </c>
      <c r="J47" s="301" t="inlineStr">
        <is>
          <t>ABA</t>
        </is>
      </c>
      <c r="K47" s="301" t="inlineStr">
        <is>
          <t>SERVICE OTHER AIA</t>
        </is>
      </c>
      <c r="L47" s="301" t="inlineStr">
        <is>
          <t>Rejeté</t>
        </is>
      </c>
      <c r="M47" s="347" t="n"/>
      <c r="N47" s="350">
        <f>IF(Q47&lt;&gt;"","S"&amp;TEXT(WEEKNUM(Q47,21),"00"),"")</f>
        <v/>
      </c>
      <c r="O47" s="350">
        <f>IF(Data!$Q47="","",YEAR(Data!$Q47))</f>
        <v/>
      </c>
      <c r="P47" s="350">
        <f>IF(Data!$Q47="","",MONTH(Data!$Q47))</f>
        <v/>
      </c>
      <c r="Q47" s="310" t="n"/>
      <c r="R47" s="311" t="n"/>
      <c r="S47" s="732" t="n"/>
      <c r="T47" s="733" t="n"/>
      <c r="U47" s="734" t="n"/>
      <c r="V47" s="347" t="n"/>
      <c r="W47" s="310" t="n"/>
      <c r="X47" s="350">
        <f>IF(AC47&lt;&gt;"","S"&amp;TEXT(WEEKNUM(AC47,21),"00"),"")</f>
        <v/>
      </c>
      <c r="Y47" s="350">
        <f>IF(Data!$AC47="","",YEAR(Data!$AC47))</f>
        <v/>
      </c>
      <c r="Z47" s="350">
        <f>IF(Data!$AC47="","",MONTH(Data!$AC47))</f>
        <v/>
      </c>
      <c r="AA47" s="310" t="n"/>
      <c r="AB47" s="312" t="n"/>
      <c r="AC47" s="310" t="n"/>
      <c r="AD47" s="732" t="n"/>
      <c r="AE47" s="310" t="n"/>
      <c r="AF47" s="302" t="n"/>
      <c r="AG47" t="inlineStr">
        <is>
          <t>Prix</t>
        </is>
      </c>
      <c r="AH47" s="347" t="n"/>
      <c r="AI47" s="315" t="n">
        <v>1</v>
      </c>
      <c r="AJ47" s="315" t="inlineStr">
        <is>
          <t>Test statique sur site client rome</t>
        </is>
      </c>
      <c r="AK47" s="347" t="n"/>
      <c r="AL47" s="340" t="n"/>
      <c r="AM47" s="347" t="n"/>
      <c r="AN47" s="350" t="n"/>
      <c r="AO47" s="347" t="n"/>
      <c r="AP47" s="315" t="inlineStr">
        <is>
          <t>L:\KL_CO\110_HYFR\AFFAIRES 2021\DASSAULT\Devis n° 4699A - Recertification vérins Nice et Rome</t>
        </is>
      </c>
      <c r="AQ47" s="347" t="n"/>
      <c r="AR47" s="317" t="n"/>
      <c r="AS47" s="347" t="n"/>
      <c r="AT47" s="740" t="n"/>
      <c r="AU47" s="740" t="n"/>
      <c r="AV47" s="731">
        <f>IF(AT47="","",S47-AT47-AU47)</f>
        <v/>
      </c>
      <c r="AW47" s="331">
        <f>IFERROR(IF(tbl_DCFC[[#This Row],[F Montant HT]]="","",tbl_DCFC[[#This Row],[Marge]]/tbl_DCFC[[#This Row],[F Montant HT]]),"")</f>
        <v/>
      </c>
    </row>
    <row r="48" ht="15" customHeight="1" s="701">
      <c r="A48" s="724" t="n"/>
      <c r="B48" s="347">
        <f>IFERROR(INDEX(Tabelle2[BU],MATCH(tbl_DCFC[[#This Row],[Categorie]],CAT,0)),"")</f>
        <v/>
      </c>
      <c r="C48" s="301" t="n"/>
      <c r="D48" s="724" t="n">
        <v>44545</v>
      </c>
      <c r="E48" s="314" t="n">
        <v>4700</v>
      </c>
      <c r="F48" s="301" t="inlineStr">
        <is>
          <t>B</t>
        </is>
      </c>
      <c r="G48" s="301" t="inlineStr">
        <is>
          <t>HYDRO SYSTEMS KG</t>
        </is>
      </c>
      <c r="H48" s="301" t="inlineStr">
        <is>
          <t>AIRBUS DEFENSE &amp; SPACE</t>
        </is>
      </c>
      <c r="I48" s="725" t="n">
        <v>20320</v>
      </c>
      <c r="J48" s="301" t="inlineStr">
        <is>
          <t>ABA</t>
        </is>
      </c>
      <c r="K48" s="301" t="inlineStr">
        <is>
          <t>SERVICE OTHER AIA</t>
        </is>
      </c>
      <c r="L48" s="301" t="inlineStr">
        <is>
          <t>Accepté</t>
        </is>
      </c>
      <c r="M48" s="347" t="n"/>
      <c r="N48" s="350">
        <f>IF(Q48&lt;&gt;"","S"&amp;TEXT(WEEKNUM(Q48,21),"00"),"")</f>
        <v/>
      </c>
      <c r="O48" s="350">
        <f>IF(Data!$Q48="","",YEAR(Data!$Q48))</f>
        <v/>
      </c>
      <c r="P48" s="350">
        <f>IF(Data!$Q48="","",MONTH(Data!$Q48))</f>
        <v/>
      </c>
      <c r="Q48" s="310" t="n">
        <v>44607</v>
      </c>
      <c r="R48" s="311" t="inlineStr">
        <is>
          <t>2022-018</t>
        </is>
      </c>
      <c r="S48" s="732" t="n">
        <v>20320</v>
      </c>
      <c r="T48" s="733" t="n"/>
      <c r="U48" s="734" t="n"/>
      <c r="V48" s="347" t="n"/>
      <c r="W48" s="310" t="n"/>
      <c r="X48" s="350">
        <f>IF(AC48&lt;&gt;"","S"&amp;TEXT(WEEKNUM(AC48,21),"00"),"")</f>
        <v/>
      </c>
      <c r="Y48" s="350">
        <f>IF(Data!$AC48="","",YEAR(Data!$AC48))</f>
        <v/>
      </c>
      <c r="Z48" s="350">
        <f>IF(Data!$AC48="","",MONTH(Data!$AC48))</f>
        <v/>
      </c>
      <c r="AA48" s="310" t="n">
        <v>44651</v>
      </c>
      <c r="AB48" s="312" t="n">
        <v>5227</v>
      </c>
      <c r="AC48" s="310" t="n">
        <v>44651</v>
      </c>
      <c r="AD48" s="732" t="n">
        <v>20320</v>
      </c>
      <c r="AE48" s="310" t="n">
        <v>44645</v>
      </c>
      <c r="AF48" s="302" t="n"/>
      <c r="AH48" s="347" t="n"/>
      <c r="AI48" s="340" t="n">
        <v>1</v>
      </c>
      <c r="AJ48" s="340" t="inlineStr">
        <is>
          <t>Repair + Test statique sur site client orleans</t>
        </is>
      </c>
      <c r="AK48" s="347" t="n"/>
      <c r="AL48" s="340" t="n"/>
      <c r="AM48" s="347" t="n"/>
      <c r="AN48" s="350" t="n"/>
      <c r="AO48" s="347" t="n"/>
      <c r="AP48" s="340" t="inlineStr">
        <is>
          <t>L:\KL_CO\110_HYFR\AFFAIRES 2021\AIRBUS DEFENCE AND SPACE\Devis n°4700 - Recertification vérins A400M_2ème partie</t>
        </is>
      </c>
      <c r="AQ48" s="347" t="n"/>
      <c r="AR48" s="313" t="n"/>
      <c r="AS48" s="347" t="n"/>
      <c r="AT48" s="736" t="n"/>
      <c r="AU48" s="736" t="n"/>
      <c r="AV48" s="731">
        <f>IF(AT48="","",S48-AT48-AU48)</f>
        <v/>
      </c>
      <c r="AW48" s="331">
        <f>IFERROR(IF(tbl_DCFC[[#This Row],[F Montant HT]]="","",tbl_DCFC[[#This Row],[Marge]]/tbl_DCFC[[#This Row],[F Montant HT]]),"")</f>
        <v/>
      </c>
    </row>
    <row r="49" ht="15" customHeight="1" s="701">
      <c r="A49" s="724" t="n"/>
      <c r="B49" s="347">
        <f>IFERROR(INDEX(Tabelle2[BU],MATCH(tbl_DCFC[[#This Row],[Categorie]],CAT,0)),"")</f>
        <v/>
      </c>
      <c r="C49" s="301" t="n"/>
      <c r="D49" s="724" t="n">
        <v>44546</v>
      </c>
      <c r="E49" s="314" t="n">
        <v>4701</v>
      </c>
      <c r="F49" s="301" t="inlineStr">
        <is>
          <t>A</t>
        </is>
      </c>
      <c r="G49" s="301" t="inlineStr">
        <is>
          <t>AIR ARABIA MAROC</t>
        </is>
      </c>
      <c r="H49" s="301" t="n"/>
      <c r="I49" s="725" t="n">
        <v>180</v>
      </c>
      <c r="J49" s="301" t="inlineStr">
        <is>
          <t>ASI</t>
        </is>
      </c>
      <c r="K49" s="301" t="inlineStr">
        <is>
          <t>SERVICE OTHER AIA</t>
        </is>
      </c>
      <c r="L49" s="301" t="inlineStr">
        <is>
          <t>Opportunité</t>
        </is>
      </c>
      <c r="M49" s="347" t="n"/>
      <c r="N49" s="350">
        <f>IF(Q49&lt;&gt;"","S"&amp;TEXT(WEEKNUM(Q49,21),"00"),"")</f>
        <v/>
      </c>
      <c r="O49" s="350">
        <f>IF(Data!$Q49="","",YEAR(Data!$Q49))</f>
        <v/>
      </c>
      <c r="P49" s="350">
        <f>IF(Data!$Q49="","",MONTH(Data!$Q49))</f>
        <v/>
      </c>
      <c r="Q49" s="310" t="n"/>
      <c r="R49" s="311" t="n"/>
      <c r="S49" s="732" t="n"/>
      <c r="T49" s="733" t="n"/>
      <c r="U49" s="734" t="n"/>
      <c r="V49" s="347" t="n"/>
      <c r="W49" s="310" t="n"/>
      <c r="X49" s="350">
        <f>IF(AC49&lt;&gt;"","S"&amp;TEXT(WEEKNUM(AC49,21),"00"),"")</f>
        <v/>
      </c>
      <c r="Y49" s="350">
        <f>IF(Data!$AC49="","",YEAR(Data!$AC49))</f>
        <v/>
      </c>
      <c r="Z49" s="350">
        <f>IF(Data!$AC49="","",MONTH(Data!$AC49))</f>
        <v/>
      </c>
      <c r="AA49" s="310" t="n"/>
      <c r="AB49" s="312" t="n"/>
      <c r="AC49" s="310" t="n"/>
      <c r="AD49" s="732" t="n"/>
      <c r="AE49" s="310" t="n"/>
      <c r="AF49" s="302" t="n"/>
      <c r="AH49" s="347" t="n"/>
      <c r="AI49" s="340" t="n">
        <v>1</v>
      </c>
      <c r="AJ49" s="340" t="inlineStr">
        <is>
          <t>Réparation RT6050</t>
        </is>
      </c>
      <c r="AK49" s="347" t="n"/>
      <c r="AL49" s="340" t="inlineStr">
        <is>
          <t>Attente réception moyen</t>
        </is>
      </c>
      <c r="AM49" s="347" t="n"/>
      <c r="AN49" s="350" t="n"/>
      <c r="AO49" s="347" t="n"/>
      <c r="AP49" s="340" t="inlineStr">
        <is>
          <t>L:\KL_CO\110_HYFR\AFFAIRES 2021\AIR ARABIA MAROC\Devis n° 4701 - Réparation RT6050</t>
        </is>
      </c>
      <c r="AQ49" s="347" t="n"/>
      <c r="AR49" s="313" t="n"/>
      <c r="AS49" s="347" t="n"/>
      <c r="AT49" s="736" t="n"/>
      <c r="AU49" s="736" t="n"/>
      <c r="AV49" s="731">
        <f>IF(AT49="","",S49-AT49-AU49)</f>
        <v/>
      </c>
      <c r="AW49" s="331">
        <f>IFERROR(IF(tbl_DCFC[[#This Row],[F Montant HT]]="","",tbl_DCFC[[#This Row],[Marge]]/tbl_DCFC[[#This Row],[F Montant HT]]),"")</f>
        <v/>
      </c>
    </row>
    <row r="50" ht="15" customHeight="1" s="701">
      <c r="A50" s="724" t="n"/>
      <c r="B50" s="347">
        <f>IFERROR(INDEX(Tabelle2[BU],MATCH(tbl_DCFC[[#This Row],[Categorie]],CAT,0)),"")</f>
        <v/>
      </c>
      <c r="C50" s="301" t="n"/>
      <c r="D50" s="724" t="n">
        <v>44547</v>
      </c>
      <c r="E50" s="314" t="n">
        <v>4702</v>
      </c>
      <c r="F50" s="301" t="inlineStr">
        <is>
          <t>A</t>
        </is>
      </c>
      <c r="G50" s="301" t="inlineStr">
        <is>
          <t>HYDRO SYSTEMS KG</t>
        </is>
      </c>
      <c r="H50" s="301" t="inlineStr">
        <is>
          <t>DASSAULT</t>
        </is>
      </c>
      <c r="I50" s="725" t="n">
        <v>856.8</v>
      </c>
      <c r="J50" s="301" t="inlineStr">
        <is>
          <t>ABA</t>
        </is>
      </c>
      <c r="K50" s="301" t="inlineStr">
        <is>
          <t>SERVICE OTHER AIA</t>
        </is>
      </c>
      <c r="L50" s="301" t="inlineStr">
        <is>
          <t>Annulé</t>
        </is>
      </c>
      <c r="M50" s="347" t="n"/>
      <c r="N50" s="350">
        <f>IF(Q50&lt;&gt;"","S"&amp;TEXT(WEEKNUM(Q50,21),"00"),"")</f>
        <v/>
      </c>
      <c r="O50" s="350">
        <f>IF(Data!$Q50="","",YEAR(Data!$Q50))</f>
        <v/>
      </c>
      <c r="P50" s="350">
        <f>IF(Data!$Q50="","",MONTH(Data!$Q50))</f>
        <v/>
      </c>
      <c r="Q50" s="310" t="n"/>
      <c r="R50" s="311" t="n"/>
      <c r="S50" s="732" t="n"/>
      <c r="T50" s="733" t="n"/>
      <c r="U50" s="734" t="n"/>
      <c r="V50" s="347" t="n"/>
      <c r="W50" s="310" t="n"/>
      <c r="X50" s="350">
        <f>IF(AC50&lt;&gt;"","S"&amp;TEXT(WEEKNUM(AC50,21),"00"),"")</f>
        <v/>
      </c>
      <c r="Y50" s="350">
        <f>IF(Data!$AC50="","",YEAR(Data!$AC50))</f>
        <v/>
      </c>
      <c r="Z50" s="350">
        <f>IF(Data!$AC50="","",MONTH(Data!$AC50))</f>
        <v/>
      </c>
      <c r="AA50" s="310" t="n"/>
      <c r="AB50" s="312" t="n"/>
      <c r="AC50" s="310" t="n"/>
      <c r="AD50" s="732" t="n"/>
      <c r="AE50" s="310" t="n">
        <v>44631</v>
      </c>
      <c r="AF50" s="302" t="n"/>
      <c r="AH50" s="347" t="n"/>
      <c r="AI50" s="315" t="n">
        <v>1</v>
      </c>
      <c r="AJ50" s="315" t="inlineStr">
        <is>
          <t>VGP cric F7XC203259602</t>
        </is>
      </c>
      <c r="AK50" s="347" t="n"/>
      <c r="AL50" s="340" t="inlineStr">
        <is>
          <t>Fait par HYKG car pas possible de créer fournisseur HYFR</t>
        </is>
      </c>
      <c r="AM50" s="347" t="n"/>
      <c r="AN50" s="350" t="n"/>
      <c r="AO50" s="347" t="n"/>
      <c r="AP50" s="315" t="inlineStr">
        <is>
          <t>L:\KL_CO\110_HYFR\AFFAIRES 2021\DASSAULT\Devis n°4702A - Cric F7XC203259602</t>
        </is>
      </c>
      <c r="AQ50" s="347" t="n"/>
      <c r="AR50" s="317" t="n"/>
      <c r="AS50" s="347" t="n"/>
      <c r="AT50" s="740" t="n"/>
      <c r="AU50" s="740" t="n"/>
      <c r="AV50" s="731">
        <f>IF(AT50="","",S50-AT50-AU50)</f>
        <v/>
      </c>
      <c r="AW50" s="331">
        <f>IFERROR(IF(tbl_DCFC[[#This Row],[F Montant HT]]="","",tbl_DCFC[[#This Row],[Marge]]/tbl_DCFC[[#This Row],[F Montant HT]]),"")</f>
        <v/>
      </c>
    </row>
    <row r="51" ht="15" customHeight="1" s="701">
      <c r="A51" s="744" t="n">
        <v>44564</v>
      </c>
      <c r="B51" s="347">
        <f>IFERROR(INDEX(Tabelle2[BU],MATCH(tbl_DCFC[[#This Row],[Categorie]],CAT,0)),"")</f>
        <v/>
      </c>
      <c r="C51" s="315">
        <f>IF(D51&lt;&gt;"","S"&amp;TEXT(WEEKNUM(D51,21),"00"),"")</f>
        <v/>
      </c>
      <c r="D51" s="744" t="n">
        <v>44564</v>
      </c>
      <c r="E51" s="350" t="n">
        <v>4704</v>
      </c>
      <c r="F51" s="350" t="inlineStr">
        <is>
          <t>A</t>
        </is>
      </c>
      <c r="G51" s="350" t="inlineStr">
        <is>
          <t>ROLLS ROYCE</t>
        </is>
      </c>
      <c r="H51" s="350" t="n"/>
      <c r="I51" s="745" t="n">
        <v>3238</v>
      </c>
      <c r="J51" s="350" t="inlineStr">
        <is>
          <t>ASI</t>
        </is>
      </c>
      <c r="K51" s="350" t="inlineStr">
        <is>
          <t>SERVICE OTHER AIA</t>
        </is>
      </c>
      <c r="L51" s="337" t="inlineStr">
        <is>
          <t>Accepté</t>
        </is>
      </c>
      <c r="M51" s="347" t="n"/>
      <c r="N51">
        <f>IF(Q51&lt;&gt;"","S"&amp;TEXT(WEEKNUM(Q51,21),"00"),"")</f>
        <v/>
      </c>
      <c r="O51">
        <f>IF(Data!$Q51="","",YEAR(Data!$Q51))</f>
        <v/>
      </c>
      <c r="P51">
        <f>IF(Data!$Q51="","",MONTH(Data!$Q51))</f>
        <v/>
      </c>
      <c r="Q51" s="163" t="n">
        <v>44608</v>
      </c>
      <c r="R51" t="inlineStr">
        <is>
          <t>2022-004</t>
        </is>
      </c>
      <c r="S51" s="709" t="n">
        <v>3238</v>
      </c>
      <c r="V51" s="347" t="n"/>
      <c r="W51" s="163" t="n"/>
      <c r="X51">
        <f>IF(AC51&lt;&gt;"","S"&amp;TEXT(WEEKNUM(AC51,21),"00"),"")</f>
        <v/>
      </c>
      <c r="Y51">
        <f>IF(Data!$AC51="","",YEAR(Data!$AC51))</f>
        <v/>
      </c>
      <c r="Z51">
        <f>IF(Data!$AC51="","",MONTH(Data!$AC51))</f>
        <v/>
      </c>
      <c r="AA51" s="163" t="n"/>
      <c r="AD51" s="709" t="n"/>
      <c r="AE51" s="163" t="n">
        <v>44680</v>
      </c>
      <c r="AF51" s="302" t="n"/>
      <c r="AH51" s="347" t="n"/>
      <c r="AI51" s="340" t="n">
        <v>1</v>
      </c>
      <c r="AJ51" s="340" t="inlineStr">
        <is>
          <t>Réparation RRT095945</t>
        </is>
      </c>
      <c r="AK51" s="347" t="n"/>
      <c r="AM51" s="347" t="n"/>
      <c r="AN51" s="350" t="n"/>
      <c r="AO51" s="347" t="n"/>
      <c r="AP51" s="340" t="inlineStr">
        <is>
          <t>L:\KL_CO\110_HYFR\AFFAIRES 2022\ROLLS ROYCE\Devis n° 4704 - Réparation RRT095945</t>
        </is>
      </c>
      <c r="AQ51" s="347" t="n"/>
      <c r="AR51" s="313" t="n"/>
      <c r="AS51" s="347" t="n"/>
      <c r="AT51" s="736" t="n"/>
      <c r="AU51" s="736" t="n"/>
      <c r="AV51" s="731">
        <f>IF(AT51="","",S51-AT51-AU51)</f>
        <v/>
      </c>
      <c r="AW51" s="331">
        <f>IFERROR(IF(tbl_DCFC[[#This Row],[F Montant HT]]="","",tbl_DCFC[[#This Row],[Marge]]/tbl_DCFC[[#This Row],[F Montant HT]]),"")</f>
        <v/>
      </c>
    </row>
    <row r="52" ht="15" customHeight="1" s="701">
      <c r="A52" s="744" t="n">
        <v>44566</v>
      </c>
      <c r="B52" s="347">
        <f>IFERROR(INDEX(Tabelle2[BU],MATCH(tbl_DCFC[[#This Row],[Categorie]],CAT,0)),"")</f>
        <v/>
      </c>
      <c r="C52" s="315">
        <f>IF(D52&lt;&gt;"","S"&amp;TEXT(WEEKNUM(D52,21),"00"),"")</f>
        <v/>
      </c>
      <c r="D52" s="744" t="n">
        <v>44566</v>
      </c>
      <c r="E52" s="350" t="n">
        <v>4705</v>
      </c>
      <c r="F52" s="350" t="inlineStr">
        <is>
          <t>A</t>
        </is>
      </c>
      <c r="G52" s="350" t="inlineStr">
        <is>
          <t>ACTEMIUM</t>
        </is>
      </c>
      <c r="H52" s="350" t="n"/>
      <c r="I52" s="745" t="n">
        <v>660</v>
      </c>
      <c r="J52" s="350" t="inlineStr">
        <is>
          <t>ASI</t>
        </is>
      </c>
      <c r="K52" s="350" t="inlineStr">
        <is>
          <t>SERVICE OTHER AIA</t>
        </is>
      </c>
      <c r="L52" s="337" t="inlineStr">
        <is>
          <t>Accepté</t>
        </is>
      </c>
      <c r="M52" s="347" t="n"/>
      <c r="N52">
        <f>IF(Q52&lt;&gt;"","S"&amp;TEXT(WEEKNUM(Q52,21),"00"),"")</f>
        <v/>
      </c>
      <c r="O52">
        <f>IF(Data!$Q52="","",YEAR(Data!$Q52))</f>
        <v/>
      </c>
      <c r="P52">
        <f>IF(Data!$Q52="","",MONTH(Data!$Q52))</f>
        <v/>
      </c>
      <c r="Q52" s="163" t="n">
        <v>44578</v>
      </c>
      <c r="R52" t="inlineStr">
        <is>
          <t>2022-007</t>
        </is>
      </c>
      <c r="S52" s="709" t="n">
        <v>660</v>
      </c>
      <c r="V52" s="347" t="n"/>
      <c r="W52" s="163" t="n"/>
      <c r="X52">
        <f>IF(AC52&lt;&gt;"","S"&amp;TEXT(WEEKNUM(AC52,21),"00"),"")</f>
        <v/>
      </c>
      <c r="Y52">
        <f>IF(Data!$AC52="","",YEAR(Data!$AC52))</f>
        <v/>
      </c>
      <c r="Z52">
        <f>IF(Data!$AC52="","",MONTH(Data!$AC52))</f>
        <v/>
      </c>
      <c r="AA52" s="163" t="n">
        <v>44610</v>
      </c>
      <c r="AB52" t="n">
        <v>5204</v>
      </c>
      <c r="AC52" s="163" t="n">
        <v>44610</v>
      </c>
      <c r="AD52" s="709" t="n">
        <v>660</v>
      </c>
      <c r="AE52" s="163" t="n">
        <v>44617</v>
      </c>
      <c r="AF52" s="302" t="n"/>
      <c r="AH52" s="347" t="n"/>
      <c r="AI52" s="340" t="n">
        <v>1</v>
      </c>
      <c r="AJ52" s="340" t="inlineStr">
        <is>
          <t>Calibraion PVTP91</t>
        </is>
      </c>
      <c r="AK52" s="347" t="n"/>
      <c r="AM52" s="347" t="n"/>
      <c r="AN52" s="350" t="n"/>
      <c r="AO52" s="347" t="n"/>
      <c r="AP52" s="340" t="inlineStr">
        <is>
          <t>L:\KL_CO\110_HYFR\AFFAIRES 2022\ACTEMIUM\Devis n°4705_Calibration PVTP91-100</t>
        </is>
      </c>
      <c r="AQ52" s="347" t="n"/>
      <c r="AR52" s="313" t="n"/>
      <c r="AS52" s="347" t="n"/>
      <c r="AT52" s="736" t="n">
        <v>387.03</v>
      </c>
      <c r="AU52" s="736" t="n">
        <v>100</v>
      </c>
      <c r="AV52" s="731">
        <f>IF(AT52="","",S52-AT52-AU52)</f>
        <v/>
      </c>
      <c r="AW52" s="331">
        <f>IFERROR(IF(tbl_DCFC[[#This Row],[F Montant HT]]="","",tbl_DCFC[[#This Row],[Marge]]/tbl_DCFC[[#This Row],[F Montant HT]]),"")</f>
        <v/>
      </c>
    </row>
    <row r="53" ht="15" customHeight="1" s="701">
      <c r="A53" s="744" t="n">
        <v>44568</v>
      </c>
      <c r="B53" s="347">
        <f>IFERROR(INDEX(Tabelle2[BU],MATCH(tbl_DCFC[[#This Row],[Categorie]],CAT,0)),"")</f>
        <v/>
      </c>
      <c r="C53" s="315">
        <f>IF(D53&lt;&gt;"","S"&amp;TEXT(WEEKNUM(D53,21),"00"),"")</f>
        <v/>
      </c>
      <c r="D53" s="744" t="n">
        <v>44568</v>
      </c>
      <c r="E53" s="350" t="n">
        <v>4631</v>
      </c>
      <c r="F53" s="350" t="inlineStr">
        <is>
          <t>C</t>
        </is>
      </c>
      <c r="G53" s="350" t="inlineStr">
        <is>
          <t>VALLAIR</t>
        </is>
      </c>
      <c r="H53" s="350" t="n"/>
      <c r="I53" s="745" t="n">
        <v>7387</v>
      </c>
      <c r="J53" s="350" t="inlineStr">
        <is>
          <t>ABA</t>
        </is>
      </c>
      <c r="K53" s="350" t="inlineStr">
        <is>
          <t>SERVICE OTHER AIA</t>
        </is>
      </c>
      <c r="L53" s="337" t="inlineStr">
        <is>
          <t>Annulé</t>
        </is>
      </c>
      <c r="M53" s="347" t="n"/>
      <c r="N53">
        <f>IF(Q53&lt;&gt;"","S"&amp;TEXT(WEEKNUM(Q53,21),"00"),"")</f>
        <v/>
      </c>
      <c r="O53">
        <f>IF(Data!$Q53="","",YEAR(Data!$Q53))</f>
        <v/>
      </c>
      <c r="P53">
        <f>IF(Data!$Q53="","",MONTH(Data!$Q53))</f>
        <v/>
      </c>
      <c r="V53" s="347" t="n"/>
      <c r="W53" s="163" t="n"/>
      <c r="X53">
        <f>IF(AC53&lt;&gt;"","S"&amp;TEXT(WEEKNUM(AC53,21),"00"),"")</f>
        <v/>
      </c>
      <c r="Y53">
        <f>IF(Data!$AC53="","",YEAR(Data!$AC53))</f>
        <v/>
      </c>
      <c r="Z53">
        <f>IF(Data!$AC53="","",MONTH(Data!$AC53))</f>
        <v/>
      </c>
      <c r="AA53" s="163" t="n"/>
      <c r="AD53" s="709" t="n"/>
      <c r="AE53" s="163" t="n"/>
      <c r="AF53" s="302" t="n"/>
      <c r="AH53" s="347" t="n"/>
      <c r="AI53" s="340" t="n">
        <v>1</v>
      </c>
      <c r="AJ53" s="340" t="inlineStr">
        <is>
          <t>Remplacement pièces MLGTMULTI-1-AA + VGP</t>
        </is>
      </c>
      <c r="AK53" s="347" t="n"/>
      <c r="AM53" s="347" t="n"/>
      <c r="AN53" s="350" t="n"/>
      <c r="AO53" s="347" t="n"/>
      <c r="AP53" s="340" t="inlineStr">
        <is>
          <t>L:\KL_CO\110_HYFR\AFFAIRES 2021\VALLAIR\Devis N°4631 - Réparation et Recertification MLGTMULTI</t>
        </is>
      </c>
      <c r="AQ53" s="347" t="n"/>
      <c r="AR53" s="313" t="n"/>
      <c r="AS53" s="347" t="n"/>
      <c r="AT53" s="736" t="n"/>
      <c r="AU53" s="736" t="n"/>
      <c r="AV53" s="731">
        <f>IF(AT53="","",S53-AT53-AU53)</f>
        <v/>
      </c>
      <c r="AW53" s="331">
        <f>IFERROR(IF(tbl_DCFC[[#This Row],[F Montant HT]]="","",tbl_DCFC[[#This Row],[Marge]]/tbl_DCFC[[#This Row],[F Montant HT]]),"")</f>
        <v/>
      </c>
    </row>
    <row r="54" ht="15" customHeight="1" s="701">
      <c r="A54" s="744" t="n">
        <v>44568</v>
      </c>
      <c r="B54" s="347">
        <f>IFERROR(INDEX(Tabelle2[BU],MATCH(tbl_DCFC[[#This Row],[Categorie]],CAT,0)),"")</f>
        <v/>
      </c>
      <c r="C54" s="315">
        <f>IF(D54&lt;&gt;"","S"&amp;TEXT(WEEKNUM(D54,21),"00"),"")</f>
        <v/>
      </c>
      <c r="D54" s="744" t="n">
        <v>44568</v>
      </c>
      <c r="E54" s="350" t="n">
        <v>4706</v>
      </c>
      <c r="F54" s="350" t="inlineStr">
        <is>
          <t>A</t>
        </is>
      </c>
      <c r="G54" s="350" t="inlineStr">
        <is>
          <t>HYDRO SYSTEMS KG</t>
        </is>
      </c>
      <c r="H54" s="350" t="n"/>
      <c r="I54" s="745" t="n">
        <v>1434</v>
      </c>
      <c r="J54" s="350" t="inlineStr">
        <is>
          <t>ABA+ASI</t>
        </is>
      </c>
      <c r="K54" s="350" t="inlineStr">
        <is>
          <t>SERVICE OTHER AIA</t>
        </is>
      </c>
      <c r="L54" s="337" t="inlineStr">
        <is>
          <t>Accepté</t>
        </is>
      </c>
      <c r="M54" s="347" t="n"/>
      <c r="N54">
        <f>IF(Q54&lt;&gt;"","S"&amp;TEXT(WEEKNUM(Q54,21),"00"),"")</f>
        <v/>
      </c>
      <c r="O54">
        <f>IF(Data!$Q54="","",YEAR(Data!$Q54))</f>
        <v/>
      </c>
      <c r="P54">
        <f>IF(Data!$Q54="","",MONTH(Data!$Q54))</f>
        <v/>
      </c>
      <c r="Q54" s="163" t="n">
        <v>44571</v>
      </c>
      <c r="R54" s="343" t="inlineStr">
        <is>
          <t>2022-005</t>
        </is>
      </c>
      <c r="S54" s="709" t="n">
        <v>1434</v>
      </c>
      <c r="V54" s="347" t="n"/>
      <c r="W54" s="163" t="n"/>
      <c r="X54">
        <f>IF(AC54&lt;&gt;"","S"&amp;TEXT(WEEKNUM(AC54,21),"00"),"")</f>
        <v/>
      </c>
      <c r="Y54">
        <f>IF(Data!$AC54="","",YEAR(Data!$AC54))</f>
        <v/>
      </c>
      <c r="Z54">
        <f>IF(Data!$AC54="","",MONTH(Data!$AC54))</f>
        <v/>
      </c>
      <c r="AA54" s="163" t="n">
        <v>44573</v>
      </c>
      <c r="AB54" t="n">
        <v>5190</v>
      </c>
      <c r="AC54" s="163" t="n">
        <v>44581</v>
      </c>
      <c r="AD54" s="709" t="n">
        <v>1434</v>
      </c>
      <c r="AE54" s="163" t="n">
        <v>44575</v>
      </c>
      <c r="AF54" s="302" t="n"/>
      <c r="AH54" s="347" t="n"/>
      <c r="AI54" s="340" t="n">
        <v>1</v>
      </c>
      <c r="AJ54" s="340" t="inlineStr">
        <is>
          <t>Travaux peinture outillage chez Air France</t>
        </is>
      </c>
      <c r="AK54" s="347" t="n"/>
      <c r="AM54" s="347" t="n"/>
      <c r="AN54" s="350" t="n"/>
      <c r="AO54" s="347" t="n"/>
      <c r="AP54" s="340" t="inlineStr">
        <is>
          <t>L:\KL_CO\110_HYFR\AFFAIRES 2022\HYDRO SYSTEMS KG\Devis n°4706_Intervention Air France</t>
        </is>
      </c>
      <c r="AQ54" s="347" t="n"/>
      <c r="AR54" s="313" t="n"/>
      <c r="AS54" s="347" t="n"/>
      <c r="AT54" s="736" t="n"/>
      <c r="AU54" s="736" t="n"/>
      <c r="AV54" s="731">
        <f>IF(AT54="","",S54-AT54-AU54)</f>
        <v/>
      </c>
      <c r="AW54" s="331">
        <f>IFERROR(IF(tbl_DCFC[[#This Row],[F Montant HT]]="","",tbl_DCFC[[#This Row],[Marge]]/tbl_DCFC[[#This Row],[F Montant HT]]),"")</f>
        <v/>
      </c>
    </row>
    <row r="55" ht="15" customHeight="1" s="701">
      <c r="A55" s="744" t="n">
        <v>44568</v>
      </c>
      <c r="B55" s="347">
        <f>IFERROR(INDEX(Tabelle2[BU],MATCH(tbl_DCFC[[#This Row],[Categorie]],CAT,0)),"")</f>
        <v/>
      </c>
      <c r="C55" s="315">
        <f>IF(D55&lt;&gt;"","S"&amp;TEXT(WEEKNUM(D55,21),"00"),"")</f>
        <v/>
      </c>
      <c r="D55" s="744" t="n">
        <v>44568</v>
      </c>
      <c r="E55" s="350" t="n">
        <v>4707</v>
      </c>
      <c r="F55" s="350" t="inlineStr">
        <is>
          <t>A</t>
        </is>
      </c>
      <c r="G55" s="350" t="inlineStr">
        <is>
          <t>AIR France</t>
        </is>
      </c>
      <c r="H55" s="350" t="n"/>
      <c r="I55" s="745" t="n"/>
      <c r="J55" s="350" t="inlineStr">
        <is>
          <t>ASI</t>
        </is>
      </c>
      <c r="K55" s="350" t="inlineStr">
        <is>
          <t>SERVICE OTHER AIA</t>
        </is>
      </c>
      <c r="L55" s="337" t="inlineStr">
        <is>
          <t>Annulé</t>
        </is>
      </c>
      <c r="M55" s="347" t="n"/>
      <c r="N55">
        <f>IF(Q55&lt;&gt;"","S"&amp;TEXT(WEEKNUM(Q55,21),"00"),"")</f>
        <v/>
      </c>
      <c r="O55">
        <f>IF(Data!$Q55="","",YEAR(Data!$Q55))</f>
        <v/>
      </c>
      <c r="P55">
        <f>IF(Data!$Q55="","",MONTH(Data!$Q55))</f>
        <v/>
      </c>
      <c r="V55" s="347" t="n"/>
      <c r="W55" s="163" t="n"/>
      <c r="X55">
        <f>IF(AC55&lt;&gt;"","S"&amp;TEXT(WEEKNUM(AC55,21),"00"),"")</f>
        <v/>
      </c>
      <c r="Y55">
        <f>IF(Data!$AC55="","",YEAR(Data!$AC55))</f>
        <v/>
      </c>
      <c r="Z55">
        <f>IF(Data!$AC55="","",MONTH(Data!$AC55))</f>
        <v/>
      </c>
      <c r="AA55" s="163" t="n"/>
      <c r="AD55" s="709" t="n"/>
      <c r="AE55" s="163" t="n"/>
      <c r="AF55" s="302" t="n"/>
      <c r="AH55" s="347" t="n"/>
      <c r="AI55" s="340" t="n">
        <v>1</v>
      </c>
      <c r="AJ55" s="340" t="inlineStr">
        <is>
          <t>Retrofit RRT111117-1</t>
        </is>
      </c>
      <c r="AK55" s="347" t="n"/>
      <c r="AL55" t="inlineStr">
        <is>
          <t>Fait par HYKG</t>
        </is>
      </c>
      <c r="AM55" s="347" t="n"/>
      <c r="AN55" s="350" t="n"/>
      <c r="AO55" s="347" t="n"/>
      <c r="AP55" s="340" t="inlineStr">
        <is>
          <t>L:\KL_CO\110_HYFR\AFFAIRES 2022\AIR FRANCE\Devis n°4707_Retrofit RRT111117-1</t>
        </is>
      </c>
      <c r="AQ55" s="347" t="n"/>
      <c r="AR55" s="313" t="n"/>
      <c r="AS55" s="347" t="n"/>
      <c r="AT55" s="736" t="n"/>
      <c r="AU55" s="736" t="n"/>
      <c r="AV55" s="731">
        <f>IF(AT55="","",S55-AT55-AU55)</f>
        <v/>
      </c>
      <c r="AW55" s="331">
        <f>IFERROR(IF(tbl_DCFC[[#This Row],[F Montant HT]]="","",tbl_DCFC[[#This Row],[Marge]]/tbl_DCFC[[#This Row],[F Montant HT]]),"")</f>
        <v/>
      </c>
    </row>
    <row r="56" ht="15" customHeight="1" s="701">
      <c r="A56" s="744" t="n">
        <v>44573</v>
      </c>
      <c r="B56" s="347">
        <f>IFERROR(INDEX(Tabelle2[BU],MATCH(tbl_DCFC[[#This Row],[Categorie]],CAT,0)),"")</f>
        <v/>
      </c>
      <c r="C56" s="315">
        <f>IF(D56&lt;&gt;"","S"&amp;TEXT(WEEKNUM(D56,21),"00"),"")</f>
        <v/>
      </c>
      <c r="D56" s="744" t="n">
        <v>44573</v>
      </c>
      <c r="E56" s="350" t="n">
        <v>4641</v>
      </c>
      <c r="F56" s="350" t="inlineStr">
        <is>
          <t>B</t>
        </is>
      </c>
      <c r="G56" s="350" t="inlineStr">
        <is>
          <t>VALLAIR</t>
        </is>
      </c>
      <c r="H56" s="350" t="n"/>
      <c r="I56" s="745" t="n">
        <v>2715</v>
      </c>
      <c r="J56" s="350" t="inlineStr">
        <is>
          <t>ABA</t>
        </is>
      </c>
      <c r="K56" s="350" t="inlineStr">
        <is>
          <t>SERVICE OTHER AIA</t>
        </is>
      </c>
      <c r="L56" s="337" t="inlineStr">
        <is>
          <t>Accepté</t>
        </is>
      </c>
      <c r="M56" s="347" t="n"/>
      <c r="N56">
        <f>IF(Q56&lt;&gt;"","S"&amp;TEXT(WEEKNUM(Q56,21),"00"),"")</f>
        <v/>
      </c>
      <c r="O56">
        <f>IF(Data!$Q56="","",YEAR(Data!$Q56))</f>
        <v/>
      </c>
      <c r="P56">
        <f>IF(Data!$Q56="","",MONTH(Data!$Q56))</f>
        <v/>
      </c>
      <c r="Q56" s="163" t="n">
        <v>44627</v>
      </c>
      <c r="R56" t="inlineStr">
        <is>
          <t>2022-033</t>
        </is>
      </c>
      <c r="S56" s="709" t="n">
        <v>2715</v>
      </c>
      <c r="V56" s="347" t="n"/>
      <c r="W56" s="163" t="n"/>
      <c r="X56">
        <f>IF(AC56&lt;&gt;"","S"&amp;TEXT(WEEKNUM(AC56,21),"00"),"")</f>
        <v/>
      </c>
      <c r="Y56">
        <f>IF(Data!$AC56="","",YEAR(Data!$AC56))</f>
        <v/>
      </c>
      <c r="Z56">
        <f>IF(Data!$AC56="","",MONTH(Data!$AC56))</f>
        <v/>
      </c>
      <c r="AA56" s="163" t="n"/>
      <c r="AD56" s="709" t="n"/>
      <c r="AE56" s="163" t="n">
        <v>44645</v>
      </c>
      <c r="AF56" s="302" t="n"/>
      <c r="AH56" s="347" t="n"/>
      <c r="AI56" s="340" t="n">
        <v>1</v>
      </c>
      <c r="AJ56" s="340" t="inlineStr">
        <is>
          <t>Recertification MLGTMULTI</t>
        </is>
      </c>
      <c r="AK56" s="347" t="n"/>
      <c r="AL56" t="inlineStr">
        <is>
          <t>Attente réception moyen + moyen de test HYKG</t>
        </is>
      </c>
      <c r="AM56" s="347" t="n"/>
      <c r="AN56" s="350" t="n"/>
      <c r="AO56" s="347" t="n"/>
      <c r="AP56" s="340" t="inlineStr">
        <is>
          <t>L:\KL_CO\110_HYFR\AFFAIRES 2021\VALLAIR\Devis n°4641 - Essais en charge MLGTMULTI HYFR</t>
        </is>
      </c>
      <c r="AQ56" s="347" t="n"/>
      <c r="AR56" s="313" t="n"/>
      <c r="AS56" s="347" t="n"/>
      <c r="AT56" s="736" t="n"/>
      <c r="AU56" s="736" t="n"/>
      <c r="AV56" s="731">
        <f>IF(AT56="","",S56-AT56-AU56)</f>
        <v/>
      </c>
      <c r="AW56" s="331">
        <f>IFERROR(IF(tbl_DCFC[[#This Row],[F Montant HT]]="","",tbl_DCFC[[#This Row],[Marge]]/tbl_DCFC[[#This Row],[F Montant HT]]),"")</f>
        <v/>
      </c>
    </row>
    <row r="57" ht="15" customHeight="1" s="701">
      <c r="A57" s="744" t="n">
        <v>44578</v>
      </c>
      <c r="B57" s="347">
        <f>IFERROR(INDEX(Tabelle2[BU],MATCH(tbl_DCFC[[#This Row],[Categorie]],CAT,0)),"")</f>
        <v/>
      </c>
      <c r="C57" s="315">
        <f>IF(D57&lt;&gt;"","S"&amp;TEXT(WEEKNUM(D57,21),"00"),"")</f>
        <v/>
      </c>
      <c r="D57" s="744" t="n">
        <v>44578</v>
      </c>
      <c r="E57" s="350" t="n">
        <v>4708</v>
      </c>
      <c r="F57" s="350" t="inlineStr">
        <is>
          <t>A</t>
        </is>
      </c>
      <c r="G57" s="350" t="inlineStr">
        <is>
          <t>AIRBUS</t>
        </is>
      </c>
      <c r="H57" s="350" t="n"/>
      <c r="I57" s="745" t="n">
        <v>4303</v>
      </c>
      <c r="J57" s="350" t="inlineStr">
        <is>
          <t>ASI</t>
        </is>
      </c>
      <c r="K57" s="350" t="inlineStr">
        <is>
          <t>SERVICE OTHER AIA</t>
        </is>
      </c>
      <c r="L57" s="337" t="inlineStr">
        <is>
          <t>Accepté</t>
        </is>
      </c>
      <c r="M57" s="347" t="n"/>
      <c r="N57">
        <f>IF(Q57&lt;&gt;"","S"&amp;TEXT(WEEKNUM(Q57,21),"00"),"")</f>
        <v/>
      </c>
      <c r="O57">
        <f>IF(Data!$Q57="","",YEAR(Data!$Q57))</f>
        <v/>
      </c>
      <c r="P57">
        <f>IF(Data!$Q57="","",MONTH(Data!$Q57))</f>
        <v/>
      </c>
      <c r="Q57" s="163" t="n">
        <v>44587</v>
      </c>
      <c r="R57" t="inlineStr">
        <is>
          <t>2022-010</t>
        </is>
      </c>
      <c r="S57" s="709" t="n">
        <v>4303</v>
      </c>
      <c r="V57" s="347" t="n"/>
      <c r="W57" s="163" t="n"/>
      <c r="X57">
        <f>IF(AC57&lt;&gt;"","S"&amp;TEXT(WEEKNUM(AC57,21),"00"),"")</f>
        <v/>
      </c>
      <c r="Y57">
        <f>IF(Data!$AC57="","",YEAR(Data!$AC57))</f>
        <v/>
      </c>
      <c r="Z57">
        <f>IF(Data!$AC57="","",MONTH(Data!$AC57))</f>
        <v/>
      </c>
      <c r="AA57" s="163" t="n"/>
      <c r="AD57" s="709" t="n"/>
      <c r="AE57" s="163" t="n">
        <v>44694</v>
      </c>
      <c r="AF57" s="302" t="n"/>
      <c r="AH57" s="347" t="n"/>
      <c r="AI57" s="340" t="n">
        <v>1</v>
      </c>
      <c r="AJ57" s="340" t="inlineStr">
        <is>
          <t>Modification cric SG278-001</t>
        </is>
      </c>
      <c r="AK57" s="347" t="n"/>
      <c r="AM57" s="347" t="n"/>
      <c r="AN57" s="350" t="n"/>
      <c r="AO57" s="347" t="n"/>
      <c r="AP57" s="340" t="inlineStr">
        <is>
          <t>L:\KL_CO\110_HYFR\AFFAIRES 2022\AIRBUS\Devis n°4708 - Modification SG278-001</t>
        </is>
      </c>
      <c r="AQ57" s="347" t="n"/>
      <c r="AR57" s="313" t="n"/>
      <c r="AS57" s="347" t="n"/>
      <c r="AT57" s="736" t="n"/>
      <c r="AU57" s="736" t="n"/>
      <c r="AV57" s="731">
        <f>IF(AT57="","",S57-AT57-AU57)</f>
        <v/>
      </c>
      <c r="AW57" s="331">
        <f>IFERROR(IF(tbl_DCFC[[#This Row],[F Montant HT]]="","",tbl_DCFC[[#This Row],[Marge]]/tbl_DCFC[[#This Row],[F Montant HT]]),"")</f>
        <v/>
      </c>
    </row>
    <row r="58" ht="15" customHeight="1" s="701">
      <c r="A58" s="744" t="n">
        <v>44579</v>
      </c>
      <c r="B58" s="347">
        <f>IFERROR(INDEX(Tabelle2[BU],MATCH(tbl_DCFC[[#This Row],[Categorie]],CAT,0)),"")</f>
        <v/>
      </c>
      <c r="C58" s="315">
        <f>IF(D58&lt;&gt;"","S"&amp;TEXT(WEEKNUM(D58,21),"00"),"")</f>
        <v/>
      </c>
      <c r="D58" s="744" t="n">
        <v>44579</v>
      </c>
      <c r="E58" s="350" t="n">
        <v>4709</v>
      </c>
      <c r="F58" s="350" t="inlineStr">
        <is>
          <t>A</t>
        </is>
      </c>
      <c r="G58" s="350" t="inlineStr">
        <is>
          <t>AIA</t>
        </is>
      </c>
      <c r="H58" s="350" t="n"/>
      <c r="I58" s="745" t="n">
        <v>2120</v>
      </c>
      <c r="J58" s="350" t="inlineStr">
        <is>
          <t>ABA</t>
        </is>
      </c>
      <c r="K58" s="350" t="inlineStr">
        <is>
          <t>SERVICE AIA</t>
        </is>
      </c>
      <c r="L58" s="337" t="inlineStr">
        <is>
          <t>Accepté</t>
        </is>
      </c>
      <c r="M58" s="347" t="n"/>
      <c r="N58">
        <f>IF(Q58&lt;&gt;"","S"&amp;TEXT(WEEKNUM(Q58,21),"00"),"")</f>
        <v/>
      </c>
      <c r="O58">
        <f>IF(Data!$Q58="","",YEAR(Data!$Q58))</f>
        <v/>
      </c>
      <c r="P58">
        <f>IF(Data!$Q58="","",MONTH(Data!$Q58))</f>
        <v/>
      </c>
      <c r="Q58" s="163" t="n">
        <v>44601</v>
      </c>
      <c r="R58" t="inlineStr">
        <is>
          <t>2022-016</t>
        </is>
      </c>
      <c r="S58" s="709" t="n">
        <v>2120</v>
      </c>
      <c r="V58" s="347" t="n"/>
      <c r="W58" s="163" t="n"/>
      <c r="X58">
        <f>IF(AC58&lt;&gt;"","S"&amp;TEXT(WEEKNUM(AC58,21),"00"),"")</f>
        <v/>
      </c>
      <c r="Y58">
        <f>IF(Data!$AC58="","",YEAR(Data!$AC58))</f>
        <v/>
      </c>
      <c r="Z58">
        <f>IF(Data!$AC58="","",MONTH(Data!$AC58))</f>
        <v/>
      </c>
      <c r="AA58" s="163" t="n"/>
      <c r="AD58" s="709" t="n"/>
      <c r="AE58" s="163" t="n">
        <v>44664</v>
      </c>
      <c r="AF58" s="302" t="n"/>
      <c r="AH58" s="347" t="n"/>
      <c r="AI58" s="340" t="n">
        <v>4</v>
      </c>
      <c r="AJ58" s="340" t="inlineStr">
        <is>
          <t>Remise en service crics et vérins</t>
        </is>
      </c>
      <c r="AK58" s="347" t="n"/>
      <c r="AL58" t="inlineStr">
        <is>
          <t>Noria n°7 - Remise en service 3ème partie</t>
        </is>
      </c>
      <c r="AM58" s="347" t="n"/>
      <c r="AN58" s="350" t="n"/>
      <c r="AO58" s="347" t="n"/>
      <c r="AP58" s="340" t="inlineStr">
        <is>
          <t>L:\KL_CO\110_HYFR\AFFAIRES 2022\AIA\Devis n°4709 - Maintenance Noria n°7</t>
        </is>
      </c>
      <c r="AQ58" s="347" t="n"/>
      <c r="AR58" s="313" t="n"/>
      <c r="AS58" s="347" t="n"/>
      <c r="AT58" s="736" t="n">
        <v>2750</v>
      </c>
      <c r="AU58" s="736" t="n">
        <v>1105</v>
      </c>
      <c r="AV58" s="731">
        <f>IF(AT58="","",S58-AT58-AU58)</f>
        <v/>
      </c>
      <c r="AW58" s="331">
        <f>IFERROR(IF(tbl_DCFC[[#This Row],[F Montant HT]]="","",tbl_DCFC[[#This Row],[Marge]]/tbl_DCFC[[#This Row],[F Montant HT]]),"")</f>
        <v/>
      </c>
    </row>
    <row r="59" ht="15" customHeight="1" s="701">
      <c r="A59" s="744" t="n">
        <v>44579</v>
      </c>
      <c r="B59" s="347">
        <f>IFERROR(INDEX(Tabelle2[BU],MATCH(tbl_DCFC[[#This Row],[Categorie]],CAT,0)),"")</f>
        <v/>
      </c>
      <c r="C59" s="315">
        <f>IF(D59&lt;&gt;"","S"&amp;TEXT(WEEKNUM(D59,21),"00"),"")</f>
        <v/>
      </c>
      <c r="D59" s="744" t="n">
        <v>44579</v>
      </c>
      <c r="E59" s="350" t="n">
        <v>4710</v>
      </c>
      <c r="F59" s="350" t="inlineStr">
        <is>
          <t>A</t>
        </is>
      </c>
      <c r="G59" s="350" t="inlineStr">
        <is>
          <t>AIA</t>
        </is>
      </c>
      <c r="H59" s="350" t="n"/>
      <c r="I59" s="745" t="n">
        <v>230</v>
      </c>
      <c r="J59" s="350" t="inlineStr">
        <is>
          <t>ABA</t>
        </is>
      </c>
      <c r="K59" s="350" t="inlineStr">
        <is>
          <t>SERVICE AIA</t>
        </is>
      </c>
      <c r="L59" s="337" t="inlineStr">
        <is>
          <t>Accepté</t>
        </is>
      </c>
      <c r="M59" s="347" t="n"/>
      <c r="N59">
        <f>IF(Q59&lt;&gt;"","S"&amp;TEXT(WEEKNUM(Q59,21),"00"),"")</f>
        <v/>
      </c>
      <c r="O59">
        <f>IF(Data!$Q59="","",YEAR(Data!$Q59))</f>
        <v/>
      </c>
      <c r="P59">
        <f>IF(Data!$Q59="","",MONTH(Data!$Q59))</f>
        <v/>
      </c>
      <c r="Q59" s="163" t="n">
        <v>44621</v>
      </c>
      <c r="R59" t="inlineStr">
        <is>
          <t>2022-027</t>
        </is>
      </c>
      <c r="S59" s="709" t="n">
        <v>230</v>
      </c>
      <c r="V59" s="347" t="n"/>
      <c r="W59" s="163" t="n"/>
      <c r="X59">
        <f>IF(AC59&lt;&gt;"","S"&amp;TEXT(WEEKNUM(AC59,21),"00"),"")</f>
        <v/>
      </c>
      <c r="Y59">
        <f>IF(Data!$AC59="","",YEAR(Data!$AC59))</f>
        <v/>
      </c>
      <c r="Z59">
        <f>IF(Data!$AC59="","",MONTH(Data!$AC59))</f>
        <v/>
      </c>
      <c r="AA59" s="163" t="n">
        <v>44644</v>
      </c>
      <c r="AB59" t="n">
        <v>5223</v>
      </c>
      <c r="AC59" s="163" t="n">
        <v>44645</v>
      </c>
      <c r="AD59" s="709" t="n">
        <v>230</v>
      </c>
      <c r="AE59" s="163" t="n">
        <v>44677</v>
      </c>
      <c r="AF59" s="302" t="n"/>
      <c r="AH59" s="347" t="n"/>
      <c r="AI59" s="340" t="n">
        <v>1</v>
      </c>
      <c r="AJ59" s="340" t="inlineStr">
        <is>
          <t>Maintenance curative crics et vérins</t>
        </is>
      </c>
      <c r="AK59" s="347" t="n"/>
      <c r="AL59" t="inlineStr">
        <is>
          <t>Noria n°7 - devis maintenance curative à remettre le 02/03/2022 - Envoyé le 23/02/2022</t>
        </is>
      </c>
      <c r="AM59" s="347" t="n"/>
      <c r="AN59" s="350" t="n"/>
      <c r="AO59" s="347" t="n"/>
      <c r="AP59" s="340" t="inlineStr">
        <is>
          <t>L:\KL_CO\110_HYFR\AFFAIRES 2022\AIA\Devis n°4710 - Curatif Noria n°7</t>
        </is>
      </c>
      <c r="AQ59" s="347" t="n"/>
      <c r="AR59" s="313" t="n"/>
      <c r="AS59" s="347" t="n"/>
      <c r="AT59" s="736" t="n">
        <v>26</v>
      </c>
      <c r="AU59" s="736" t="n"/>
      <c r="AV59" s="731">
        <f>IF(AT59="","",S59-AT59-AU59)</f>
        <v/>
      </c>
      <c r="AW59" s="331">
        <f>IFERROR(IF(tbl_DCFC[[#This Row],[F Montant HT]]="","",tbl_DCFC[[#This Row],[Marge]]/tbl_DCFC[[#This Row],[F Montant HT]]),"")</f>
        <v/>
      </c>
    </row>
    <row r="60" ht="15" customHeight="1" s="701">
      <c r="A60" s="744" t="n">
        <v>44579</v>
      </c>
      <c r="B60" s="347">
        <f>IFERROR(INDEX(Tabelle2[BU],MATCH(tbl_DCFC[[#This Row],[Categorie]],CAT,0)),"")</f>
        <v/>
      </c>
      <c r="C60" s="315">
        <f>IF(D60&lt;&gt;"","S"&amp;TEXT(WEEKNUM(D60,21),"00"),"")</f>
        <v/>
      </c>
      <c r="D60" s="744" t="n">
        <v>44579</v>
      </c>
      <c r="E60" s="350" t="n">
        <v>4711</v>
      </c>
      <c r="F60" s="350" t="inlineStr">
        <is>
          <t>A</t>
        </is>
      </c>
      <c r="G60" s="350" t="inlineStr">
        <is>
          <t>SABENA NIMES</t>
        </is>
      </c>
      <c r="H60" s="350" t="n"/>
      <c r="I60" s="745" t="n">
        <v>4144</v>
      </c>
      <c r="J60" s="350" t="inlineStr">
        <is>
          <t>ABA</t>
        </is>
      </c>
      <c r="K60" s="350" t="inlineStr">
        <is>
          <t>SERVICE OTHER AIA</t>
        </is>
      </c>
      <c r="L60" s="337" t="inlineStr">
        <is>
          <t>Accepté</t>
        </is>
      </c>
      <c r="M60" s="347" t="n"/>
      <c r="N60">
        <f>IF(Q60&lt;&gt;"","S"&amp;TEXT(WEEKNUM(Q60,21),"00"),"")</f>
        <v/>
      </c>
      <c r="O60">
        <f>IF(Data!$Q60="","",YEAR(Data!$Q60))</f>
        <v/>
      </c>
      <c r="P60">
        <f>IF(Data!$Q60="","",MONTH(Data!$Q60))</f>
        <v/>
      </c>
      <c r="Q60" s="163" t="n">
        <v>44630</v>
      </c>
      <c r="R60" t="inlineStr">
        <is>
          <t>2022-013</t>
        </is>
      </c>
      <c r="S60" s="709" t="n">
        <v>4144</v>
      </c>
      <c r="V60" s="347" t="n"/>
      <c r="W60" s="163" t="n"/>
      <c r="X60">
        <f>IF(AC60&lt;&gt;"","S"&amp;TEXT(WEEKNUM(AC60,21),"00"),"")</f>
        <v/>
      </c>
      <c r="Y60">
        <f>IF(Data!$AC60="","",YEAR(Data!$AC60))</f>
        <v/>
      </c>
      <c r="Z60">
        <f>IF(Data!$AC60="","",MONTH(Data!$AC60))</f>
        <v/>
      </c>
      <c r="AA60" s="163" t="n"/>
      <c r="AD60" s="709" t="n"/>
      <c r="AE60" s="163" t="n">
        <v>44659</v>
      </c>
      <c r="AF60" s="302" t="n"/>
      <c r="AH60" s="347" t="n"/>
      <c r="AI60" s="340" t="n">
        <v>1</v>
      </c>
      <c r="AJ60" s="340" t="inlineStr">
        <is>
          <t>Réparation RT6050-001</t>
        </is>
      </c>
      <c r="AK60" s="347" t="n"/>
      <c r="AL60" t="inlineStr">
        <is>
          <t>Attente mise à jour PO client</t>
        </is>
      </c>
      <c r="AM60" s="347" t="n"/>
      <c r="AN60" s="350" t="n"/>
      <c r="AO60" s="347" t="n"/>
      <c r="AP60" s="340" t="inlineStr">
        <is>
          <t>L:\KL_CO\110_HYFR\AFFAIRES 2022\SABENA NIMES\Devis n° 4711 - Réparation RT6050-001</t>
        </is>
      </c>
      <c r="AQ60" s="347" t="n"/>
      <c r="AR60" s="313" t="n"/>
      <c r="AS60" s="347" t="n"/>
      <c r="AT60" s="736" t="n"/>
      <c r="AU60" s="736" t="n"/>
      <c r="AV60" s="731">
        <f>IF(AT60="","",S60-AT60-AU60)</f>
        <v/>
      </c>
      <c r="AW60" s="331">
        <f>IFERROR(IF(tbl_DCFC[[#This Row],[F Montant HT]]="","",tbl_DCFC[[#This Row],[Marge]]/tbl_DCFC[[#This Row],[F Montant HT]]),"")</f>
        <v/>
      </c>
    </row>
    <row r="61" ht="15" customHeight="1" s="701">
      <c r="A61" s="744" t="n">
        <v>44580</v>
      </c>
      <c r="B61" s="347">
        <f>IFERROR(INDEX(Tabelle2[BU],MATCH(tbl_DCFC[[#This Row],[Categorie]],CAT,0)),"")</f>
        <v/>
      </c>
      <c r="C61" s="315">
        <f>IF(D61&lt;&gt;"","S"&amp;TEXT(WEEKNUM(D61,21),"00"),"")</f>
        <v/>
      </c>
      <c r="D61" s="744" t="n">
        <v>44580</v>
      </c>
      <c r="E61" s="350" t="n">
        <v>4698</v>
      </c>
      <c r="F61" s="350" t="inlineStr">
        <is>
          <t>B</t>
        </is>
      </c>
      <c r="G61" s="350" t="inlineStr">
        <is>
          <t>HOP</t>
        </is>
      </c>
      <c r="H61" s="350" t="n"/>
      <c r="I61" s="745" t="n">
        <v>3773</v>
      </c>
      <c r="J61" s="350" t="inlineStr">
        <is>
          <t>ABA</t>
        </is>
      </c>
      <c r="K61" s="350" t="inlineStr">
        <is>
          <t>SERVICE OTHER AIA</t>
        </is>
      </c>
      <c r="L61" s="337" t="inlineStr">
        <is>
          <t>Accepté</t>
        </is>
      </c>
      <c r="M61" s="347" t="n"/>
      <c r="N61">
        <f>IF(Q61&lt;&gt;"","S"&amp;TEXT(WEEKNUM(Q61,21),"00"),"")</f>
        <v/>
      </c>
      <c r="O61">
        <f>IF(Data!$Q61="","",YEAR(Data!$Q61))</f>
        <v/>
      </c>
      <c r="P61">
        <f>IF(Data!$Q61="","",MONTH(Data!$Q61))</f>
        <v/>
      </c>
      <c r="Q61" s="163" t="n">
        <v>44587</v>
      </c>
      <c r="R61" t="inlineStr">
        <is>
          <t>2021-107</t>
        </is>
      </c>
      <c r="S61" s="709" t="n">
        <v>3773</v>
      </c>
      <c r="V61" s="347" t="n"/>
      <c r="W61" s="163" t="n"/>
      <c r="X61">
        <f>IF(AC61&lt;&gt;"","S"&amp;TEXT(WEEKNUM(AC61,21),"00"),"")</f>
        <v/>
      </c>
      <c r="Y61">
        <f>IF(Data!$AC61="","",YEAR(Data!$AC61))</f>
        <v/>
      </c>
      <c r="Z61">
        <f>IF(Data!$AC61="","",MONTH(Data!$AC61))</f>
        <v/>
      </c>
      <c r="AA61" s="163" t="n">
        <v>44636</v>
      </c>
      <c r="AB61" t="n">
        <v>5214</v>
      </c>
      <c r="AC61" s="163" t="n">
        <v>44638</v>
      </c>
      <c r="AD61" s="709" t="n">
        <v>3773</v>
      </c>
      <c r="AE61" s="163" t="n">
        <v>44624</v>
      </c>
      <c r="AF61" s="302" t="n"/>
      <c r="AH61" s="347" t="n"/>
      <c r="AI61" s="340" t="n">
        <v>1</v>
      </c>
      <c r="AJ61" s="340" t="inlineStr">
        <is>
          <t>Recertification cric RT4550-001 non conforme</t>
        </is>
      </c>
      <c r="AK61" s="347" t="n"/>
      <c r="AL61" t="inlineStr">
        <is>
          <t>Devis neuf envoyé : le client a choisi la réparation</t>
        </is>
      </c>
      <c r="AM61" s="347" t="n"/>
      <c r="AN61" s="350" t="n"/>
      <c r="AO61" s="347" t="n"/>
      <c r="AP61" s="340" t="inlineStr">
        <is>
          <t>L:\KL_CO\110_HYFR\AFFAIRES 2021\HOP\Devis n°4698A - Recertification RT4550-001</t>
        </is>
      </c>
      <c r="AQ61" s="347" t="n"/>
      <c r="AR61" s="313" t="n"/>
      <c r="AS61" s="347" t="n"/>
      <c r="AT61" s="736" t="n">
        <v>819</v>
      </c>
      <c r="AU61" s="736" t="n">
        <v>312.5</v>
      </c>
      <c r="AV61" s="731">
        <f>IF(AT61="","",S61-AT61-AU61)</f>
        <v/>
      </c>
      <c r="AW61" s="331">
        <f>IFERROR(IF(tbl_DCFC[[#This Row],[F Montant HT]]="","",tbl_DCFC[[#This Row],[Marge]]/tbl_DCFC[[#This Row],[F Montant HT]]),"")</f>
        <v/>
      </c>
    </row>
    <row r="62" ht="15" customHeight="1" s="701">
      <c r="A62" s="744" t="n">
        <v>44581</v>
      </c>
      <c r="B62" s="347">
        <f>IFERROR(INDEX(Tabelle2[BU],MATCH(tbl_DCFC[[#This Row],[Categorie]],CAT,0)),"")</f>
        <v/>
      </c>
      <c r="C62" s="315">
        <f>IF(D62&lt;&gt;"","S"&amp;TEXT(WEEKNUM(D62,21),"00"),"")</f>
        <v/>
      </c>
      <c r="D62" s="744" t="n">
        <v>44581</v>
      </c>
      <c r="E62" s="350" t="n">
        <v>4712</v>
      </c>
      <c r="F62" s="350" t="inlineStr">
        <is>
          <t>A</t>
        </is>
      </c>
      <c r="G62" s="350" t="inlineStr">
        <is>
          <t>ROLLS ROYCE</t>
        </is>
      </c>
      <c r="H62" s="350" t="n"/>
      <c r="I62" s="745" t="n">
        <v>5541</v>
      </c>
      <c r="J62" s="350" t="inlineStr">
        <is>
          <t>ASI</t>
        </is>
      </c>
      <c r="K62" s="350" t="inlineStr">
        <is>
          <t>SERVICE OTHER AIA</t>
        </is>
      </c>
      <c r="L62" s="337" t="inlineStr">
        <is>
          <t>Accepté</t>
        </is>
      </c>
      <c r="M62" s="347" t="n"/>
      <c r="N62">
        <f>IF(Q62&lt;&gt;"","S"&amp;TEXT(WEEKNUM(Q62,21),"00"),"")</f>
        <v/>
      </c>
      <c r="O62">
        <f>IF(Data!$Q62="","",YEAR(Data!$Q62))</f>
        <v/>
      </c>
      <c r="P62">
        <f>IF(Data!$Q62="","",MONTH(Data!$Q62))</f>
        <v/>
      </c>
      <c r="Q62" s="163" t="n">
        <v>44615</v>
      </c>
      <c r="R62" t="inlineStr">
        <is>
          <t>2022-008</t>
        </is>
      </c>
      <c r="S62" s="709" t="n">
        <v>5541</v>
      </c>
      <c r="V62" s="347" t="n"/>
      <c r="W62" s="163" t="n">
        <v>44581</v>
      </c>
      <c r="X62">
        <f>IF(AC62&lt;&gt;"","S"&amp;TEXT(WEEKNUM(AC62,21),"00"),"")</f>
        <v/>
      </c>
      <c r="Y62">
        <f>IF(Data!$AC62="","",YEAR(Data!$AC62))</f>
        <v/>
      </c>
      <c r="Z62">
        <f>IF(Data!$AC62="","",MONTH(Data!$AC62))</f>
        <v/>
      </c>
      <c r="AA62" s="163" t="n"/>
      <c r="AD62" s="709" t="n"/>
      <c r="AE62" s="163" t="n">
        <v>44722</v>
      </c>
      <c r="AF62" s="302" t="n"/>
      <c r="AH62" s="347" t="n"/>
      <c r="AI62" s="340" t="n">
        <v>1</v>
      </c>
      <c r="AJ62" s="340" t="inlineStr">
        <is>
          <t>Réparation RRT050571-3 S/N 10</t>
        </is>
      </c>
      <c r="AK62" s="347" t="n"/>
      <c r="AM62" s="347" t="n"/>
      <c r="AN62" s="350" t="n"/>
      <c r="AO62" s="347" t="n"/>
      <c r="AP62" s="340" t="inlineStr">
        <is>
          <t>L:\KL_CO\110_HYFR\AFFAIRES 2022\ROLLS ROYCE\Devis n° 4712 - Réparation RRT050571-3</t>
        </is>
      </c>
      <c r="AQ62" s="347" t="n"/>
      <c r="AR62" s="313" t="n"/>
      <c r="AS62" s="347" t="n"/>
      <c r="AT62" s="736" t="n"/>
      <c r="AU62" s="736" t="n"/>
      <c r="AV62" s="731">
        <f>IF(AT62="","",S62-AT62-AU62)</f>
        <v/>
      </c>
      <c r="AW62" s="331">
        <f>IFERROR(IF(tbl_DCFC[[#This Row],[F Montant HT]]="","",tbl_DCFC[[#This Row],[Marge]]/tbl_DCFC[[#This Row],[F Montant HT]]),"")</f>
        <v/>
      </c>
    </row>
    <row r="63" ht="15" customHeight="1" s="701">
      <c r="A63" s="744" t="n">
        <v>44586</v>
      </c>
      <c r="B63" s="347">
        <f>IFERROR(INDEX(Tabelle2[BU],MATCH(tbl_DCFC[[#This Row],[Categorie]],CAT,0)),"")</f>
        <v/>
      </c>
      <c r="C63" s="315">
        <f>IF(D63&lt;&gt;"","S"&amp;TEXT(WEEKNUM(D63,21),"00"),"")</f>
        <v/>
      </c>
      <c r="D63" s="744" t="n">
        <v>44586</v>
      </c>
      <c r="E63" s="350" t="n">
        <v>4713</v>
      </c>
      <c r="F63" s="350" t="inlineStr">
        <is>
          <t>A</t>
        </is>
      </c>
      <c r="G63" s="350" t="inlineStr">
        <is>
          <t>HOP</t>
        </is>
      </c>
      <c r="H63" s="350" t="n"/>
      <c r="I63" s="745" t="n">
        <v>660</v>
      </c>
      <c r="J63" s="350" t="inlineStr">
        <is>
          <t>ABA</t>
        </is>
      </c>
      <c r="K63" s="350" t="inlineStr">
        <is>
          <t>SERVICE OTHER AIA</t>
        </is>
      </c>
      <c r="L63" s="337" t="inlineStr">
        <is>
          <t>Accepté</t>
        </is>
      </c>
      <c r="M63" s="347" t="n"/>
      <c r="N63">
        <f>IF(Q63&lt;&gt;"","S"&amp;TEXT(WEEKNUM(Q63,21),"00"),"")</f>
        <v/>
      </c>
      <c r="O63">
        <f>IF(Data!$Q63="","",YEAR(Data!$Q63))</f>
        <v/>
      </c>
      <c r="P63">
        <f>IF(Data!$Q63="","",MONTH(Data!$Q63))</f>
        <v/>
      </c>
      <c r="Q63" s="163" t="n">
        <v>44587</v>
      </c>
      <c r="R63" t="inlineStr">
        <is>
          <t>2022-009</t>
        </is>
      </c>
      <c r="S63" s="709" t="n">
        <v>660</v>
      </c>
      <c r="V63" s="347" t="n"/>
      <c r="W63" s="163" t="n"/>
      <c r="X63">
        <f>IF(AC63&lt;&gt;"","S"&amp;TEXT(WEEKNUM(AC63,21),"00"),"")</f>
        <v/>
      </c>
      <c r="Y63">
        <f>IF(Data!$AC63="","",YEAR(Data!$AC63))</f>
        <v/>
      </c>
      <c r="Z63">
        <f>IF(Data!$AC63="","",MONTH(Data!$AC63))</f>
        <v/>
      </c>
      <c r="AA63" s="163" t="n">
        <v>44592</v>
      </c>
      <c r="AB63" t="n">
        <v>5194</v>
      </c>
      <c r="AC63" s="163" t="n">
        <v>44592</v>
      </c>
      <c r="AD63" s="709" t="n">
        <v>660</v>
      </c>
      <c r="AE63" s="163" t="n">
        <v>44596</v>
      </c>
      <c r="AF63" s="302" t="n"/>
      <c r="AH63" s="347" t="n"/>
      <c r="AI63" s="340" t="n">
        <v>1</v>
      </c>
      <c r="AJ63" s="340" t="inlineStr">
        <is>
          <t>Recertification cric RT4550-001</t>
        </is>
      </c>
      <c r="AK63" s="347" t="n"/>
      <c r="AM63" s="347" t="n"/>
      <c r="AN63" s="350" t="n"/>
      <c r="AO63" s="347" t="n"/>
      <c r="AP63" s="340" t="inlineStr">
        <is>
          <t>L:\KL_CO\110_HYFR\AFFAIRES 2022\HOP\Devis n°4713 - Recertification RT4550</t>
        </is>
      </c>
      <c r="AQ63" s="347" t="n"/>
      <c r="AR63" s="313" t="n"/>
      <c r="AS63" s="347" t="n"/>
      <c r="AT63" s="736" t="n"/>
      <c r="AU63" s="736" t="n">
        <v>237.5</v>
      </c>
      <c r="AV63" s="731">
        <f>IF(AT63="","",S63-AT63-AU63)</f>
        <v/>
      </c>
      <c r="AW63" s="331">
        <f>IFERROR(IF(tbl_DCFC[[#This Row],[F Montant HT]]="","",tbl_DCFC[[#This Row],[Marge]]/tbl_DCFC[[#This Row],[F Montant HT]]),"")</f>
        <v/>
      </c>
    </row>
    <row r="64" ht="15" customHeight="1" s="701">
      <c r="A64" s="744" t="n">
        <v>44589</v>
      </c>
      <c r="B64" s="347">
        <f>IFERROR(INDEX(Tabelle2[BU],MATCH(tbl_DCFC[[#This Row],[Categorie]],CAT,0)),"")</f>
        <v/>
      </c>
      <c r="C64" s="315">
        <f>IF(D64&lt;&gt;"","S"&amp;TEXT(WEEKNUM(D64,21),"00"),"")</f>
        <v/>
      </c>
      <c r="D64" s="744" t="n">
        <v>44589</v>
      </c>
      <c r="E64" s="350" t="n"/>
      <c r="F64" s="350" t="n"/>
      <c r="G64" s="350" t="inlineStr">
        <is>
          <t>OPCO 2I</t>
        </is>
      </c>
      <c r="H64" s="350" t="n"/>
      <c r="I64" s="745" t="n"/>
      <c r="J64" s="350" t="inlineStr">
        <is>
          <t>NA</t>
        </is>
      </c>
      <c r="K64" s="350" t="n"/>
      <c r="L64" s="337" t="n"/>
      <c r="M64" s="347" t="n"/>
      <c r="O64">
        <f>IF(Data!$Q64="","",YEAR(Data!$Q64))</f>
        <v/>
      </c>
      <c r="P64">
        <f>IF(Data!$Q64="","",MONTH(Data!$Q64))</f>
        <v/>
      </c>
      <c r="R64" t="inlineStr">
        <is>
          <t>2022-011</t>
        </is>
      </c>
      <c r="V64" s="347" t="n"/>
      <c r="W64" s="163" t="n"/>
      <c r="X64">
        <f>IF(AC64&lt;&gt;"","S"&amp;TEXT(WEEKNUM(AC64,21),"00"),"")</f>
        <v/>
      </c>
      <c r="Y64">
        <f>IF(Data!$AC64="","",YEAR(Data!$AC64))</f>
        <v/>
      </c>
      <c r="Z64">
        <f>IF(Data!$AC64="","",MONTH(Data!$AC64))</f>
        <v/>
      </c>
      <c r="AA64" s="163" t="n"/>
      <c r="AB64" t="n">
        <v>5193</v>
      </c>
      <c r="AC64" s="163" t="n">
        <v>44589</v>
      </c>
      <c r="AD64" s="709" t="n">
        <v>395</v>
      </c>
      <c r="AE64" s="163" t="n"/>
      <c r="AF64" s="302" t="n"/>
      <c r="AH64" s="347" t="n"/>
      <c r="AI64" s="340" t="n">
        <v>1</v>
      </c>
      <c r="AJ64" s="340" t="inlineStr">
        <is>
          <t>Habilitation électrique</t>
        </is>
      </c>
      <c r="AK64" s="347" t="n"/>
      <c r="AM64" s="347" t="n"/>
      <c r="AN64" s="350" t="n"/>
      <c r="AO64" s="347" t="n"/>
      <c r="AP64" s="340" t="n"/>
      <c r="AQ64" s="347" t="n"/>
      <c r="AR64" s="313" t="n"/>
      <c r="AS64" s="347" t="n"/>
      <c r="AT64" s="736" t="n"/>
      <c r="AU64" s="736" t="n"/>
      <c r="AV64" s="731" t="n"/>
      <c r="AW64" s="331" t="n"/>
    </row>
    <row r="65" ht="15" customHeight="1" s="701">
      <c r="A65" s="744" t="n">
        <v>44589</v>
      </c>
      <c r="B65" s="347">
        <f>IFERROR(INDEX(Tabelle2[BU],MATCH(tbl_DCFC[[#This Row],[Categorie]],CAT,0)),"")</f>
        <v/>
      </c>
      <c r="C65" s="315">
        <f>IF(D65&lt;&gt;"","S"&amp;TEXT(WEEKNUM(D65,21),"00"),"")</f>
        <v/>
      </c>
      <c r="D65" s="744" t="n">
        <v>44589</v>
      </c>
      <c r="E65" s="350" t="n"/>
      <c r="F65" s="350" t="n"/>
      <c r="G65" s="350" t="inlineStr">
        <is>
          <t>OPCO 2I</t>
        </is>
      </c>
      <c r="H65" s="350" t="n"/>
      <c r="I65" s="745" t="n"/>
      <c r="J65" s="350" t="inlineStr">
        <is>
          <t>NA</t>
        </is>
      </c>
      <c r="K65" s="350" t="n"/>
      <c r="L65" s="337" t="n"/>
      <c r="M65" s="347" t="n"/>
      <c r="N65">
        <f>IF(Q65&lt;&gt;"","S"&amp;TEXT(WEEKNUM(Q65,21),"00"),"")</f>
        <v/>
      </c>
      <c r="O65">
        <f>IF(Data!$Q65="","",YEAR(Data!$Q65))</f>
        <v/>
      </c>
      <c r="P65">
        <f>IF(Data!$Q65="","",MONTH(Data!$Q65))</f>
        <v/>
      </c>
      <c r="R65" t="inlineStr">
        <is>
          <t>2022-011</t>
        </is>
      </c>
      <c r="V65" s="347" t="n"/>
      <c r="W65" s="163" t="n"/>
      <c r="X65">
        <f>IF(AC65&lt;&gt;"","S"&amp;TEXT(WEEKNUM(AC65,21),"00"),"")</f>
        <v/>
      </c>
      <c r="Y65">
        <f>IF(Data!$AC65="","",YEAR(Data!$AC65))</f>
        <v/>
      </c>
      <c r="Z65">
        <f>IF(Data!$AC65="","",MONTH(Data!$AC65))</f>
        <v/>
      </c>
      <c r="AA65" s="163" t="n"/>
      <c r="AB65" t="n">
        <v>5192</v>
      </c>
      <c r="AC65" s="163" t="n">
        <v>44589</v>
      </c>
      <c r="AD65" s="709" t="n">
        <v>395</v>
      </c>
      <c r="AE65" s="163" t="n"/>
      <c r="AF65" s="302" t="n"/>
      <c r="AH65" s="347" t="n"/>
      <c r="AI65" s="340" t="n">
        <v>1</v>
      </c>
      <c r="AJ65" s="340" t="inlineStr">
        <is>
          <t>Habilitation électrique</t>
        </is>
      </c>
      <c r="AK65" s="347" t="n"/>
      <c r="AM65" s="347" t="n"/>
      <c r="AN65" s="350" t="n"/>
      <c r="AO65" s="347" t="n"/>
      <c r="AP65" s="340" t="n"/>
      <c r="AQ65" s="347" t="n"/>
      <c r="AR65" s="313" t="n"/>
      <c r="AS65" s="347" t="n"/>
      <c r="AT65" s="736" t="n"/>
      <c r="AU65" s="736" t="n"/>
      <c r="AV65" s="731">
        <f>IF(AT65="","",S65-AT65-AU65)</f>
        <v/>
      </c>
      <c r="AW65" s="331">
        <f>IFERROR(IF(tbl_DCFC[[#This Row],[F Montant HT]]="","",tbl_DCFC[[#This Row],[Marge]]/tbl_DCFC[[#This Row],[F Montant HT]]),"")</f>
        <v/>
      </c>
    </row>
    <row r="66" ht="15" customHeight="1" s="701">
      <c r="A66" s="744" t="n">
        <v>44588</v>
      </c>
      <c r="B66" s="347">
        <f>IFERROR(INDEX(Tabelle2[BU],MATCH(tbl_DCFC[[#This Row],[Categorie]],CAT,0)),"")</f>
        <v/>
      </c>
      <c r="C66" s="315">
        <f>IF(D66&lt;&gt;"","S"&amp;TEXT(WEEKNUM(D66,21),"00"),"")</f>
        <v/>
      </c>
      <c r="D66" s="744" t="n">
        <v>44588</v>
      </c>
      <c r="E66" s="350" t="n">
        <v>4715</v>
      </c>
      <c r="F66" s="350" t="inlineStr">
        <is>
          <t>A</t>
        </is>
      </c>
      <c r="G66" s="350" t="inlineStr">
        <is>
          <t>DMAé</t>
        </is>
      </c>
      <c r="H66" s="350" t="n"/>
      <c r="I66" s="745" t="n"/>
      <c r="J66" s="350" t="inlineStr">
        <is>
          <t>ABA</t>
        </is>
      </c>
      <c r="K66" s="350" t="inlineStr">
        <is>
          <t>SERVICE AIA</t>
        </is>
      </c>
      <c r="L66" s="337" t="inlineStr">
        <is>
          <t>Opportunité</t>
        </is>
      </c>
      <c r="M66" s="347" t="n"/>
      <c r="N66">
        <f>IF(Q66&lt;&gt;"","S"&amp;TEXT(WEEKNUM(Q66,21),"00"),"")</f>
        <v/>
      </c>
      <c r="O66">
        <f>IF(Data!$Q66="","",YEAR(Data!$Q66))</f>
        <v/>
      </c>
      <c r="P66">
        <f>IF(Data!$Q66="","",MONTH(Data!$Q66))</f>
        <v/>
      </c>
      <c r="V66" s="347" t="n"/>
      <c r="W66" s="163" t="n"/>
      <c r="X66">
        <f>IF(AC66&lt;&gt;"","S"&amp;TEXT(WEEKNUM(AC66,21),"00"),"")</f>
        <v/>
      </c>
      <c r="Y66">
        <f>IF(Data!$AC66="","",YEAR(Data!$AC66))</f>
        <v/>
      </c>
      <c r="Z66">
        <f>IF(Data!$AC66="","",MONTH(Data!$AC66))</f>
        <v/>
      </c>
      <c r="AA66" s="163" t="n"/>
      <c r="AD66" s="709" t="n"/>
      <c r="AE66" s="163" t="n"/>
      <c r="AF66" s="302" t="n"/>
      <c r="AH66" s="347" t="n"/>
      <c r="AI66" s="340" t="n">
        <v>1</v>
      </c>
      <c r="AJ66" s="340" t="inlineStr">
        <is>
          <t>Docks de nez AWACS</t>
        </is>
      </c>
      <c r="AK66" s="347" t="n"/>
      <c r="AM66" s="347" t="n"/>
      <c r="AN66" s="350" t="n"/>
      <c r="AO66" s="347" t="n"/>
      <c r="AP66" s="340" t="inlineStr">
        <is>
          <t>L:\KL_CO\110_HYFR\AFFAIRES 2022\DMAé\Devis n° 4715 - Acquisition d'un dock de nez AWACS</t>
        </is>
      </c>
      <c r="AQ66" s="347" t="n"/>
      <c r="AR66" s="313" t="n"/>
      <c r="AS66" s="347" t="n"/>
      <c r="AT66" s="736" t="n"/>
      <c r="AU66" s="736" t="n"/>
      <c r="AV66" s="731">
        <f>IF(AT66="","",S66-AT66-AU66)</f>
        <v/>
      </c>
      <c r="AW66" s="331">
        <f>IFERROR(IF(tbl_DCFC[[#This Row],[F Montant HT]]="","",tbl_DCFC[[#This Row],[Marge]]/tbl_DCFC[[#This Row],[F Montant HT]]),"")</f>
        <v/>
      </c>
    </row>
    <row r="67" ht="15" customHeight="1" s="701">
      <c r="A67" s="744" t="n">
        <v>44595</v>
      </c>
      <c r="B67" s="347">
        <f>IFERROR(INDEX(Tabelle2[BU],MATCH(tbl_DCFC[[#This Row],[Categorie]],CAT,0)),"")</f>
        <v/>
      </c>
      <c r="C67" s="315">
        <f>IF(D67&lt;&gt;"","S"&amp;TEXT(WEEKNUM(D67,21),"00"),"")</f>
        <v/>
      </c>
      <c r="D67" s="744" t="n">
        <v>44595</v>
      </c>
      <c r="E67" s="350" t="n">
        <v>4714</v>
      </c>
      <c r="F67" s="350" t="inlineStr">
        <is>
          <t>A</t>
        </is>
      </c>
      <c r="G67" s="350" t="inlineStr">
        <is>
          <t>HYDRO SYSTEMS KG</t>
        </is>
      </c>
      <c r="H67" s="350" t="inlineStr">
        <is>
          <t>AIRBUS DEFENSE &amp; SPACE</t>
        </is>
      </c>
      <c r="I67" s="745" t="n">
        <v>18596</v>
      </c>
      <c r="J67" s="350" t="inlineStr">
        <is>
          <t>ABA+ASI</t>
        </is>
      </c>
      <c r="K67" s="350" t="inlineStr">
        <is>
          <t>SERVICE OTHER AIA</t>
        </is>
      </c>
      <c r="L67" s="337" t="inlineStr">
        <is>
          <t>Annulé</t>
        </is>
      </c>
      <c r="M67" s="347" t="n"/>
      <c r="N67">
        <f>IF(Q67&lt;&gt;"","S"&amp;TEXT(WEEKNUM(Q67,21),"00"),"")</f>
        <v/>
      </c>
      <c r="O67">
        <f>IF(Data!$Q67="","",YEAR(Data!$Q67))</f>
        <v/>
      </c>
      <c r="P67">
        <f>IF(Data!$Q67="","",MONTH(Data!$Q67))</f>
        <v/>
      </c>
      <c r="V67" s="347" t="n"/>
      <c r="W67" s="163" t="n"/>
      <c r="X67">
        <f>IF(AC67&lt;&gt;"","S"&amp;TEXT(WEEKNUM(AC67,21),"00"),"")</f>
        <v/>
      </c>
      <c r="Y67">
        <f>IF(Data!$AC67="","",YEAR(Data!$AC67))</f>
        <v/>
      </c>
      <c r="Z67">
        <f>IF(Data!$AC67="","",MONTH(Data!$AC67))</f>
        <v/>
      </c>
      <c r="AA67" s="163" t="n"/>
      <c r="AD67" s="709" t="n"/>
      <c r="AE67" s="163" t="n"/>
      <c r="AF67" s="302" t="n"/>
      <c r="AH67" s="347" t="n"/>
      <c r="AI67" s="340" t="n">
        <v>1</v>
      </c>
      <c r="AJ67" s="340" t="inlineStr">
        <is>
          <t>Recertification vérins A400M Clermont-Ferrand</t>
        </is>
      </c>
      <c r="AK67" s="347" t="n"/>
      <c r="AL67" t="inlineStr">
        <is>
          <t>Commande ADS reçue à HYKG</t>
        </is>
      </c>
      <c r="AM67" s="347" t="n"/>
      <c r="AN67" s="350" t="n"/>
      <c r="AO67" s="347" t="n"/>
      <c r="AP67" s="340" t="inlineStr">
        <is>
          <t>L:\KL_CO\110_HYFR\AFFAIRES 2022\HYDRO SYSTEMS KG\Devis n°4714 - Maintenance pour ADS vérins A400M CF</t>
        </is>
      </c>
      <c r="AQ67" s="347" t="n"/>
      <c r="AR67" s="313" t="n"/>
      <c r="AS67" s="347" t="n"/>
      <c r="AT67" s="736" t="n"/>
      <c r="AU67" s="736" t="n"/>
      <c r="AV67" s="731">
        <f>IF(AT67="","",S67-AT67-AU67)</f>
        <v/>
      </c>
      <c r="AW67" s="331">
        <f>IFERROR(IF(tbl_DCFC[[#This Row],[F Montant HT]]="","",tbl_DCFC[[#This Row],[Marge]]/tbl_DCFC[[#This Row],[F Montant HT]]),"")</f>
        <v/>
      </c>
    </row>
    <row r="68" ht="15" customHeight="1" s="701">
      <c r="A68" s="744" t="n">
        <v>44596</v>
      </c>
      <c r="B68" s="347">
        <f>IFERROR(INDEX(Tabelle2[BU],MATCH(tbl_DCFC[[#This Row],[Categorie]],CAT,0)),"")</f>
        <v/>
      </c>
      <c r="C68" s="315">
        <f>IF(D68&lt;&gt;"","S"&amp;TEXT(WEEKNUM(D68,21),"00"),"")</f>
        <v/>
      </c>
      <c r="D68" s="744" t="n">
        <v>44596</v>
      </c>
      <c r="E68" s="350" t="n">
        <v>4716</v>
      </c>
      <c r="F68" s="350" t="inlineStr">
        <is>
          <t>A</t>
        </is>
      </c>
      <c r="G68" s="350" t="inlineStr">
        <is>
          <t>ROYAL AIR MAROC</t>
        </is>
      </c>
      <c r="H68" s="350" t="n"/>
      <c r="I68" s="745" t="n">
        <v>1250</v>
      </c>
      <c r="J68" s="350" t="inlineStr">
        <is>
          <t>ASI</t>
        </is>
      </c>
      <c r="K68" s="350" t="inlineStr">
        <is>
          <t>SERVICE OTHER AIA</t>
        </is>
      </c>
      <c r="L68" s="337" t="inlineStr">
        <is>
          <t>En Attente</t>
        </is>
      </c>
      <c r="M68" s="347" t="n"/>
      <c r="N68">
        <f>IF(Q68&lt;&gt;"","S"&amp;TEXT(WEEKNUM(Q68,21),"00"),"")</f>
        <v/>
      </c>
      <c r="O68">
        <f>IF(Data!$Q68="","",YEAR(Data!$Q68))</f>
        <v/>
      </c>
      <c r="P68">
        <f>IF(Data!$Q68="","",MONTH(Data!$Q68))</f>
        <v/>
      </c>
      <c r="V68" s="347" t="n"/>
      <c r="W68" s="163" t="n"/>
      <c r="X68">
        <f>IF(AC68&lt;&gt;"","S"&amp;TEXT(WEEKNUM(AC68,21),"00"),"")</f>
        <v/>
      </c>
      <c r="Y68">
        <f>IF(Data!$AC68="","",YEAR(Data!$AC68))</f>
        <v/>
      </c>
      <c r="Z68">
        <f>IF(Data!$AC68="","",MONTH(Data!$AC68))</f>
        <v/>
      </c>
      <c r="AA68" s="163" t="n"/>
      <c r="AD68" s="709" t="n"/>
      <c r="AE68" s="163" t="n"/>
      <c r="AF68" s="302" t="n"/>
      <c r="AH68" s="347" t="n"/>
      <c r="AI68" s="340" t="n">
        <v>1</v>
      </c>
      <c r="AJ68" s="340" t="inlineStr">
        <is>
          <t>Recertification outillages</t>
        </is>
      </c>
      <c r="AK68" s="347" t="n"/>
      <c r="AM68" s="347" t="n"/>
      <c r="AN68" s="350" t="n"/>
      <c r="AO68" s="347" t="n"/>
      <c r="AP68" s="340" t="inlineStr">
        <is>
          <t>L:\KL_CO\110_HYFR\AFFAIRES 2022\ROYAL AIR MAROC\Devis n°4716 - Calibration outillages</t>
        </is>
      </c>
      <c r="AQ68" s="347" t="n"/>
      <c r="AR68" s="313" t="n"/>
      <c r="AS68" s="347" t="n"/>
      <c r="AT68" s="736" t="n"/>
      <c r="AU68" s="736" t="n"/>
      <c r="AV68" s="731">
        <f>IF(AT68="","",S68-AT68-AU68)</f>
        <v/>
      </c>
      <c r="AW68" s="331">
        <f>IFERROR(IF(tbl_DCFC[[#This Row],[F Montant HT]]="","",tbl_DCFC[[#This Row],[Marge]]/tbl_DCFC[[#This Row],[F Montant HT]]),"")</f>
        <v/>
      </c>
    </row>
    <row r="69" ht="15" customHeight="1" s="701">
      <c r="A69" s="744" t="n">
        <v>44596</v>
      </c>
      <c r="B69" s="347">
        <f>IFERROR(INDEX(Tabelle2[BU],MATCH(tbl_DCFC[[#This Row],[Categorie]],CAT,0)),"")</f>
        <v/>
      </c>
      <c r="C69" s="315">
        <f>IF(D69&lt;&gt;"","S"&amp;TEXT(WEEKNUM(D69,21),"00"),"")</f>
        <v/>
      </c>
      <c r="D69" s="744" t="n">
        <v>44596</v>
      </c>
      <c r="E69" s="350" t="n">
        <v>4717</v>
      </c>
      <c r="F69" s="350" t="inlineStr">
        <is>
          <t>A</t>
        </is>
      </c>
      <c r="G69" s="350" t="inlineStr">
        <is>
          <t>ROYAL AIR MAROC</t>
        </is>
      </c>
      <c r="H69" s="350" t="n"/>
      <c r="I69" s="745" t="n"/>
      <c r="J69" s="350" t="inlineStr">
        <is>
          <t>ASI</t>
        </is>
      </c>
      <c r="K69" s="350" t="inlineStr">
        <is>
          <t>SERVICE OTHER AIA</t>
        </is>
      </c>
      <c r="L69" s="337" t="inlineStr">
        <is>
          <t>Opportunité</t>
        </is>
      </c>
      <c r="M69" s="347" t="n"/>
      <c r="N69">
        <f>IF(Q69&lt;&gt;"","S"&amp;TEXT(WEEKNUM(Q69,21),"00"),"")</f>
        <v/>
      </c>
      <c r="O69">
        <f>IF(Data!$Q69="","",YEAR(Data!$Q69))</f>
        <v/>
      </c>
      <c r="P69">
        <f>IF(Data!$Q69="","",MONTH(Data!$Q69))</f>
        <v/>
      </c>
      <c r="V69" s="347" t="n"/>
      <c r="W69" s="163" t="n"/>
      <c r="X69">
        <f>IF(AC69&lt;&gt;"","S"&amp;TEXT(WEEKNUM(AC69,21),"00"),"")</f>
        <v/>
      </c>
      <c r="Y69">
        <f>IF(Data!$AC69="","",YEAR(Data!$AC69))</f>
        <v/>
      </c>
      <c r="Z69">
        <f>IF(Data!$AC69="","",MONTH(Data!$AC69))</f>
        <v/>
      </c>
      <c r="AA69" s="163" t="n"/>
      <c r="AD69" s="709" t="n"/>
      <c r="AE69" s="163" t="n"/>
      <c r="AF69" s="302" t="n"/>
      <c r="AH69" s="347" t="n"/>
      <c r="AI69" s="340" t="n">
        <v>2</v>
      </c>
      <c r="AJ69" s="340" t="inlineStr">
        <is>
          <t>Réparation vérins</t>
        </is>
      </c>
      <c r="AK69" s="347" t="n"/>
      <c r="AM69" s="347" t="n"/>
      <c r="AN69" s="350" t="n"/>
      <c r="AO69" s="347" t="n"/>
      <c r="AP69" s="340" t="inlineStr">
        <is>
          <t>L:\KL_CO\110_HYFR\AFFAIRES 2022\ROYAL AIR MAROC\Devis n°4717 - Réparation vérins</t>
        </is>
      </c>
      <c r="AQ69" s="347" t="n"/>
      <c r="AR69" s="313" t="n"/>
      <c r="AS69" s="347" t="n"/>
      <c r="AT69" s="736" t="n"/>
      <c r="AU69" s="736" t="n"/>
      <c r="AV69" s="731">
        <f>IF(AT69="","",S69-AT69-AU69)</f>
        <v/>
      </c>
      <c r="AW69" s="331">
        <f>IFERROR(IF(tbl_DCFC[[#This Row],[F Montant HT]]="","",tbl_DCFC[[#This Row],[Marge]]/tbl_DCFC[[#This Row],[F Montant HT]]),"")</f>
        <v/>
      </c>
    </row>
    <row r="70" ht="15" customHeight="1" s="701">
      <c r="A70" s="744" t="n">
        <v>44596</v>
      </c>
      <c r="B70" s="347">
        <f>IFERROR(INDEX(Tabelle2[BU],MATCH(tbl_DCFC[[#This Row],[Categorie]],CAT,0)),"")</f>
        <v/>
      </c>
      <c r="C70" s="315">
        <f>IF(D70&lt;&gt;"","S"&amp;TEXT(WEEKNUM(D70,21),"00"),"")</f>
        <v/>
      </c>
      <c r="D70" s="744" t="n">
        <v>44596</v>
      </c>
      <c r="E70" s="350" t="n">
        <v>4718</v>
      </c>
      <c r="F70" s="350" t="inlineStr">
        <is>
          <t>A</t>
        </is>
      </c>
      <c r="G70" s="350" t="inlineStr">
        <is>
          <t>ROYAL AIR MAROC</t>
        </is>
      </c>
      <c r="H70" s="350" t="n"/>
      <c r="I70" s="745" t="n">
        <v>1650</v>
      </c>
      <c r="J70" s="350" t="inlineStr">
        <is>
          <t>ASI</t>
        </is>
      </c>
      <c r="K70" s="350" t="inlineStr">
        <is>
          <t>SERVICE OTHER AIA</t>
        </is>
      </c>
      <c r="L70" s="337" t="inlineStr">
        <is>
          <t>Accepté</t>
        </is>
      </c>
      <c r="M70" s="347" t="n"/>
      <c r="N70">
        <f>IF(Q70&lt;&gt;"","S"&amp;TEXT(WEEKNUM(Q70,21),"00"),"")</f>
        <v/>
      </c>
      <c r="O70">
        <f>IF(Data!$Q70="","",YEAR(Data!$Q70))</f>
        <v/>
      </c>
      <c r="P70">
        <f>IF(Data!$Q70="","",MONTH(Data!$Q70))</f>
        <v/>
      </c>
      <c r="Q70" s="163" t="n">
        <v>44642</v>
      </c>
      <c r="R70" t="inlineStr">
        <is>
          <t>2022-040</t>
        </is>
      </c>
      <c r="S70" s="709" t="n">
        <v>1740</v>
      </c>
      <c r="V70" s="347" t="n"/>
      <c r="W70" s="163" t="n">
        <v>44644</v>
      </c>
      <c r="X70">
        <f>IF(AC70&lt;&gt;"","S"&amp;TEXT(WEEKNUM(AC70,21),"00"),"")</f>
        <v/>
      </c>
      <c r="Y70">
        <f>IF(Data!$AC70="","",YEAR(Data!$AC70))</f>
        <v/>
      </c>
      <c r="Z70">
        <f>IF(Data!$AC70="","",MONTH(Data!$AC70))</f>
        <v/>
      </c>
      <c r="AA70" s="163" t="n"/>
      <c r="AD70" s="709" t="n"/>
      <c r="AE70" s="163" t="n"/>
      <c r="AF70" s="302" t="n"/>
      <c r="AH70" s="347" t="n"/>
      <c r="AI70" s="340" t="n">
        <v>1</v>
      </c>
      <c r="AJ70" s="340" t="inlineStr">
        <is>
          <t>Recertification bootstrap</t>
        </is>
      </c>
      <c r="AK70" s="347" t="n"/>
      <c r="AM70" s="347" t="n"/>
      <c r="AN70" s="350" t="n"/>
      <c r="AO70" s="347" t="n"/>
      <c r="AP70" s="340" t="inlineStr">
        <is>
          <t>L:\KL_CO\110_HYFR\AFFAIRES 2022\ROYAL AIR MAROC\Devis n°4718 - Calibration outillages Boeing</t>
        </is>
      </c>
      <c r="AQ70" s="347" t="n"/>
      <c r="AR70" s="313" t="n"/>
      <c r="AS70" s="347" t="n"/>
      <c r="AT70" s="736" t="n"/>
      <c r="AU70" s="736" t="n"/>
      <c r="AV70" s="731">
        <f>IF(AT70="","",S70-AT70-AU70)</f>
        <v/>
      </c>
      <c r="AW70" s="331">
        <f>IFERROR(IF(tbl_DCFC[[#This Row],[F Montant HT]]="","",tbl_DCFC[[#This Row],[Marge]]/tbl_DCFC[[#This Row],[F Montant HT]]),"")</f>
        <v/>
      </c>
    </row>
    <row r="71" ht="15" customHeight="1" s="701">
      <c r="A71" s="744" t="n">
        <v>44596</v>
      </c>
      <c r="B71" s="347">
        <f>IFERROR(INDEX(Tabelle2[BU],MATCH(tbl_DCFC[[#This Row],[Categorie]],CAT,0)),"")</f>
        <v/>
      </c>
      <c r="C71" s="315">
        <f>IF(D71&lt;&gt;"","S"&amp;TEXT(WEEKNUM(D71,21),"00"),"")</f>
        <v/>
      </c>
      <c r="D71" s="744" t="n">
        <v>44596</v>
      </c>
      <c r="E71" s="350" t="n">
        <v>4719</v>
      </c>
      <c r="F71" s="350" t="inlineStr">
        <is>
          <t>A</t>
        </is>
      </c>
      <c r="G71" s="350" t="inlineStr">
        <is>
          <t>ROYAL AIR MAROC</t>
        </is>
      </c>
      <c r="H71" s="350" t="n"/>
      <c r="I71" s="745" t="n"/>
      <c r="J71" s="350" t="inlineStr">
        <is>
          <t>ASI</t>
        </is>
      </c>
      <c r="K71" s="350" t="inlineStr">
        <is>
          <t>SERVICE OTHER AIA</t>
        </is>
      </c>
      <c r="L71" s="337" t="inlineStr">
        <is>
          <t>Opportunité</t>
        </is>
      </c>
      <c r="M71" s="347" t="n"/>
      <c r="N71">
        <f>IF(Q71&lt;&gt;"","S"&amp;TEXT(WEEKNUM(Q71,21),"00"),"")</f>
        <v/>
      </c>
      <c r="O71">
        <f>IF(Data!$Q71="","",YEAR(Data!$Q71))</f>
        <v/>
      </c>
      <c r="P71">
        <f>IF(Data!$Q71="","",MONTH(Data!$Q71))</f>
        <v/>
      </c>
      <c r="V71" s="347" t="n"/>
      <c r="W71" s="163" t="n"/>
      <c r="X71">
        <f>IF(AC71&lt;&gt;"","S"&amp;TEXT(WEEKNUM(AC71,21),"00"),"")</f>
        <v/>
      </c>
      <c r="Y71">
        <f>IF(Data!$AC71="","",YEAR(Data!$AC71))</f>
        <v/>
      </c>
      <c r="Z71">
        <f>IF(Data!$AC71="","",MONTH(Data!$AC71))</f>
        <v/>
      </c>
      <c r="AA71" s="163" t="n"/>
      <c r="AD71" s="709" t="n"/>
      <c r="AE71" s="163" t="n"/>
      <c r="AF71" s="302" t="n"/>
      <c r="AH71" s="347" t="n"/>
      <c r="AI71" s="340" t="n">
        <v>1</v>
      </c>
      <c r="AJ71" s="340" t="inlineStr">
        <is>
          <t>Calibration outillages</t>
        </is>
      </c>
      <c r="AK71" s="347" t="n"/>
      <c r="AL71" t="inlineStr">
        <is>
          <t>P/N non identifié, manuel demandé au client</t>
        </is>
      </c>
      <c r="AM71" s="347" t="n"/>
      <c r="AN71" s="350" t="n"/>
      <c r="AO71" s="347" t="n"/>
      <c r="AP71" s="340" t="inlineStr">
        <is>
          <t>L:\KL_CO\110_HYFR\AFFAIRES 2022\ROYAL AIR MAROC\Devis n°4719 - Calibration outillages</t>
        </is>
      </c>
      <c r="AQ71" s="347" t="n"/>
      <c r="AR71" s="313" t="n"/>
      <c r="AS71" s="347" t="n"/>
      <c r="AT71" s="736" t="n"/>
      <c r="AU71" s="736" t="n"/>
      <c r="AV71" s="731">
        <f>IF(AT71="","",S71-AT71-AU71)</f>
        <v/>
      </c>
      <c r="AW71" s="331">
        <f>IFERROR(IF(tbl_DCFC[[#This Row],[F Montant HT]]="","",tbl_DCFC[[#This Row],[Marge]]/tbl_DCFC[[#This Row],[F Montant HT]]),"")</f>
        <v/>
      </c>
    </row>
    <row r="72" ht="15" customHeight="1" s="701">
      <c r="A72" s="744" t="n">
        <v>44600</v>
      </c>
      <c r="B72" s="347">
        <f>IFERROR(INDEX(Tabelle2[BU],MATCH(tbl_DCFC[[#This Row],[Categorie]],CAT,0)),"")</f>
        <v/>
      </c>
      <c r="C72" s="315">
        <f>IF(D72&lt;&gt;"","S"&amp;TEXT(WEEKNUM(D72,21),"00"),"")</f>
        <v/>
      </c>
      <c r="D72" s="744" t="n">
        <v>44600</v>
      </c>
      <c r="E72" s="350" t="n">
        <v>4714</v>
      </c>
      <c r="F72" s="350" t="inlineStr">
        <is>
          <t>C</t>
        </is>
      </c>
      <c r="G72" s="350" t="inlineStr">
        <is>
          <t>HYDRO SYSTEMS KG</t>
        </is>
      </c>
      <c r="H72" s="350" t="inlineStr">
        <is>
          <t>AIRBUS DEFENSE &amp; SPACE</t>
        </is>
      </c>
      <c r="I72" s="745" t="n">
        <v>4683.5</v>
      </c>
      <c r="J72" s="350" t="inlineStr">
        <is>
          <t>ABA+ASI</t>
        </is>
      </c>
      <c r="K72" s="350" t="inlineStr">
        <is>
          <t>SERVICE OTHER AIA</t>
        </is>
      </c>
      <c r="L72" s="337" t="inlineStr">
        <is>
          <t>Accepté</t>
        </is>
      </c>
      <c r="M72" s="347" t="n"/>
      <c r="N72">
        <f>IF(Q72&lt;&gt;"","S"&amp;TEXT(WEEKNUM(Q72,21),"00"),"")</f>
        <v/>
      </c>
      <c r="O72">
        <f>IF(Data!$Q72="","",YEAR(Data!$Q72))</f>
        <v/>
      </c>
      <c r="P72">
        <f>IF(Data!$Q72="","",MONTH(Data!$Q72))</f>
        <v/>
      </c>
      <c r="Q72" s="163" t="n">
        <v>44617</v>
      </c>
      <c r="R72" t="inlineStr">
        <is>
          <t>2022-024</t>
        </is>
      </c>
      <c r="S72" s="709" t="n">
        <v>4683.5</v>
      </c>
      <c r="V72" s="347" t="n"/>
      <c r="W72" s="163" t="n"/>
      <c r="X72">
        <f>IF(AC72&lt;&gt;"","S"&amp;TEXT(WEEKNUM(AC72,21),"00"),"")</f>
        <v/>
      </c>
      <c r="Y72">
        <f>IF(Data!$AC72="","",YEAR(Data!$AC72))</f>
        <v/>
      </c>
      <c r="Z72">
        <f>IF(Data!$AC72="","",MONTH(Data!$AC72))</f>
        <v/>
      </c>
      <c r="AA72" s="163" t="n">
        <v>44628</v>
      </c>
      <c r="AB72" t="n">
        <v>5211</v>
      </c>
      <c r="AC72" s="163" t="n">
        <v>44629</v>
      </c>
      <c r="AD72" s="709" t="n">
        <v>4683.5</v>
      </c>
      <c r="AE72" s="163" t="n">
        <v>44630</v>
      </c>
      <c r="AF72" s="302" t="n"/>
      <c r="AH72" s="347" t="n"/>
      <c r="AI72" s="340" t="n">
        <v>1</v>
      </c>
      <c r="AJ72" s="340" t="inlineStr">
        <is>
          <t>Recertification vérins A400M Clermont-Ferrand</t>
        </is>
      </c>
      <c r="AK72" s="347" t="n"/>
      <c r="AL72" t="inlineStr">
        <is>
          <t>Intervention semaine 10</t>
        </is>
      </c>
      <c r="AM72" s="347" t="n"/>
      <c r="AN72" s="350" t="n"/>
      <c r="AO72" s="347" t="n"/>
      <c r="AP72" s="340" t="inlineStr">
        <is>
          <t>L:\KL_CO\110_HYFR\AFFAIRES 2022\HYDRO SYSTEMS KG\Devis n°4714 - Maintenance pour ADS vérins A400M CF</t>
        </is>
      </c>
      <c r="AQ72" s="347" t="n"/>
      <c r="AR72" s="313" t="n"/>
      <c r="AS72" s="347" t="n"/>
      <c r="AT72" s="736" t="n"/>
      <c r="AU72" s="736" t="n"/>
      <c r="AV72" s="731">
        <f>IF(AT72="","",S72-AT72-AU72)</f>
        <v/>
      </c>
      <c r="AW72" s="331">
        <f>IFERROR(IF(tbl_DCFC[[#This Row],[F Montant HT]]="","",tbl_DCFC[[#This Row],[Marge]]/tbl_DCFC[[#This Row],[F Montant HT]]),"")</f>
        <v/>
      </c>
    </row>
    <row r="73" ht="15" customHeight="1" s="701">
      <c r="A73" s="744" t="n">
        <v>44600</v>
      </c>
      <c r="B73" s="347">
        <f>IFERROR(INDEX(Tabelle2[BU],MATCH(tbl_DCFC[[#This Row],[Categorie]],CAT,0)),"")</f>
        <v/>
      </c>
      <c r="C73" s="315">
        <f>IF(D73&lt;&gt;"","S"&amp;TEXT(WEEKNUM(D73,21),"00"),"")</f>
        <v/>
      </c>
      <c r="D73" s="744" t="n">
        <v>44600</v>
      </c>
      <c r="E73" s="350" t="n">
        <v>4714</v>
      </c>
      <c r="F73" s="350" t="inlineStr">
        <is>
          <t>D</t>
        </is>
      </c>
      <c r="G73" s="350" t="inlineStr">
        <is>
          <t>HYDRO SYSTEMS KG</t>
        </is>
      </c>
      <c r="H73" s="350" t="inlineStr">
        <is>
          <t>AIRBUS DEFENSE &amp; SPACE</t>
        </is>
      </c>
      <c r="I73" s="745" t="n">
        <v>4683.5</v>
      </c>
      <c r="J73" s="350" t="inlineStr">
        <is>
          <t>ABA+ASI</t>
        </is>
      </c>
      <c r="K73" s="350" t="inlineStr">
        <is>
          <t>SERVICE OTHER AIA</t>
        </is>
      </c>
      <c r="L73" s="337" t="inlineStr">
        <is>
          <t>Accepté</t>
        </is>
      </c>
      <c r="M73" s="347" t="n"/>
      <c r="N73">
        <f>IF(Q73&lt;&gt;"","S"&amp;TEXT(WEEKNUM(Q73,21),"00"),"")</f>
        <v/>
      </c>
      <c r="O73">
        <f>IF(Data!$Q73="","",YEAR(Data!$Q73))</f>
        <v/>
      </c>
      <c r="P73">
        <f>IF(Data!$Q73="","",MONTH(Data!$Q73))</f>
        <v/>
      </c>
      <c r="Q73" s="163" t="n">
        <v>44617</v>
      </c>
      <c r="R73" t="inlineStr">
        <is>
          <t>2022-025</t>
        </is>
      </c>
      <c r="S73" s="709" t="n">
        <v>4683.5</v>
      </c>
      <c r="V73" s="347" t="n"/>
      <c r="W73" s="163" t="n"/>
      <c r="X73">
        <f>IF(AC73&lt;&gt;"","S"&amp;TEXT(WEEKNUM(AC73,21),"00"),"")</f>
        <v/>
      </c>
      <c r="Y73">
        <f>IF(Data!$AC73="","",YEAR(Data!$AC73))</f>
        <v/>
      </c>
      <c r="Z73">
        <f>IF(Data!$AC73="","",MONTH(Data!$AC73))</f>
        <v/>
      </c>
      <c r="AA73" s="163" t="n"/>
      <c r="AD73" s="709" t="n"/>
      <c r="AE73" s="163" t="n">
        <v>44926</v>
      </c>
      <c r="AF73" s="302" t="n"/>
      <c r="AH73" s="347" t="n"/>
      <c r="AI73" s="340" t="n">
        <v>1</v>
      </c>
      <c r="AJ73" s="340" t="inlineStr">
        <is>
          <t>Recertificatino vérins A400M Clermont-Ferrand</t>
        </is>
      </c>
      <c r="AK73" s="347" t="n"/>
      <c r="AL73" t="inlineStr">
        <is>
          <t>Date intervention à confirmer</t>
        </is>
      </c>
      <c r="AM73" s="347" t="n"/>
      <c r="AN73" s="350" t="n"/>
      <c r="AO73" s="347" t="n"/>
      <c r="AP73" s="340" t="inlineStr">
        <is>
          <t>L:\KL_CO\110_HYFR\AFFAIRES 2022\HYDRO SYSTEMS KG\Devis n°4714 - Maintenance pour ADS vérins A400M CF</t>
        </is>
      </c>
      <c r="AQ73" s="347" t="n"/>
      <c r="AR73" s="313" t="n"/>
      <c r="AS73" s="347" t="n"/>
      <c r="AT73" s="736" t="n"/>
      <c r="AU73" s="736" t="n"/>
      <c r="AV73" s="731">
        <f>IF(AT73="","",S73-AT73-AU73)</f>
        <v/>
      </c>
      <c r="AW73" s="331">
        <f>IFERROR(IF(tbl_DCFC[[#This Row],[F Montant HT]]="","",tbl_DCFC[[#This Row],[Marge]]/tbl_DCFC[[#This Row],[F Montant HT]]),"")</f>
        <v/>
      </c>
    </row>
    <row r="74" ht="15" customHeight="1" s="701">
      <c r="A74" s="744" t="n">
        <v>44600</v>
      </c>
      <c r="B74" s="347">
        <f>IFERROR(INDEX(Tabelle2[BU],MATCH(tbl_DCFC[[#This Row],[Categorie]],CAT,0)),"")</f>
        <v/>
      </c>
      <c r="C74" s="315">
        <f>IF(D74&lt;&gt;"","S"&amp;TEXT(WEEKNUM(D74,21),"00"),"")</f>
        <v/>
      </c>
      <c r="D74" s="744" t="n">
        <v>44600</v>
      </c>
      <c r="E74" s="350" t="n">
        <v>4685</v>
      </c>
      <c r="F74" s="350" t="inlineStr">
        <is>
          <t>A</t>
        </is>
      </c>
      <c r="G74" s="350" t="inlineStr">
        <is>
          <t>AIA</t>
        </is>
      </c>
      <c r="H74" s="350" t="n"/>
      <c r="I74" s="745" t="n">
        <v>1320</v>
      </c>
      <c r="J74" s="350" t="inlineStr">
        <is>
          <t>ABA</t>
        </is>
      </c>
      <c r="K74" s="350" t="inlineStr">
        <is>
          <t>SERVICE AIA</t>
        </is>
      </c>
      <c r="L74" s="337" t="inlineStr">
        <is>
          <t>Accepté</t>
        </is>
      </c>
      <c r="M74" s="347" t="n"/>
      <c r="N74">
        <f>IF(Q74&lt;&gt;"","S"&amp;TEXT(WEEKNUM(Q74,21),"00"),"")</f>
        <v/>
      </c>
      <c r="O74">
        <f>IF(Data!$Q74="","",YEAR(Data!$Q74))</f>
        <v/>
      </c>
      <c r="P74">
        <f>IF(Data!$Q74="","",MONTH(Data!$Q74))</f>
        <v/>
      </c>
      <c r="Q74" s="163" t="n">
        <v>44575</v>
      </c>
      <c r="R74" t="inlineStr">
        <is>
          <t>2022-006</t>
        </is>
      </c>
      <c r="S74" s="709" t="n">
        <v>1100</v>
      </c>
      <c r="V74" s="347" t="n"/>
      <c r="W74" s="163" t="n"/>
      <c r="X74">
        <f>IF(AC74&lt;&gt;"","S"&amp;TEXT(WEEKNUM(AC74,21),"00"),"")</f>
        <v/>
      </c>
      <c r="Y74">
        <f>IF(Data!$AC74="","",YEAR(Data!$AC74))</f>
        <v/>
      </c>
      <c r="Z74">
        <f>IF(Data!$AC74="","",MONTH(Data!$AC74))</f>
        <v/>
      </c>
      <c r="AA74" s="163" t="n">
        <v>44599</v>
      </c>
      <c r="AB74" t="n">
        <v>5198</v>
      </c>
      <c r="AC74" s="163" t="n">
        <v>44601</v>
      </c>
      <c r="AD74" s="709" t="n">
        <v>1100</v>
      </c>
      <c r="AE74" s="163" t="n"/>
      <c r="AF74" s="302" t="n"/>
      <c r="AH74" s="347" t="n"/>
      <c r="AI74" s="340" t="n">
        <v>2</v>
      </c>
      <c r="AJ74" s="340" t="inlineStr">
        <is>
          <t>Remise en service crics et vérins</t>
        </is>
      </c>
      <c r="AK74" s="347" t="n"/>
      <c r="AL74" t="inlineStr">
        <is>
          <t>Noria n°6 (anciennement n°7) remise en service - 1ère partie</t>
        </is>
      </c>
      <c r="AM74" s="347" t="n"/>
      <c r="AN74" s="350" t="n"/>
      <c r="AO74" s="347" t="n"/>
      <c r="AP74" s="342" t="inlineStr">
        <is>
          <t>\\HY07\Public\KL_CO\110_HYFR\AFFAIRES 2021\AIA CF\Devis n°4685 - Maintenance Noria n°6</t>
        </is>
      </c>
      <c r="AQ74" s="347" t="n"/>
      <c r="AR74" s="313" t="n"/>
      <c r="AS74" s="347" t="n"/>
      <c r="AT74" s="736" t="n">
        <v>642.5</v>
      </c>
      <c r="AU74" s="736" t="n">
        <v>611.6</v>
      </c>
      <c r="AV74" s="731">
        <f>IF(AT74="","",S74-AT74-AU74)</f>
        <v/>
      </c>
      <c r="AW74" s="331">
        <f>IFERROR(IF(tbl_DCFC[[#This Row],[F Montant HT]]="","",tbl_DCFC[[#This Row],[Marge]]/tbl_DCFC[[#This Row],[F Montant HT]]),"")</f>
        <v/>
      </c>
    </row>
    <row r="75" ht="15" customHeight="1" s="701">
      <c r="A75" s="744" t="n">
        <v>44602</v>
      </c>
      <c r="B75" s="347">
        <f>IFERROR(INDEX(Tabelle2[BU],MATCH(tbl_DCFC[[#This Row],[Categorie]],CAT,0)),"")</f>
        <v/>
      </c>
      <c r="C75" s="315">
        <f>IF(D75&lt;&gt;"","S"&amp;TEXT(WEEKNUM(D75,21),"00"),"")</f>
        <v/>
      </c>
      <c r="D75" s="744" t="n">
        <v>44602</v>
      </c>
      <c r="E75" s="350" t="n">
        <v>4721</v>
      </c>
      <c r="F75" s="350" t="inlineStr">
        <is>
          <t>A</t>
        </is>
      </c>
      <c r="G75" s="350" t="inlineStr">
        <is>
          <t>TARMAC</t>
        </is>
      </c>
      <c r="H75" s="350" t="n"/>
      <c r="I75" s="745" t="n">
        <v>737</v>
      </c>
      <c r="J75" s="350" t="inlineStr">
        <is>
          <t>ABA</t>
        </is>
      </c>
      <c r="K75" s="350" t="inlineStr">
        <is>
          <t>SERVICE OTHER AIA</t>
        </is>
      </c>
      <c r="L75" s="337" t="inlineStr">
        <is>
          <t>Accepté</t>
        </is>
      </c>
      <c r="M75" s="347" t="n"/>
      <c r="N75">
        <f>IF(Q75&lt;&gt;"","S"&amp;TEXT(WEEKNUM(Q75,21),"00"),"")</f>
        <v/>
      </c>
      <c r="O75">
        <f>IF(Data!$Q75="","",YEAR(Data!$Q75))</f>
        <v/>
      </c>
      <c r="P75">
        <f>IF(Data!$Q75="","",MONTH(Data!$Q75))</f>
        <v/>
      </c>
      <c r="Q75" s="163" t="n">
        <v>44607</v>
      </c>
      <c r="R75" t="inlineStr">
        <is>
          <t>2022-017</t>
        </is>
      </c>
      <c r="S75" s="709" t="n">
        <v>737</v>
      </c>
      <c r="V75" s="347" t="n"/>
      <c r="W75" s="163" t="n">
        <v>44607</v>
      </c>
      <c r="X75">
        <f>IF(AC75&lt;&gt;"","S"&amp;TEXT(WEEKNUM(AC75,21),"00"),"")</f>
        <v/>
      </c>
      <c r="Y75">
        <f>IF(Data!$AC75="","",YEAR(Data!$AC75))</f>
        <v/>
      </c>
      <c r="Z75">
        <f>IF(Data!$AC75="","",MONTH(Data!$AC75))</f>
        <v/>
      </c>
      <c r="AA75" s="163" t="n">
        <v>44610</v>
      </c>
      <c r="AB75" t="n">
        <v>5205</v>
      </c>
      <c r="AC75" s="163" t="n">
        <v>44613</v>
      </c>
      <c r="AD75" s="709" t="n">
        <v>737</v>
      </c>
      <c r="AE75" s="163" t="n">
        <v>44613</v>
      </c>
      <c r="AF75" s="302" t="n"/>
      <c r="AH75" s="347" t="n"/>
      <c r="AI75" s="340" t="n">
        <v>1</v>
      </c>
      <c r="AJ75" s="340" t="inlineStr">
        <is>
          <t>Recertification cric et vérin</t>
        </is>
      </c>
      <c r="AK75" s="347" t="n"/>
      <c r="AL75" t="inlineStr">
        <is>
          <t>Réception moyen prévue semaine 7</t>
        </is>
      </c>
      <c r="AM75" s="347" t="n"/>
      <c r="AN75" s="350" t="n"/>
      <c r="AO75" s="347" t="n"/>
      <c r="AP75" s="340" t="inlineStr">
        <is>
          <t>L:\KL_CO\110_HYFR\AFFAIRES 2022\TARMAC\Devis n°4721 - Recertifiation cric et vérin</t>
        </is>
      </c>
      <c r="AQ75" s="347" t="n"/>
      <c r="AR75" s="313" t="n"/>
      <c r="AS75" s="347" t="n"/>
      <c r="AT75" s="736" t="n"/>
      <c r="AU75" s="736" t="n"/>
      <c r="AV75" s="731">
        <f>IF(AT75="","",S75-AT75-AU75)</f>
        <v/>
      </c>
      <c r="AW75" s="331">
        <f>IFERROR(IF(tbl_DCFC[[#This Row],[F Montant HT]]="","",tbl_DCFC[[#This Row],[Marge]]/tbl_DCFC[[#This Row],[F Montant HT]]),"")</f>
        <v/>
      </c>
    </row>
    <row r="76" ht="15" customHeight="1" s="701">
      <c r="A76" s="744" t="n">
        <v>44602</v>
      </c>
      <c r="B76" s="347">
        <f>IFERROR(INDEX(Tabelle2[BU],MATCH(tbl_DCFC[[#This Row],[Categorie]],CAT,0)),"")</f>
        <v/>
      </c>
      <c r="C76" s="315">
        <f>IF(D76&lt;&gt;"","S"&amp;TEXT(WEEKNUM(D76,21),"00"),"")</f>
        <v/>
      </c>
      <c r="D76" s="744" t="n">
        <v>44602</v>
      </c>
      <c r="E76" s="350" t="n">
        <v>4722</v>
      </c>
      <c r="F76" s="350" t="inlineStr">
        <is>
          <t>A</t>
        </is>
      </c>
      <c r="G76" s="350" t="inlineStr">
        <is>
          <t>ROYAL AIR MAROC</t>
        </is>
      </c>
      <c r="H76" s="350" t="n"/>
      <c r="I76" s="745" t="n">
        <v>500</v>
      </c>
      <c r="J76" s="350" t="inlineStr">
        <is>
          <t>ASI</t>
        </is>
      </c>
      <c r="K76" s="350" t="inlineStr">
        <is>
          <t>SERVICE OTHER AIA</t>
        </is>
      </c>
      <c r="L76" s="337" t="inlineStr">
        <is>
          <t>En Attente</t>
        </is>
      </c>
      <c r="M76" s="347" t="n"/>
      <c r="O76">
        <f>IF(Data!$Q76="","",YEAR(Data!$Q76))</f>
        <v/>
      </c>
      <c r="P76">
        <f>IF(Data!$Q76="","",MONTH(Data!$Q76))</f>
        <v/>
      </c>
      <c r="V76" s="347" t="n"/>
      <c r="W76" s="163" t="n"/>
      <c r="X76">
        <f>IF(AC76&lt;&gt;"","S"&amp;TEXT(WEEKNUM(AC76,21),"00"),"")</f>
        <v/>
      </c>
      <c r="Y76">
        <f>IF(Data!$AC76="","",YEAR(Data!$AC76))</f>
        <v/>
      </c>
      <c r="Z76">
        <f>IF(Data!$AC76="","",MONTH(Data!$AC76))</f>
        <v/>
      </c>
      <c r="AA76" s="163" t="n"/>
      <c r="AD76" s="709" t="n"/>
      <c r="AE76" s="163" t="n"/>
      <c r="AF76" s="302" t="n"/>
      <c r="AH76" s="347" t="n"/>
      <c r="AI76" s="340" t="n">
        <v>1</v>
      </c>
      <c r="AJ76" s="340" t="inlineStr">
        <is>
          <t>Calibration hoist K20008-55</t>
        </is>
      </c>
      <c r="AK76" s="347" t="n"/>
      <c r="AM76" s="347" t="n"/>
      <c r="AN76" s="350" t="n"/>
      <c r="AO76" s="347" t="n"/>
      <c r="AP76" s="340" t="inlineStr">
        <is>
          <t>L:\KL_CO\110_HYFR\AFFAIRES 2022\ROYAL AIR MAROC\Devis n°4722 - Calibration hoist</t>
        </is>
      </c>
      <c r="AQ76" s="347" t="n"/>
      <c r="AR76" s="313" t="n"/>
      <c r="AS76" s="347" t="n"/>
      <c r="AT76" s="736" t="n"/>
      <c r="AU76" s="736" t="n"/>
      <c r="AV76" s="731" t="n"/>
      <c r="AW76" s="331" t="n"/>
    </row>
    <row r="77" ht="15" customHeight="1" s="701">
      <c r="A77" s="744" t="n">
        <v>44602</v>
      </c>
      <c r="B77" s="347">
        <f>IFERROR(INDEX(Tabelle2[BU],MATCH(tbl_DCFC[[#This Row],[Categorie]],CAT,0)),"")</f>
        <v/>
      </c>
      <c r="C77" s="315">
        <f>IF(D77&lt;&gt;"","S"&amp;TEXT(WEEKNUM(D77,21),"00"),"")</f>
        <v/>
      </c>
      <c r="D77" s="744" t="n">
        <v>44602</v>
      </c>
      <c r="E77" s="350" t="n">
        <v>4723</v>
      </c>
      <c r="F77" s="350" t="inlineStr">
        <is>
          <t>A</t>
        </is>
      </c>
      <c r="G77" s="350" t="inlineStr">
        <is>
          <t>ROYAL AIR MAROC</t>
        </is>
      </c>
      <c r="H77" s="350" t="n"/>
      <c r="I77" s="745" t="n">
        <v>180</v>
      </c>
      <c r="J77" s="350" t="inlineStr">
        <is>
          <t>ASI</t>
        </is>
      </c>
      <c r="K77" s="350" t="inlineStr">
        <is>
          <t>SERVICE OTHER AIA</t>
        </is>
      </c>
      <c r="L77" s="337" t="inlineStr">
        <is>
          <t>En Attente</t>
        </is>
      </c>
      <c r="M77" s="347" t="n"/>
      <c r="N77">
        <f>IF(Q77&lt;&gt;"","S"&amp;TEXT(WEEKNUM(Q77,21),"00"),"")</f>
        <v/>
      </c>
      <c r="O77">
        <f>IF(Data!$Q77="","",YEAR(Data!$Q77))</f>
        <v/>
      </c>
      <c r="P77">
        <f>IF(Data!$Q77="","",MONTH(Data!$Q77))</f>
        <v/>
      </c>
      <c r="V77" s="347" t="n"/>
      <c r="W77" s="163" t="n"/>
      <c r="X77">
        <f>IF(AC77&lt;&gt;"","S"&amp;TEXT(WEEKNUM(AC77,21),"00"),"")</f>
        <v/>
      </c>
      <c r="Y77">
        <f>IF(Data!$AC77="","",YEAR(Data!$AC77))</f>
        <v/>
      </c>
      <c r="Z77">
        <f>IF(Data!$AC77="","",MONTH(Data!$AC77))</f>
        <v/>
      </c>
      <c r="AA77" s="163" t="n"/>
      <c r="AD77" s="709" t="n"/>
      <c r="AE77" s="163" t="n"/>
      <c r="AF77" s="302" t="n"/>
      <c r="AH77" s="347" t="n"/>
      <c r="AI77" s="340" t="n">
        <v>1</v>
      </c>
      <c r="AJ77" s="340" t="inlineStr">
        <is>
          <t>Calibration manomètre</t>
        </is>
      </c>
      <c r="AK77" s="347" t="n"/>
      <c r="AL77" t="inlineStr">
        <is>
          <t>Offre envoyée en précisant hors transport, hors frais de douanes</t>
        </is>
      </c>
      <c r="AM77" s="347" t="n"/>
      <c r="AN77" s="350" t="n"/>
      <c r="AO77" s="347" t="n"/>
      <c r="AP77" s="340" t="inlineStr">
        <is>
          <t>L:\KL_CO\110_HYFR\AFFAIRES 2022\ROYAL AIR MAROC\Devis n°4723 - Calibration mano</t>
        </is>
      </c>
      <c r="AQ77" s="347" t="n"/>
      <c r="AR77" s="313" t="n"/>
      <c r="AS77" s="347" t="n"/>
      <c r="AT77" s="736" t="n"/>
      <c r="AU77" s="736" t="n"/>
      <c r="AV77" s="731">
        <f>IF(AT77="","",S77-AT77-AU77)</f>
        <v/>
      </c>
      <c r="AW77" s="331">
        <f>IFERROR(IF(tbl_DCFC[[#This Row],[F Montant HT]]="","",tbl_DCFC[[#This Row],[Marge]]/tbl_DCFC[[#This Row],[F Montant HT]]),"")</f>
        <v/>
      </c>
    </row>
    <row r="78" ht="15" customHeight="1" s="701">
      <c r="A78" s="744" t="n">
        <v>44602</v>
      </c>
      <c r="B78" s="347">
        <f>IFERROR(INDEX(Tabelle2[BU],MATCH(tbl_DCFC[[#This Row],[Categorie]],CAT,0)),"")</f>
        <v/>
      </c>
      <c r="C78" s="315">
        <f>IF(D78&lt;&gt;"","S"&amp;TEXT(WEEKNUM(D78,21),"00"),"")</f>
        <v/>
      </c>
      <c r="D78" s="744" t="n">
        <v>44602</v>
      </c>
      <c r="E78" s="350" t="n">
        <v>4724</v>
      </c>
      <c r="F78" s="350" t="inlineStr">
        <is>
          <t>A</t>
        </is>
      </c>
      <c r="G78" s="350" t="inlineStr">
        <is>
          <t>ROYAL AIR MAROC</t>
        </is>
      </c>
      <c r="H78" s="350" t="n"/>
      <c r="I78" s="745" t="n">
        <v>720</v>
      </c>
      <c r="J78" s="350" t="inlineStr">
        <is>
          <t>ASI</t>
        </is>
      </c>
      <c r="K78" s="350" t="inlineStr">
        <is>
          <t>SERVICE OTHER AIA</t>
        </is>
      </c>
      <c r="L78" s="337" t="inlineStr">
        <is>
          <t>En Attente</t>
        </is>
      </c>
      <c r="M78" s="347" t="n"/>
      <c r="N78">
        <f>IF(Q78&lt;&gt;"","S"&amp;TEXT(WEEKNUM(Q78,21),"00"),"")</f>
        <v/>
      </c>
      <c r="O78">
        <f>IF(Data!$Q78="","",YEAR(Data!$Q78))</f>
        <v/>
      </c>
      <c r="P78">
        <f>IF(Data!$Q78="","",MONTH(Data!$Q78))</f>
        <v/>
      </c>
      <c r="V78" s="347" t="n"/>
      <c r="W78" s="163" t="n"/>
      <c r="X78">
        <f>IF(AC78&lt;&gt;"","S"&amp;TEXT(WEEKNUM(AC78,21),"00"),"")</f>
        <v/>
      </c>
      <c r="Y78">
        <f>IF(Data!$AC78="","",YEAR(Data!$AC78))</f>
        <v/>
      </c>
      <c r="Z78">
        <f>IF(Data!$AC78="","",MONTH(Data!$AC78))</f>
        <v/>
      </c>
      <c r="AA78" s="163" t="n"/>
      <c r="AD78" s="709" t="n"/>
      <c r="AE78" s="163" t="n"/>
      <c r="AF78" s="302" t="n"/>
      <c r="AH78" s="347" t="n"/>
      <c r="AI78" s="340" t="n">
        <v>1</v>
      </c>
      <c r="AJ78" s="340" t="inlineStr">
        <is>
          <t>Calibration sling equipment</t>
        </is>
      </c>
      <c r="AK78" s="347" t="n"/>
      <c r="AL78" t="inlineStr">
        <is>
          <t>P/N non identifié, manuel demandé au client</t>
        </is>
      </c>
      <c r="AM78" s="347" t="n"/>
      <c r="AN78" s="350" t="n"/>
      <c r="AO78" s="347" t="n"/>
      <c r="AP78" s="340" t="inlineStr">
        <is>
          <t>L:\KL_CO\110_HYFR\AFFAIRES 2022\ROYAL AIR MAROC\Devis n°4724 - Calibration Sling</t>
        </is>
      </c>
      <c r="AQ78" s="347" t="n"/>
      <c r="AR78" s="313" t="n"/>
      <c r="AS78" s="347" t="n"/>
      <c r="AT78" s="736" t="n"/>
      <c r="AU78" s="736" t="n"/>
      <c r="AV78" s="731">
        <f>IF(AT78="","",S78-AT78-AU78)</f>
        <v/>
      </c>
      <c r="AW78" s="331">
        <f>IFERROR(IF(tbl_DCFC[[#This Row],[F Montant HT]]="","",tbl_DCFC[[#This Row],[Marge]]/tbl_DCFC[[#This Row],[F Montant HT]]),"")</f>
        <v/>
      </c>
    </row>
    <row r="79" ht="15" customHeight="1" s="701">
      <c r="A79" s="744" t="n">
        <v>44602</v>
      </c>
      <c r="B79" s="347">
        <f>IFERROR(INDEX(Tabelle2[BU],MATCH(tbl_DCFC[[#This Row],[Categorie]],CAT,0)),"")</f>
        <v/>
      </c>
      <c r="C79" s="315">
        <f>IF(D79&lt;&gt;"","S"&amp;TEXT(WEEKNUM(D79,21),"00"),"")</f>
        <v/>
      </c>
      <c r="D79" s="744" t="n">
        <v>44602</v>
      </c>
      <c r="E79" s="350" t="n">
        <v>4720</v>
      </c>
      <c r="F79" s="350" t="inlineStr">
        <is>
          <t>A</t>
        </is>
      </c>
      <c r="G79" s="350" t="inlineStr">
        <is>
          <t>2AS</t>
        </is>
      </c>
      <c r="H79" s="350" t="n"/>
      <c r="I79" s="745" t="n">
        <v>1520</v>
      </c>
      <c r="J79" s="350" t="inlineStr">
        <is>
          <t>ASI</t>
        </is>
      </c>
      <c r="K79" s="350" t="inlineStr">
        <is>
          <t>SERVICE OTHER AIA</t>
        </is>
      </c>
      <c r="L79" s="337" t="inlineStr">
        <is>
          <t>En Attente</t>
        </is>
      </c>
      <c r="M79" s="347" t="n"/>
      <c r="O79">
        <f>IF(Data!$Q79="","",YEAR(Data!$Q79))</f>
        <v/>
      </c>
      <c r="P79">
        <f>IF(Data!$Q79="","",MONTH(Data!$Q79))</f>
        <v/>
      </c>
      <c r="V79" s="347" t="n"/>
      <c r="W79" s="163" t="n"/>
      <c r="X79">
        <f>IF(AC79&lt;&gt;"","S"&amp;TEXT(WEEKNUM(AC79,21),"00"),"")</f>
        <v/>
      </c>
      <c r="Y79">
        <f>IF(Data!$AC79="","",YEAR(Data!$AC79))</f>
        <v/>
      </c>
      <c r="Z79">
        <f>IF(Data!$AC79="","",MONTH(Data!$AC79))</f>
        <v/>
      </c>
      <c r="AA79" s="163" t="n"/>
      <c r="AD79" s="709" t="n"/>
      <c r="AE79" s="163" t="n"/>
      <c r="AF79" s="302" t="n"/>
      <c r="AH79" s="347" t="n"/>
      <c r="AI79" s="340" t="n">
        <v>1</v>
      </c>
      <c r="AJ79" s="340" t="inlineStr">
        <is>
          <t>Recertification crics</t>
        </is>
      </c>
      <c r="AK79" s="347" t="n"/>
      <c r="AL79" t="inlineStr">
        <is>
          <t>in-house. Client a demandé chiffrage sur site, mais trop cher</t>
        </is>
      </c>
      <c r="AM79" s="347" t="n"/>
      <c r="AN79" s="350" t="n"/>
      <c r="AO79" s="347" t="n"/>
      <c r="AP79" s="340" t="inlineStr">
        <is>
          <t>L:\KL_CO\110_HYFR\AFFAIRES 2022\2AS\Devis n°4720 - Recertification crics</t>
        </is>
      </c>
      <c r="AQ79" s="347" t="n"/>
      <c r="AR79" s="313" t="n"/>
      <c r="AS79" s="347" t="n"/>
      <c r="AT79" s="736" t="n"/>
      <c r="AU79" s="736" t="n"/>
      <c r="AV79" s="731" t="n"/>
      <c r="AW79" s="331" t="n"/>
    </row>
    <row r="80" ht="15" customHeight="1" s="701">
      <c r="A80" s="744" t="n">
        <v>44602</v>
      </c>
      <c r="B80" s="347">
        <f>IFERROR(INDEX(Tabelle2[BU],MATCH(tbl_DCFC[[#This Row],[Categorie]],CAT,0)),"")</f>
        <v/>
      </c>
      <c r="C80" s="315">
        <f>IF(D80&lt;&gt;"","S"&amp;TEXT(WEEKNUM(D80,21),"00"),"")</f>
        <v/>
      </c>
      <c r="D80" s="744" t="n">
        <v>44606</v>
      </c>
      <c r="E80" s="350" t="n">
        <v>4725</v>
      </c>
      <c r="F80" s="350" t="inlineStr">
        <is>
          <t>A</t>
        </is>
      </c>
      <c r="G80" s="350" t="inlineStr">
        <is>
          <t>DGA</t>
        </is>
      </c>
      <c r="H80" s="350" t="n"/>
      <c r="I80" s="745" t="n">
        <v>20081.2</v>
      </c>
      <c r="J80" s="350" t="inlineStr">
        <is>
          <t>ABA</t>
        </is>
      </c>
      <c r="K80" s="350" t="inlineStr">
        <is>
          <t>GSE (HYKG)</t>
        </is>
      </c>
      <c r="L80" s="337" t="inlineStr">
        <is>
          <t>Annulé</t>
        </is>
      </c>
      <c r="M80" s="347" t="n"/>
      <c r="N80">
        <f>IF(Q80&lt;&gt;"","S"&amp;TEXT(WEEKNUM(Q80,21),"00"),"")</f>
        <v/>
      </c>
      <c r="O80">
        <f>IF(Data!$Q80="","",YEAR(Data!$Q80))</f>
        <v/>
      </c>
      <c r="P80">
        <f>IF(Data!$Q80="","",MONTH(Data!$Q80))</f>
        <v/>
      </c>
      <c r="V80" s="347" t="n"/>
      <c r="W80" s="163" t="n"/>
      <c r="X80">
        <f>IF(AC80&lt;&gt;"","S"&amp;TEXT(WEEKNUM(AC80,21),"00"),"")</f>
        <v/>
      </c>
      <c r="Y80">
        <f>IF(Data!$AC80="","",YEAR(Data!$AC80))</f>
        <v/>
      </c>
      <c r="Z80">
        <f>IF(Data!$AC80="","",MONTH(Data!$AC80))</f>
        <v/>
      </c>
      <c r="AA80" s="163" t="n"/>
      <c r="AD80" s="709" t="n"/>
      <c r="AE80" s="163" t="n"/>
      <c r="AF80" s="302" t="n"/>
      <c r="AH80" s="347" t="n"/>
      <c r="AI80" s="340" t="n">
        <v>1</v>
      </c>
      <c r="AJ80" s="340" t="inlineStr">
        <is>
          <t>DT0623K1D1B01A0 en remplacement D01258</t>
        </is>
      </c>
      <c r="AK80" s="347" t="n"/>
      <c r="AM80" s="347" t="n"/>
      <c r="AN80" s="350" t="n"/>
      <c r="AO80" s="347" t="n"/>
      <c r="AP80" s="340" t="inlineStr">
        <is>
          <t>L:\KL_CO\110_HYFR\AFFAIRES 2022\DGA\Devis n°4725 -  DT0623K1D1B01A0 en remplacement du D01258</t>
        </is>
      </c>
      <c r="AQ80" s="347" t="n"/>
      <c r="AR80" s="313" t="n"/>
      <c r="AS80" s="347" t="n"/>
      <c r="AT80" s="736" t="n"/>
      <c r="AU80" s="736" t="n"/>
      <c r="AV80" s="731">
        <f>IF(AT80="","",S80-AT80-AU80)</f>
        <v/>
      </c>
      <c r="AW80" s="331">
        <f>IFERROR(IF(tbl_DCFC[[#This Row],[F Montant HT]]="","",tbl_DCFC[[#This Row],[Marge]]/tbl_DCFC[[#This Row],[F Montant HT]]),"")</f>
        <v/>
      </c>
    </row>
    <row r="81" ht="15" customHeight="1" s="701">
      <c r="A81" s="744" t="n">
        <v>44606</v>
      </c>
      <c r="B81" s="347">
        <f>IFERROR(INDEX(Tabelle2[BU],MATCH(tbl_DCFC[[#This Row],[Categorie]],CAT,0)),"")</f>
        <v/>
      </c>
      <c r="C81" s="315">
        <f>IF(D81&lt;&gt;"","S"&amp;TEXT(WEEKNUM(D81,21),"00"),"")</f>
        <v/>
      </c>
      <c r="D81" s="744" t="n">
        <v>44606</v>
      </c>
      <c r="E81" s="350" t="n">
        <v>4726</v>
      </c>
      <c r="F81" s="350" t="inlineStr">
        <is>
          <t>A</t>
        </is>
      </c>
      <c r="G81" s="350" t="inlineStr">
        <is>
          <t>HYDRO SYSTEMS KG</t>
        </is>
      </c>
      <c r="H81" s="350" t="inlineStr">
        <is>
          <t>AIRBUS DEFENSE &amp; SPACE</t>
        </is>
      </c>
      <c r="I81" s="745" t="n">
        <v>8628.200000000001</v>
      </c>
      <c r="J81" s="350" t="inlineStr">
        <is>
          <t>ABA+ASI</t>
        </is>
      </c>
      <c r="K81" s="350" t="inlineStr">
        <is>
          <t>SERVICE OTHER AIA</t>
        </is>
      </c>
      <c r="L81" s="337" t="inlineStr">
        <is>
          <t>En Attente</t>
        </is>
      </c>
      <c r="M81" s="347" t="n"/>
      <c r="N81">
        <f>IF(Q81&lt;&gt;"","S"&amp;TEXT(WEEKNUM(Q81,21),"00"),"")</f>
        <v/>
      </c>
      <c r="O81">
        <f>IF(Data!$Q81="","",YEAR(Data!$Q81))</f>
        <v/>
      </c>
      <c r="P81">
        <f>IF(Data!$Q81="","",MONTH(Data!$Q81))</f>
        <v/>
      </c>
      <c r="V81" s="347" t="n"/>
      <c r="W81" s="163" t="n"/>
      <c r="X81">
        <f>IF(AC81&lt;&gt;"","S"&amp;TEXT(WEEKNUM(AC81,21),"00"),"")</f>
        <v/>
      </c>
      <c r="Y81">
        <f>IF(Data!$AC81="","",YEAR(Data!$AC81))</f>
        <v/>
      </c>
      <c r="Z81">
        <f>IF(Data!$AC81="","",MONTH(Data!$AC81))</f>
        <v/>
      </c>
      <c r="AA81" s="163" t="n"/>
      <c r="AD81" s="709" t="n"/>
      <c r="AE81" s="163" t="n"/>
      <c r="AF81" s="302" t="n"/>
      <c r="AH81" s="347" t="n"/>
      <c r="AI81" s="340" t="n">
        <v>2</v>
      </c>
      <c r="AJ81" s="340" t="inlineStr">
        <is>
          <t>Commissioning SG248</t>
        </is>
      </c>
      <c r="AK81" s="347" t="n"/>
      <c r="AM81" s="347" t="n"/>
      <c r="AN81" s="350" t="n"/>
      <c r="AO81" s="347" t="n"/>
      <c r="AP81" s="340" t="inlineStr">
        <is>
          <t>L:\KL_CO\110_HYFR\AFFAIRES 2022\HYDRO SYSTEMS KG\Devis n°4726 - Commissioning pour ADS kits SG248</t>
        </is>
      </c>
      <c r="AQ81" s="347" t="n"/>
      <c r="AR81" s="313" t="n"/>
      <c r="AS81" s="347" t="n"/>
      <c r="AT81" s="736" t="n"/>
      <c r="AU81" s="736" t="n"/>
      <c r="AV81" s="731">
        <f>IF(AT81="","",S81-AT81-AU81)</f>
        <v/>
      </c>
      <c r="AW81" s="331">
        <f>IFERROR(IF(tbl_DCFC[[#This Row],[F Montant HT]]="","",tbl_DCFC[[#This Row],[Marge]]/tbl_DCFC[[#This Row],[F Montant HT]]),"")</f>
        <v/>
      </c>
    </row>
    <row r="82" ht="15" customHeight="1" s="701">
      <c r="A82" s="744" t="n">
        <v>44607</v>
      </c>
      <c r="B82" s="347">
        <f>IFERROR(INDEX(Tabelle2[BU],MATCH(tbl_DCFC[[#This Row],[Categorie]],CAT,0)),"")</f>
        <v/>
      </c>
      <c r="C82" s="315">
        <f>IF(D82&lt;&gt;"","S"&amp;TEXT(WEEKNUM(D82,21),"00"),"")</f>
        <v/>
      </c>
      <c r="D82" s="744" t="n">
        <v>44607</v>
      </c>
      <c r="E82" s="350" t="n">
        <v>4727</v>
      </c>
      <c r="F82" s="350" t="inlineStr">
        <is>
          <t>A</t>
        </is>
      </c>
      <c r="G82" s="350" t="inlineStr">
        <is>
          <t>AIRBUS</t>
        </is>
      </c>
      <c r="H82" s="350" t="n"/>
      <c r="I82" s="745" t="n">
        <v>3200</v>
      </c>
      <c r="J82" s="350" t="inlineStr">
        <is>
          <t>ASI</t>
        </is>
      </c>
      <c r="K82" s="350" t="inlineStr">
        <is>
          <t>SERVICE OTHER AIA</t>
        </is>
      </c>
      <c r="L82" s="337" t="inlineStr">
        <is>
          <t>En Attente</t>
        </is>
      </c>
      <c r="M82" s="347" t="n"/>
      <c r="N82">
        <f>IF(Q82&lt;&gt;"","S"&amp;TEXT(WEEKNUM(Q82,21),"00"),"")</f>
        <v/>
      </c>
      <c r="O82">
        <f>IF(Data!$Q82="","",YEAR(Data!$Q82))</f>
        <v/>
      </c>
      <c r="P82">
        <f>IF(Data!$Q82="","",MONTH(Data!$Q82))</f>
        <v/>
      </c>
      <c r="V82" s="347" t="n"/>
      <c r="W82" s="163" t="n"/>
      <c r="X82">
        <f>IF(AC82&lt;&gt;"","S"&amp;TEXT(WEEKNUM(AC82,21),"00"),"")</f>
        <v/>
      </c>
      <c r="Y82">
        <f>IF(Data!$AC82="","",YEAR(Data!$AC82))</f>
        <v/>
      </c>
      <c r="Z82">
        <f>IF(Data!$AC82="","",MONTH(Data!$AC82))</f>
        <v/>
      </c>
      <c r="AA82" s="163" t="n"/>
      <c r="AD82" s="709" t="n"/>
      <c r="AE82" s="163" t="n"/>
      <c r="AF82" s="302" t="n"/>
      <c r="AH82" s="347" t="n"/>
      <c r="AI82" s="340" t="n">
        <v>1</v>
      </c>
      <c r="AJ82" s="340" t="inlineStr">
        <is>
          <t>Formation COBRA</t>
        </is>
      </c>
      <c r="AK82" s="347" t="n"/>
      <c r="AM82" s="347" t="n"/>
      <c r="AN82" s="350" t="n"/>
      <c r="AO82" s="347" t="n"/>
      <c r="AP82" s="340" t="inlineStr">
        <is>
          <t>L:\KL_CO\110_HYFR\AFFAIRES 2022\AIRBUS\Devis n°4727 - Formation COBRA</t>
        </is>
      </c>
      <c r="AQ82" s="347" t="n"/>
      <c r="AR82" s="313" t="n"/>
      <c r="AS82" s="347" t="n"/>
      <c r="AT82" s="736" t="n"/>
      <c r="AU82" s="736" t="n"/>
      <c r="AV82" s="731" t="n"/>
      <c r="AW82" s="331" t="n"/>
    </row>
    <row r="83" ht="15" customHeight="1" s="701">
      <c r="A83" s="744" t="n">
        <v>44572</v>
      </c>
      <c r="B83" s="347">
        <f>IFERROR(INDEX(Tabelle2[BU],MATCH(tbl_DCFC[[#This Row],[Categorie]],CAT,0)),"")</f>
        <v/>
      </c>
      <c r="C83" s="315">
        <f>IF(D83&lt;&gt;"","S"&amp;TEXT(WEEKNUM(D83,21),"00"),"")</f>
        <v/>
      </c>
      <c r="D83" s="744" t="n">
        <v>44572</v>
      </c>
      <c r="E83" s="350" t="n">
        <v>4700</v>
      </c>
      <c r="F83" s="350" t="inlineStr">
        <is>
          <t>B</t>
        </is>
      </c>
      <c r="G83" s="350" t="inlineStr">
        <is>
          <t>HYDRO SYSTEMS KG</t>
        </is>
      </c>
      <c r="H83" s="350" t="inlineStr">
        <is>
          <t>AIRBUS DEFENSE &amp; SPACE</t>
        </is>
      </c>
      <c r="I83" s="745" t="n">
        <v>20320</v>
      </c>
      <c r="J83" s="350" t="inlineStr">
        <is>
          <t>ABA</t>
        </is>
      </c>
      <c r="K83" s="350" t="inlineStr">
        <is>
          <t>SERVICE OTHER AIA</t>
        </is>
      </c>
      <c r="L83" s="337" t="inlineStr">
        <is>
          <t>Accepté</t>
        </is>
      </c>
      <c r="M83" s="347" t="n"/>
      <c r="N83">
        <f>IF(Q83&lt;&gt;"","S"&amp;TEXT(WEEKNUM(Q83,21),"00"),"")</f>
        <v/>
      </c>
      <c r="O83">
        <f>IF(Data!$Q83="","",YEAR(Data!$Q83))</f>
        <v/>
      </c>
      <c r="P83">
        <f>IF(Data!$Q83="","",MONTH(Data!$Q83))</f>
        <v/>
      </c>
      <c r="Q83" s="163" t="n">
        <v>44607</v>
      </c>
      <c r="R83" t="inlineStr">
        <is>
          <t>2022-018</t>
        </is>
      </c>
      <c r="S83" s="709" t="n">
        <v>20320</v>
      </c>
      <c r="V83" s="347" t="n"/>
      <c r="W83" s="163" t="n"/>
      <c r="X83">
        <f>IF(AC83&lt;&gt;"","S"&amp;TEXT(WEEKNUM(AC83,21),"00"),"")</f>
        <v/>
      </c>
      <c r="Y83">
        <f>IF(Data!$AC83="","",YEAR(Data!$AC83))</f>
        <v/>
      </c>
      <c r="Z83">
        <f>IF(Data!$AC83="","",MONTH(Data!$AC83))</f>
        <v/>
      </c>
      <c r="AA83" s="163" t="n"/>
      <c r="AD83" s="709" t="n"/>
      <c r="AE83" s="163" t="n">
        <v>44659</v>
      </c>
      <c r="AF83" s="302" t="n"/>
      <c r="AH83" s="347" t="n"/>
      <c r="AI83" s="340" t="n">
        <v>1</v>
      </c>
      <c r="AJ83" s="340" t="inlineStr">
        <is>
          <t>Repair + Test statique sur site client orleans</t>
        </is>
      </c>
      <c r="AK83" s="347" t="n"/>
      <c r="AM83" s="347" t="n"/>
      <c r="AN83" s="350" t="n"/>
      <c r="AO83" s="347" t="n"/>
      <c r="AP83" s="340" t="inlineStr">
        <is>
          <t>L:\KL_CO\110_HYFR\AFFAIRES 2021\AIRBUS DEFENCE AND SPACE\Devis n°4700 - Recertification vérins A400M_2ème partie</t>
        </is>
      </c>
      <c r="AQ83" s="347" t="n"/>
      <c r="AR83" s="313" t="n"/>
      <c r="AS83" s="347" t="n"/>
      <c r="AT83" s="736" t="n"/>
      <c r="AU83" s="736" t="n"/>
      <c r="AV83" s="731" t="n"/>
      <c r="AW83" s="331" t="n"/>
    </row>
    <row r="84" ht="15" customHeight="1" s="701">
      <c r="A84" s="744" t="n">
        <v>44572</v>
      </c>
      <c r="B84" s="347">
        <f>IFERROR(INDEX(Tabelle2[BU],MATCH(tbl_DCFC[[#This Row],[Categorie]],CAT,0)),"")</f>
        <v/>
      </c>
      <c r="C84" s="315">
        <f>IF(D84&lt;&gt;"","S"&amp;TEXT(WEEKNUM(D84,21),"00"),"")</f>
        <v/>
      </c>
      <c r="D84" s="744" t="n">
        <v>44572</v>
      </c>
      <c r="E84" s="350" t="n">
        <v>4700</v>
      </c>
      <c r="F84" s="350" t="inlineStr">
        <is>
          <t>B</t>
        </is>
      </c>
      <c r="G84" s="350" t="inlineStr">
        <is>
          <t>HYDRO SYSTEMS KG</t>
        </is>
      </c>
      <c r="H84" s="350" t="inlineStr">
        <is>
          <t>AIRBUS DEFENSE &amp; SPACE</t>
        </is>
      </c>
      <c r="I84" s="745" t="n">
        <v>20320</v>
      </c>
      <c r="J84" s="350" t="inlineStr">
        <is>
          <t>ABA</t>
        </is>
      </c>
      <c r="K84" s="350" t="inlineStr">
        <is>
          <t>SERVICE OTHER AIA</t>
        </is>
      </c>
      <c r="L84" s="337" t="inlineStr">
        <is>
          <t>Accepté</t>
        </is>
      </c>
      <c r="M84" s="347" t="n"/>
      <c r="N84">
        <f>IF(Q84&lt;&gt;"","S"&amp;TEXT(WEEKNUM(Q84,21),"00"),"")</f>
        <v/>
      </c>
      <c r="O84">
        <f>IF(Data!$Q84="","",YEAR(Data!$Q84))</f>
        <v/>
      </c>
      <c r="P84">
        <f>IF(Data!$Q84="","",MONTH(Data!$Q84))</f>
        <v/>
      </c>
      <c r="Q84" s="163" t="n">
        <v>44607</v>
      </c>
      <c r="R84" t="inlineStr">
        <is>
          <t>2022-018</t>
        </is>
      </c>
      <c r="S84" s="709" t="n">
        <v>20320</v>
      </c>
      <c r="V84" s="347" t="n"/>
      <c r="W84" s="163" t="n"/>
      <c r="X84">
        <f>IF(AC84&lt;&gt;"","S"&amp;TEXT(WEEKNUM(AC84,21),"00"),"")</f>
        <v/>
      </c>
      <c r="Y84">
        <f>IF(Data!$AC84="","",YEAR(Data!$AC84))</f>
        <v/>
      </c>
      <c r="Z84">
        <f>IF(Data!$AC84="","",MONTH(Data!$AC84))</f>
        <v/>
      </c>
      <c r="AA84" s="163" t="n"/>
      <c r="AD84" s="709" t="n"/>
      <c r="AE84" s="163" t="n">
        <v>44673</v>
      </c>
      <c r="AF84" s="302" t="n"/>
      <c r="AH84" s="347" t="n"/>
      <c r="AI84" s="340" t="n">
        <v>1</v>
      </c>
      <c r="AJ84" s="340" t="inlineStr">
        <is>
          <t>Repair + Test statique sur site client orleans</t>
        </is>
      </c>
      <c r="AK84" s="347" t="n"/>
      <c r="AM84" s="347" t="n"/>
      <c r="AN84" s="350" t="n"/>
      <c r="AO84" s="347" t="n"/>
      <c r="AP84" s="340" t="inlineStr">
        <is>
          <t>L:\KL_CO\110_HYFR\AFFAIRES 2021\AIRBUS DEFENCE AND SPACE\Devis n°4700 - Recertification vérins A400M_2ème partie</t>
        </is>
      </c>
      <c r="AQ84" s="347" t="n"/>
      <c r="AR84" s="313" t="n"/>
      <c r="AS84" s="347" t="n"/>
      <c r="AT84" s="736" t="n"/>
      <c r="AU84" s="736" t="n"/>
      <c r="AV84" s="731" t="n"/>
      <c r="AW84" s="331" t="n"/>
    </row>
    <row r="85" ht="15" customHeight="1" s="701">
      <c r="A85" s="744" t="n">
        <v>44607</v>
      </c>
      <c r="B85" s="347">
        <f>IFERROR(INDEX(Tabelle2[BU],MATCH(tbl_DCFC[[#This Row],[Categorie]],CAT,0)),"")</f>
        <v/>
      </c>
      <c r="C85" s="315">
        <f>IF(D85&lt;&gt;"","S"&amp;TEXT(WEEKNUM(D85,21),"00"),"")</f>
        <v/>
      </c>
      <c r="D85" s="744" t="n">
        <v>44607</v>
      </c>
      <c r="E85" s="350" t="n">
        <v>4728</v>
      </c>
      <c r="F85" s="350" t="inlineStr">
        <is>
          <t>A</t>
        </is>
      </c>
      <c r="G85" s="350" t="inlineStr">
        <is>
          <t>TARMAC</t>
        </is>
      </c>
      <c r="H85" s="350" t="n"/>
      <c r="I85" s="745" t="n">
        <v>5851</v>
      </c>
      <c r="J85" s="350" t="inlineStr">
        <is>
          <t>ABA</t>
        </is>
      </c>
      <c r="K85" s="350" t="inlineStr">
        <is>
          <t>SERVICE OTHER AIA</t>
        </is>
      </c>
      <c r="L85" s="337" t="inlineStr">
        <is>
          <t>Accepté</t>
        </is>
      </c>
      <c r="M85" s="347" t="n"/>
      <c r="N85">
        <f>IF(Q85&lt;&gt;"","S"&amp;TEXT(WEEKNUM(Q85,21),"00"),"")</f>
        <v/>
      </c>
      <c r="O85">
        <f>IF(Data!$Q85="","",YEAR(Data!$Q85))</f>
        <v/>
      </c>
      <c r="P85">
        <f>IF(Data!$Q85="","",MONTH(Data!$Q85))</f>
        <v/>
      </c>
      <c r="Q85" s="163" t="n">
        <v>44609</v>
      </c>
      <c r="R85" t="inlineStr">
        <is>
          <t>2022-020</t>
        </is>
      </c>
      <c r="S85" s="709" t="n">
        <v>5851</v>
      </c>
      <c r="V85" s="347" t="n"/>
      <c r="W85" s="163" t="n"/>
      <c r="X85">
        <f>IF(AC85&lt;&gt;"","S"&amp;TEXT(WEEKNUM(AC85,21),"00"),"")</f>
        <v/>
      </c>
      <c r="Y85">
        <f>IF(Data!$AC85="","",YEAR(Data!$AC85))</f>
        <v/>
      </c>
      <c r="Z85">
        <f>IF(Data!$AC85="","",MONTH(Data!$AC85))</f>
        <v/>
      </c>
      <c r="AA85" s="163" t="n"/>
      <c r="AD85" s="709" t="n"/>
      <c r="AE85" s="163" t="n">
        <v>44663</v>
      </c>
      <c r="AF85" s="302" t="n"/>
      <c r="AH85" s="347" t="n"/>
      <c r="AI85" s="340" t="n">
        <v>4</v>
      </c>
      <c r="AJ85" s="340" t="inlineStr">
        <is>
          <t>Recertifications moyens on-site Azereix</t>
        </is>
      </c>
      <c r="AK85" s="347" t="n"/>
      <c r="AL85" t="inlineStr">
        <is>
          <t>Intervention demandée courant avril</t>
        </is>
      </c>
      <c r="AM85" s="347" t="n"/>
      <c r="AN85" s="350" t="n"/>
      <c r="AO85" s="347" t="n"/>
      <c r="AP85" s="340" t="inlineStr">
        <is>
          <t>L:\KL_CO\110_HYFR\AFFAIRES 2022\TARMAC\Devis n°4728 - Recertification on-site</t>
        </is>
      </c>
      <c r="AQ85" s="347" t="n"/>
      <c r="AR85" s="313" t="n"/>
      <c r="AS85" s="347" t="n"/>
      <c r="AT85" s="736" t="n"/>
      <c r="AU85" s="736" t="n"/>
      <c r="AV85" s="731" t="n"/>
      <c r="AW85" s="331" t="n"/>
    </row>
    <row r="86" ht="15" customHeight="1" s="701">
      <c r="A86" s="744" t="n">
        <v>44608</v>
      </c>
      <c r="B86" s="347">
        <f>IFERROR(INDEX(Tabelle2[BU],MATCH(tbl_DCFC[[#This Row],[Categorie]],CAT,0)),"")</f>
        <v/>
      </c>
      <c r="C86" s="315">
        <f>IF(D86&lt;&gt;"","S"&amp;TEXT(WEEKNUM(D86,21),"00"),"")</f>
        <v/>
      </c>
      <c r="D86" s="744" t="n">
        <v>44608</v>
      </c>
      <c r="E86" s="350" t="n">
        <v>4729</v>
      </c>
      <c r="F86" s="350" t="inlineStr">
        <is>
          <t>A</t>
        </is>
      </c>
      <c r="G86" s="350" t="inlineStr">
        <is>
          <t>AIA</t>
        </is>
      </c>
      <c r="H86" s="350" t="n"/>
      <c r="I86" s="745" t="n">
        <v>1060</v>
      </c>
      <c r="J86" s="350" t="inlineStr">
        <is>
          <t>ABA+ASI</t>
        </is>
      </c>
      <c r="K86" s="350" t="inlineStr">
        <is>
          <t>SERVICE AIA</t>
        </is>
      </c>
      <c r="L86" s="337" t="inlineStr">
        <is>
          <t>Accepté</t>
        </is>
      </c>
      <c r="M86" s="347" t="n"/>
      <c r="N86">
        <f>IF(Q86&lt;&gt;"","S"&amp;TEXT(WEEKNUM(Q86,21),"00"),"")</f>
        <v/>
      </c>
      <c r="O86">
        <f>IF(Data!$Q86="","",YEAR(Data!$Q86))</f>
        <v/>
      </c>
      <c r="P86">
        <f>IF(Data!$Q86="","",MONTH(Data!$Q86))</f>
        <v/>
      </c>
      <c r="Q86" s="163" t="n">
        <v>44627</v>
      </c>
      <c r="R86" t="inlineStr">
        <is>
          <t>2022-031</t>
        </is>
      </c>
      <c r="S86" s="709" t="n">
        <v>1060</v>
      </c>
      <c r="V86" s="347" t="n"/>
      <c r="W86" s="163" t="n">
        <v>44622</v>
      </c>
      <c r="X86">
        <f>IF(AC86&lt;&gt;"","S"&amp;TEXT(WEEKNUM(AC86,21),"00"),"")</f>
        <v/>
      </c>
      <c r="Y86">
        <f>IF(Data!$AC86="","",YEAR(Data!$AC86))</f>
        <v/>
      </c>
      <c r="Z86">
        <f>IF(Data!$AC86="","",MONTH(Data!$AC86))</f>
        <v/>
      </c>
      <c r="AA86" s="163" t="n"/>
      <c r="AD86" s="709" t="n"/>
      <c r="AE86" s="163" t="n">
        <v>44693</v>
      </c>
      <c r="AF86" s="302" t="n"/>
      <c r="AH86" s="347" t="n"/>
      <c r="AI86" s="340" t="n">
        <v>2</v>
      </c>
      <c r="AJ86" s="340" t="inlineStr">
        <is>
          <t>Remise en service crics et vérins</t>
        </is>
      </c>
      <c r="AK86" s="347" t="n"/>
      <c r="AL86" t="inlineStr">
        <is>
          <t>Noria n°8 - Remise en service - PO à confirmer, en attente modification AIA</t>
        </is>
      </c>
      <c r="AM86" s="347" t="n"/>
      <c r="AN86" s="350" t="n"/>
      <c r="AO86" s="347" t="n"/>
      <c r="AP86" s="340" t="inlineStr">
        <is>
          <t>L:\KL_CO\110_HYFR\AFFAIRES 2022\AIA\Devis n°4729 - Maintenance Noria n°8</t>
        </is>
      </c>
      <c r="AQ86" s="347" t="n"/>
      <c r="AR86" s="313" t="n"/>
      <c r="AS86" s="347" t="n"/>
      <c r="AT86" s="736" t="n">
        <v>494.4</v>
      </c>
      <c r="AU86" s="736" t="n"/>
      <c r="AV86" s="731" t="n"/>
      <c r="AW86" s="331" t="n"/>
    </row>
    <row r="87" ht="15" customHeight="1" s="701">
      <c r="A87" s="744" t="n">
        <v>44608</v>
      </c>
      <c r="B87" s="347">
        <f>IFERROR(INDEX(Tabelle2[BU],MATCH(tbl_DCFC[[#This Row],[Categorie]],CAT,0)),"")</f>
        <v/>
      </c>
      <c r="C87" s="315">
        <f>IF(D87&lt;&gt;"","S"&amp;TEXT(WEEKNUM(D87,21),"00"),"")</f>
        <v/>
      </c>
      <c r="D87" s="744" t="n">
        <v>44608</v>
      </c>
      <c r="E87" s="350" t="n">
        <v>4730</v>
      </c>
      <c r="F87" s="350" t="inlineStr">
        <is>
          <t>A</t>
        </is>
      </c>
      <c r="G87" s="350" t="inlineStr">
        <is>
          <t>AIA</t>
        </is>
      </c>
      <c r="H87" s="350" t="n"/>
      <c r="I87" s="745" t="n">
        <v>1200</v>
      </c>
      <c r="J87" s="350" t="inlineStr">
        <is>
          <t>ABA+ASI</t>
        </is>
      </c>
      <c r="K87" s="350" t="inlineStr">
        <is>
          <t>SERVICE AIA</t>
        </is>
      </c>
      <c r="L87" s="337" t="inlineStr">
        <is>
          <t>Accepté</t>
        </is>
      </c>
      <c r="M87" s="347" t="n"/>
      <c r="N87">
        <f>IF(Q87&lt;&gt;"","S"&amp;TEXT(WEEKNUM(Q87,21),"00"),"")</f>
        <v/>
      </c>
      <c r="O87">
        <f>IF(Data!$Q87="","",YEAR(Data!$Q87))</f>
        <v/>
      </c>
      <c r="P87">
        <f>IF(Data!$Q87="","",MONTH(Data!$Q87))</f>
        <v/>
      </c>
      <c r="Q87" s="163" t="n">
        <v>44651</v>
      </c>
      <c r="R87" t="inlineStr">
        <is>
          <t>2022-039</t>
        </is>
      </c>
      <c r="S87" s="709" t="n">
        <v>1200</v>
      </c>
      <c r="V87" s="347" t="n"/>
      <c r="W87" s="163" t="n">
        <v>44622</v>
      </c>
      <c r="X87">
        <f>IF(AC87&lt;&gt;"","S"&amp;TEXT(WEEKNUM(AC87,21),"00"),"")</f>
        <v/>
      </c>
      <c r="Y87">
        <f>IF(Data!$AC87="","",YEAR(Data!$AC87))</f>
        <v/>
      </c>
      <c r="Z87">
        <f>IF(Data!$AC87="","",MONTH(Data!$AC87))</f>
        <v/>
      </c>
      <c r="AA87" s="163" t="n">
        <v>44655</v>
      </c>
      <c r="AB87" t="n">
        <v>5230</v>
      </c>
      <c r="AC87" s="163" t="n">
        <v>1200</v>
      </c>
      <c r="AD87" s="709" t="n"/>
      <c r="AE87" s="163" t="n">
        <v>44678</v>
      </c>
      <c r="AF87" s="302" t="n"/>
      <c r="AH87" s="347" t="n"/>
      <c r="AI87" s="340" t="n">
        <v>2</v>
      </c>
      <c r="AJ87" s="340" t="inlineStr">
        <is>
          <t>Maintenance curative crics et vérins</t>
        </is>
      </c>
      <c r="AK87" s="347" t="n"/>
      <c r="AL87" t="inlineStr">
        <is>
          <t>Noria n°8 - Maintenance curative</t>
        </is>
      </c>
      <c r="AM87" s="347" t="n"/>
      <c r="AN87" s="350" t="n"/>
      <c r="AO87" s="347" t="n"/>
      <c r="AP87" s="340" t="inlineStr">
        <is>
          <t>L:\KL_CO\110_HYFR\AFFAIRES 2022\AIA\Devis n°4730 - Curatif Noria n°8</t>
        </is>
      </c>
      <c r="AQ87" s="347" t="n"/>
      <c r="AR87" s="313" t="n"/>
      <c r="AS87" s="347" t="n"/>
      <c r="AT87" s="736" t="n"/>
      <c r="AU87" s="736" t="n"/>
      <c r="AV87" s="731" t="n"/>
      <c r="AW87" s="331" t="n"/>
    </row>
    <row r="88" ht="15" customHeight="1" s="701">
      <c r="A88" s="744" t="n">
        <v>44608</v>
      </c>
      <c r="B88" s="347">
        <f>IFERROR(INDEX(Tabelle2[BU],MATCH(tbl_DCFC[[#This Row],[Categorie]],CAT,0)),"")</f>
        <v/>
      </c>
      <c r="C88" s="315">
        <f>IF(D88&lt;&gt;"","S"&amp;TEXT(WEEKNUM(D88,21),"00"),"")</f>
        <v/>
      </c>
      <c r="D88" s="744" t="n">
        <v>44608</v>
      </c>
      <c r="E88" s="350" t="n">
        <v>4731</v>
      </c>
      <c r="F88" s="350" t="inlineStr">
        <is>
          <t>A</t>
        </is>
      </c>
      <c r="G88" s="350" t="inlineStr">
        <is>
          <t>SPIE</t>
        </is>
      </c>
      <c r="H88" s="350" t="n"/>
      <c r="I88" s="745" t="n">
        <v>20580</v>
      </c>
      <c r="J88" s="350" t="inlineStr">
        <is>
          <t>ASI</t>
        </is>
      </c>
      <c r="K88" s="350" t="inlineStr">
        <is>
          <t>SERVICE OTHER AIA</t>
        </is>
      </c>
      <c r="L88" s="337" t="inlineStr">
        <is>
          <t>En Attente</t>
        </is>
      </c>
      <c r="M88" s="347" t="n"/>
      <c r="N88">
        <f>IF(Q88&lt;&gt;"","S"&amp;TEXT(WEEKNUM(Q88,21),"00"),"")</f>
        <v/>
      </c>
      <c r="O88">
        <f>IF(Data!$Q88="","",YEAR(Data!$Q88))</f>
        <v/>
      </c>
      <c r="P88">
        <f>IF(Data!$Q88="","",MONTH(Data!$Q88))</f>
        <v/>
      </c>
      <c r="V88" s="347" t="n"/>
      <c r="W88" s="163" t="n"/>
      <c r="X88">
        <f>IF(AC88&lt;&gt;"","S"&amp;TEXT(WEEKNUM(AC88,21),"00"),"")</f>
        <v/>
      </c>
      <c r="Y88">
        <f>IF(Data!$AC88="","",YEAR(Data!$AC88))</f>
        <v/>
      </c>
      <c r="Z88">
        <f>IF(Data!$AC88="","",MONTH(Data!$AC88))</f>
        <v/>
      </c>
      <c r="AA88" s="163" t="n"/>
      <c r="AD88" s="709" t="n"/>
      <c r="AE88" s="163" t="n"/>
      <c r="AF88" s="302" t="n"/>
      <c r="AH88" s="347" t="n"/>
      <c r="AI88" s="340" t="n">
        <v>1</v>
      </c>
      <c r="AJ88" s="340" t="inlineStr">
        <is>
          <t>Maintenance moyens Hydro sur Airbus SNZ</t>
        </is>
      </c>
      <c r="AK88" s="347" t="n"/>
      <c r="AM88" s="347" t="n"/>
      <c r="AN88" s="350" t="n"/>
      <c r="AO88" s="347" t="n"/>
      <c r="AP88" s="340" t="inlineStr">
        <is>
          <t>L:\KL_CO\110_HYFR\AFFAIRES 2022\SPIE\Devis n°4731 - Maintenance moyens HYDRO</t>
        </is>
      </c>
      <c r="AQ88" s="347" t="n"/>
      <c r="AR88" s="313" t="n"/>
      <c r="AS88" s="347" t="n"/>
      <c r="AT88" s="736" t="n"/>
      <c r="AU88" s="736" t="n"/>
      <c r="AV88" s="731" t="n"/>
      <c r="AW88" s="331" t="n"/>
    </row>
    <row r="89" ht="15" customHeight="1" s="701">
      <c r="A89" s="744" t="n">
        <v>44609</v>
      </c>
      <c r="B89" s="347">
        <f>IFERROR(INDEX(Tabelle2[BU],MATCH(tbl_DCFC[[#This Row],[Categorie]],CAT,0)),"")</f>
        <v/>
      </c>
      <c r="C89" s="315">
        <f>IF(D89&lt;&gt;"","S"&amp;TEXT(WEEKNUM(D89,21),"00"),"")</f>
        <v/>
      </c>
      <c r="D89" s="744" t="n">
        <v>44609</v>
      </c>
      <c r="E89" s="350" t="n">
        <v>4732</v>
      </c>
      <c r="F89" s="350" t="inlineStr">
        <is>
          <t>A</t>
        </is>
      </c>
      <c r="G89" s="350" t="inlineStr">
        <is>
          <t>ROYAL AIR MAROC</t>
        </is>
      </c>
      <c r="H89" s="350" t="n"/>
      <c r="I89" s="745" t="n"/>
      <c r="J89" s="350" t="inlineStr">
        <is>
          <t>ASI</t>
        </is>
      </c>
      <c r="K89" s="350" t="inlineStr">
        <is>
          <t>SERVICE OTHER AIA</t>
        </is>
      </c>
      <c r="L89" s="337" t="inlineStr">
        <is>
          <t>Annulé</t>
        </is>
      </c>
      <c r="M89" s="347" t="n"/>
      <c r="N89">
        <f>IF(Q89&lt;&gt;"","S"&amp;TEXT(WEEKNUM(Q89,21),"00"),"")</f>
        <v/>
      </c>
      <c r="O89">
        <f>IF(Data!$Q89="","",YEAR(Data!$Q89))</f>
        <v/>
      </c>
      <c r="P89">
        <f>IF(Data!$Q89="","",MONTH(Data!$Q89))</f>
        <v/>
      </c>
      <c r="V89" s="347" t="n"/>
      <c r="W89" s="163" t="n"/>
      <c r="X89">
        <f>IF(AC89&lt;&gt;"","S"&amp;TEXT(WEEKNUM(AC89,21),"00"),"")</f>
        <v/>
      </c>
      <c r="Y89">
        <f>IF(Data!$AC89="","",YEAR(Data!$AC89))</f>
        <v/>
      </c>
      <c r="Z89">
        <f>IF(Data!$AC89="","",MONTH(Data!$AC89))</f>
        <v/>
      </c>
      <c r="AA89" s="163" t="n"/>
      <c r="AD89" s="709" t="n"/>
      <c r="AE89" s="163" t="n"/>
      <c r="AF89" s="302" t="n"/>
      <c r="AH89" s="347" t="n"/>
      <c r="AI89" s="340" t="n">
        <v>1</v>
      </c>
      <c r="AJ89" s="340" t="inlineStr">
        <is>
          <t>Calibration sling equipment</t>
        </is>
      </c>
      <c r="AK89" s="347" t="n"/>
      <c r="AL89" t="inlineStr">
        <is>
          <t>Manuels non fournis par le client qui a envoyé l'outillage chez un autre fournisseur</t>
        </is>
      </c>
      <c r="AM89" s="347" t="n"/>
      <c r="AN89" s="350" t="n"/>
      <c r="AO89" s="347" t="n"/>
      <c r="AP89" s="340" t="inlineStr">
        <is>
          <t>L:\KL_CO\110_HYFR\AFFAIRES 2022\ROYAL AIR MAROC\Devis n°4732 - Calibration Sling</t>
        </is>
      </c>
      <c r="AQ89" s="347" t="n"/>
      <c r="AR89" s="313" t="n"/>
      <c r="AS89" s="347" t="n"/>
      <c r="AT89" s="736" t="n"/>
      <c r="AU89" s="736" t="n"/>
      <c r="AV89" s="731">
        <f>IF(AT89="","",S89-AT89-AU89)</f>
        <v/>
      </c>
      <c r="AW89" s="331">
        <f>IFERROR(IF(tbl_DCFC[[#This Row],[F Montant HT]]="","",tbl_DCFC[[#This Row],[Marge]]/tbl_DCFC[[#This Row],[F Montant HT]]),"")</f>
        <v/>
      </c>
    </row>
    <row r="90" ht="15" customHeight="1" s="701">
      <c r="A90" s="744" t="n">
        <v>44602</v>
      </c>
      <c r="B90" s="347">
        <f>IFERROR(INDEX(Tabelle2[BU],MATCH(tbl_DCFC[[#This Row],[Categorie]],CAT,0)),"")</f>
        <v/>
      </c>
      <c r="C90" s="315">
        <f>IF(D90&lt;&gt;"","S"&amp;TEXT(WEEKNUM(D90,21),"00"),"")</f>
        <v/>
      </c>
      <c r="D90" s="744" t="n">
        <v>44602</v>
      </c>
      <c r="E90" s="350" t="n">
        <v>4721</v>
      </c>
      <c r="F90" s="350" t="inlineStr">
        <is>
          <t>A</t>
        </is>
      </c>
      <c r="G90" s="350" t="inlineStr">
        <is>
          <t>TARMAC</t>
        </is>
      </c>
      <c r="H90" s="350" t="n"/>
      <c r="I90" s="745" t="n">
        <v>460</v>
      </c>
      <c r="J90" s="350" t="inlineStr">
        <is>
          <t>ABA</t>
        </is>
      </c>
      <c r="K90" s="350" t="inlineStr">
        <is>
          <t>SERVICE OTHER AIA</t>
        </is>
      </c>
      <c r="L90" s="337" t="inlineStr">
        <is>
          <t>En Attente</t>
        </is>
      </c>
      <c r="M90" s="347" t="n"/>
      <c r="N90">
        <f>IF(Q90&lt;&gt;"","S"&amp;TEXT(WEEKNUM(Q90,21),"00"),"")</f>
        <v/>
      </c>
      <c r="O90">
        <f>IF(Data!$Q90="","",YEAR(Data!$Q90))</f>
        <v/>
      </c>
      <c r="P90">
        <f>IF(Data!$Q90="","",MONTH(Data!$Q90))</f>
        <v/>
      </c>
      <c r="V90" s="347" t="n"/>
      <c r="W90" s="163" t="n"/>
      <c r="X90">
        <f>IF(AC90&lt;&gt;"","S"&amp;TEXT(WEEKNUM(AC90,21),"00"),"")</f>
        <v/>
      </c>
      <c r="Y90">
        <f>IF(Data!$AC90="","",YEAR(Data!$AC90))</f>
        <v/>
      </c>
      <c r="Z90">
        <f>IF(Data!$AC90="","",MONTH(Data!$AC90))</f>
        <v/>
      </c>
      <c r="AA90" s="163" t="n"/>
      <c r="AD90" s="709" t="n"/>
      <c r="AE90" s="163" t="n"/>
      <c r="AF90" s="302" t="n"/>
      <c r="AH90" s="347" t="n"/>
      <c r="AI90" s="340" t="n"/>
      <c r="AJ90" s="340" t="n"/>
      <c r="AK90" s="347" t="n"/>
      <c r="AL90" t="inlineStr">
        <is>
          <t>Réception moyen prévue semaine 8-9</t>
        </is>
      </c>
      <c r="AM90" s="347" t="n"/>
      <c r="AN90" s="350" t="n"/>
      <c r="AO90" s="347" t="n"/>
      <c r="AP90" s="340" t="inlineStr">
        <is>
          <t>L:\KL_CO\110_HYFR\AFFAIRES 2022\TARMAC\Devis n°4721 - Recertifiation cric et vérin</t>
        </is>
      </c>
      <c r="AQ90" s="347" t="n"/>
      <c r="AR90" s="313" t="n"/>
      <c r="AS90" s="347" t="n"/>
      <c r="AT90" s="736" t="n"/>
      <c r="AU90" s="736" t="n"/>
      <c r="AV90" s="731" t="n"/>
      <c r="AW90" s="331" t="n"/>
    </row>
    <row r="91" ht="15" customHeight="1" s="701">
      <c r="A91" s="744" t="n">
        <v>44609</v>
      </c>
      <c r="B91" s="347">
        <f>IFERROR(INDEX(Tabelle2[BU],MATCH(tbl_DCFC[[#This Row],[Categorie]],CAT,0)),"")</f>
        <v/>
      </c>
      <c r="C91" s="315">
        <f>IF(D91&lt;&gt;"","S"&amp;TEXT(WEEKNUM(D91,21),"00"),"")</f>
        <v/>
      </c>
      <c r="D91" s="744" t="n">
        <v>44609</v>
      </c>
      <c r="E91" s="350" t="n">
        <v>4733</v>
      </c>
      <c r="F91" s="350" t="inlineStr">
        <is>
          <t>A</t>
        </is>
      </c>
      <c r="G91" s="350" t="inlineStr">
        <is>
          <t>TARMAC</t>
        </is>
      </c>
      <c r="H91" s="350" t="n"/>
      <c r="I91" s="745" t="n">
        <v>460</v>
      </c>
      <c r="J91" s="350" t="inlineStr">
        <is>
          <t>ABA</t>
        </is>
      </c>
      <c r="K91" s="350" t="inlineStr">
        <is>
          <t>SERVICE OTHER AIA</t>
        </is>
      </c>
      <c r="L91" s="337" t="inlineStr">
        <is>
          <t>Accepté</t>
        </is>
      </c>
      <c r="M91" s="347" t="n"/>
      <c r="N91">
        <f>IF(Q91&lt;&gt;"","S"&amp;TEXT(WEEKNUM(Q91,21),"00"),"")</f>
        <v/>
      </c>
      <c r="O91">
        <f>IF(Data!$Q91="","",YEAR(Data!$Q91))</f>
        <v/>
      </c>
      <c r="P91">
        <f>IF(Data!$Q91="","",MONTH(Data!$Q91))</f>
        <v/>
      </c>
      <c r="Q91" s="163" t="n">
        <v>44609</v>
      </c>
      <c r="R91" t="inlineStr">
        <is>
          <t>2022-021</t>
        </is>
      </c>
      <c r="S91" s="709" t="n">
        <v>460</v>
      </c>
      <c r="V91" s="347" t="n"/>
      <c r="W91" s="163" t="n">
        <v>44614</v>
      </c>
      <c r="X91">
        <f>IF(AC91&lt;&gt;"","S"&amp;TEXT(WEEKNUM(AC91,21),"00"),"")</f>
        <v/>
      </c>
      <c r="Y91">
        <f>IF(Data!$AC91="","",YEAR(Data!$AC91))</f>
        <v/>
      </c>
      <c r="Z91">
        <f>IF(Data!$AC91="","",MONTH(Data!$AC91))</f>
        <v/>
      </c>
      <c r="AA91" s="163" t="n">
        <v>44616</v>
      </c>
      <c r="AB91" t="n">
        <v>5207</v>
      </c>
      <c r="AC91" s="163" t="n">
        <v>44617</v>
      </c>
      <c r="AD91" s="709" t="n">
        <v>460</v>
      </c>
      <c r="AE91" s="163" t="n"/>
      <c r="AF91" s="302" t="n"/>
      <c r="AH91" s="347" t="n"/>
      <c r="AI91" s="340" t="n">
        <v>1</v>
      </c>
      <c r="AJ91" s="340" t="inlineStr">
        <is>
          <t>Recertification cric</t>
        </is>
      </c>
      <c r="AK91" s="347" t="n"/>
      <c r="AL91" t="inlineStr">
        <is>
          <t>Réception prévue semaine 8</t>
        </is>
      </c>
      <c r="AM91" s="347" t="n"/>
      <c r="AN91" s="350" t="n"/>
      <c r="AO91" s="347" t="n"/>
      <c r="AP91" s="340" t="inlineStr">
        <is>
          <t>L:\KL_CO\110_HYFR\AFFAIRES 2022\TARMAC\Devis n°4733 - Réparation et recertification</t>
        </is>
      </c>
      <c r="AQ91" s="347" t="n"/>
      <c r="AR91" s="313" t="n"/>
      <c r="AS91" s="347" t="n"/>
      <c r="AT91" s="736" t="n">
        <v>37.64</v>
      </c>
      <c r="AU91" s="736" t="n">
        <v>271.82</v>
      </c>
      <c r="AV91" s="731">
        <f>IF(AT91="","",S91-AT91-AU91)</f>
        <v/>
      </c>
      <c r="AW91" s="331">
        <f>IFERROR(IF(tbl_DCFC[[#This Row],[F Montant HT]]="","",tbl_DCFC[[#This Row],[Marge]]/tbl_DCFC[[#This Row],[F Montant HT]]),"")</f>
        <v/>
      </c>
    </row>
    <row r="92" ht="15" customHeight="1" s="701">
      <c r="A92" s="744" t="n">
        <v>44609</v>
      </c>
      <c r="B92" s="347">
        <f>IFERROR(INDEX(Tabelle2[BU],MATCH(tbl_DCFC[[#This Row],[Categorie]],CAT,0)),"")</f>
        <v/>
      </c>
      <c r="C92" s="315">
        <f>IF(D92&lt;&gt;"","S"&amp;TEXT(WEEKNUM(D92,21),"00"),"")</f>
        <v/>
      </c>
      <c r="D92" s="744" t="n">
        <v>44609</v>
      </c>
      <c r="E92" s="350" t="n">
        <v>4733</v>
      </c>
      <c r="F92" s="350" t="inlineStr">
        <is>
          <t>A</t>
        </is>
      </c>
      <c r="G92" s="350" t="inlineStr">
        <is>
          <t>TARMAC</t>
        </is>
      </c>
      <c r="H92" s="350" t="n"/>
      <c r="I92" s="745" t="n">
        <v>90</v>
      </c>
      <c r="J92" s="350" t="inlineStr">
        <is>
          <t>ABA</t>
        </is>
      </c>
      <c r="K92" s="350" t="inlineStr">
        <is>
          <t>SERVICE OTHER AIA</t>
        </is>
      </c>
      <c r="L92" s="337" t="inlineStr">
        <is>
          <t>Accepté</t>
        </is>
      </c>
      <c r="M92" s="347" t="n"/>
      <c r="N92">
        <f>IF(Q92&lt;&gt;"","S"&amp;TEXT(WEEKNUM(Q92,21),"00"),"")</f>
        <v/>
      </c>
      <c r="O92">
        <f>IF(Data!$Q92="","",YEAR(Data!$Q92))</f>
        <v/>
      </c>
      <c r="P92">
        <f>IF(Data!$Q92="","",MONTH(Data!$Q92))</f>
        <v/>
      </c>
      <c r="Q92" s="163" t="n">
        <v>44609</v>
      </c>
      <c r="R92" t="inlineStr">
        <is>
          <t>2022-021</t>
        </is>
      </c>
      <c r="S92" s="709" t="n">
        <v>90</v>
      </c>
      <c r="V92" s="347" t="n"/>
      <c r="W92" s="163" t="n">
        <v>44614</v>
      </c>
      <c r="X92">
        <f>IF(AC92&lt;&gt;"","S"&amp;TEXT(WEEKNUM(AC92,21),"00"),"")</f>
        <v/>
      </c>
      <c r="Y92">
        <f>IF(Data!$AC92="","",YEAR(Data!$AC92))</f>
        <v/>
      </c>
      <c r="Z92">
        <f>IF(Data!$AC92="","",MONTH(Data!$AC92))</f>
        <v/>
      </c>
      <c r="AA92" s="163" t="n">
        <v>44630</v>
      </c>
      <c r="AB92" t="n">
        <v>5213</v>
      </c>
      <c r="AC92" s="163" t="n">
        <v>44634</v>
      </c>
      <c r="AD92" s="709" t="n">
        <v>90</v>
      </c>
      <c r="AE92" s="163" t="n"/>
      <c r="AF92" s="302" t="n"/>
      <c r="AH92" s="347" t="n"/>
      <c r="AI92" s="340" t="n">
        <v>1</v>
      </c>
      <c r="AJ92" s="340" t="inlineStr">
        <is>
          <t>Réparation palan</t>
        </is>
      </c>
      <c r="AK92" s="347" t="n"/>
      <c r="AM92" s="347" t="n"/>
      <c r="AN92" s="350" t="n"/>
      <c r="AO92" s="347" t="n"/>
      <c r="AP92" s="340" t="inlineStr">
        <is>
          <t>L:\KL_CO\110_HYFR\AFFAIRES 2022\TARMAC\Devis n°4733 - Réparation et recertification</t>
        </is>
      </c>
      <c r="AQ92" s="347" t="n"/>
      <c r="AR92" s="313" t="n"/>
      <c r="AS92" s="347" t="n"/>
      <c r="AT92" s="736" t="n">
        <v>7.36</v>
      </c>
      <c r="AU92" s="736" t="n">
        <v>53.18</v>
      </c>
      <c r="AV92" s="731">
        <f>IF(AT92="","",S92-AT92-AU92)</f>
        <v/>
      </c>
      <c r="AW92" s="331">
        <f>IFERROR(IF(tbl_DCFC[[#This Row],[F Montant HT]]="","",tbl_DCFC[[#This Row],[Marge]]/tbl_DCFC[[#This Row],[F Montant HT]]),"")</f>
        <v/>
      </c>
    </row>
    <row r="93" ht="15" customHeight="1" s="701">
      <c r="A93" s="744" t="n">
        <v>44602</v>
      </c>
      <c r="B93" s="347">
        <f>IFERROR(INDEX(Tabelle2[BU],MATCH(tbl_DCFC[[#This Row],[Categorie]],CAT,0)),"")</f>
        <v/>
      </c>
      <c r="C93" s="315">
        <f>IF(D93&lt;&gt;"","S"&amp;TEXT(WEEKNUM(D93,21),"00"),"")</f>
        <v/>
      </c>
      <c r="D93" s="744" t="n">
        <v>44602</v>
      </c>
      <c r="E93" s="350" t="n"/>
      <c r="F93" s="350" t="n"/>
      <c r="G93" s="350" t="inlineStr">
        <is>
          <t>AIR CARAIBES</t>
        </is>
      </c>
      <c r="H93" s="350" t="n"/>
      <c r="I93" s="745" t="n"/>
      <c r="J93" s="350" t="inlineStr">
        <is>
          <t>NA</t>
        </is>
      </c>
      <c r="K93" s="350" t="n"/>
      <c r="L93" s="337" t="n"/>
      <c r="M93" s="347" t="n"/>
      <c r="N93">
        <f>IF(Q93&lt;&gt;"","S"&amp;TEXT(WEEKNUM(Q93,21),"00"),"")</f>
        <v/>
      </c>
      <c r="O93">
        <f>IF(Data!$Q93="","",YEAR(Data!$Q93))</f>
        <v/>
      </c>
      <c r="P93">
        <f>IF(Data!$Q93="","",MONTH(Data!$Q93))</f>
        <v/>
      </c>
      <c r="R93" t="inlineStr">
        <is>
          <t>2021-093</t>
        </is>
      </c>
      <c r="V93" s="347" t="n"/>
      <c r="W93" s="163" t="n"/>
      <c r="X93">
        <f>IF(AC93&lt;&gt;"","S"&amp;TEXT(WEEKNUM(AC93,21),"00"),"")</f>
        <v/>
      </c>
      <c r="Y93">
        <f>IF(Data!$AC93="","",YEAR(Data!$AC93))</f>
        <v/>
      </c>
      <c r="Z93">
        <f>IF(Data!$AC93="","",MONTH(Data!$AC93))</f>
        <v/>
      </c>
      <c r="AA93" s="163" t="n"/>
      <c r="AB93" t="n">
        <v>5200</v>
      </c>
      <c r="AC93" s="163" t="n">
        <v>44602</v>
      </c>
      <c r="AD93" s="709" t="n">
        <v>-3571</v>
      </c>
      <c r="AE93" s="163" t="n"/>
      <c r="AF93" s="302" t="n"/>
      <c r="AH93" s="347" t="n"/>
      <c r="AI93" s="340" t="n"/>
      <c r="AJ93" s="340" t="n"/>
      <c r="AK93" s="347" t="n"/>
      <c r="AL93" t="inlineStr">
        <is>
          <t>Annulation facture 5177</t>
        </is>
      </c>
      <c r="AM93" s="347" t="n"/>
      <c r="AN93" s="350" t="n"/>
      <c r="AO93" s="347" t="n"/>
      <c r="AP93" s="340" t="inlineStr">
        <is>
          <t>L:\KL_CO\110_HYFR\AFFAIRES 2021\AIR CARAIBES\Devis 4661 - Réparation sur site N3</t>
        </is>
      </c>
      <c r="AQ93" s="347" t="n"/>
      <c r="AR93" s="313" t="n"/>
      <c r="AS93" s="347" t="n"/>
      <c r="AT93" s="736" t="n"/>
      <c r="AU93" s="736" t="n"/>
      <c r="AV93" s="731">
        <f>IF(AT93="","",S93-AT93-AU93)</f>
        <v/>
      </c>
      <c r="AW93" s="331">
        <f>IFERROR(IF(tbl_DCFC[[#This Row],[F Montant HT]]="","",tbl_DCFC[[#This Row],[Marge]]/tbl_DCFC[[#This Row],[F Montant HT]]),"")</f>
        <v/>
      </c>
    </row>
    <row r="94" ht="15" customHeight="1" s="701">
      <c r="A94" s="744" t="n">
        <v>44602</v>
      </c>
      <c r="B94" s="347">
        <f>IFERROR(INDEX(Tabelle2[BU],MATCH(tbl_DCFC[[#This Row],[Categorie]],CAT,0)),"")</f>
        <v/>
      </c>
      <c r="C94" s="315">
        <f>IF(D94&lt;&gt;"","S"&amp;TEXT(WEEKNUM(D94,21),"00"),"")</f>
        <v/>
      </c>
      <c r="D94" s="744" t="n">
        <v>44602</v>
      </c>
      <c r="E94" s="350" t="n"/>
      <c r="F94" s="350" t="n"/>
      <c r="G94" s="350" t="inlineStr">
        <is>
          <t>AIR CARAIBES</t>
        </is>
      </c>
      <c r="H94" s="350" t="n"/>
      <c r="I94" s="745" t="n"/>
      <c r="J94" s="350" t="inlineStr">
        <is>
          <t>NA</t>
        </is>
      </c>
      <c r="K94" s="350" t="n"/>
      <c r="L94" s="337" t="n"/>
      <c r="M94" s="347" t="n"/>
      <c r="N94">
        <f>IF(Q94&lt;&gt;"","S"&amp;TEXT(WEEKNUM(Q94,21),"00"),"")</f>
        <v/>
      </c>
      <c r="O94">
        <f>IF(Data!$Q94="","",YEAR(Data!$Q94))</f>
        <v/>
      </c>
      <c r="P94">
        <f>IF(Data!$Q94="","",MONTH(Data!$Q94))</f>
        <v/>
      </c>
      <c r="R94" t="inlineStr">
        <is>
          <t>2021-093</t>
        </is>
      </c>
      <c r="V94" s="347" t="n"/>
      <c r="W94" s="163" t="n"/>
      <c r="X94">
        <f>IF(AC94&lt;&gt;"","S"&amp;TEXT(WEEKNUM(AC94,21),"00"),"")</f>
        <v/>
      </c>
      <c r="Y94">
        <f>IF(Data!$AC94="","",YEAR(Data!$AC94))</f>
        <v/>
      </c>
      <c r="Z94">
        <f>IF(Data!$AC94="","",MONTH(Data!$AC94))</f>
        <v/>
      </c>
      <c r="AA94" s="163" t="n"/>
      <c r="AB94" t="n">
        <v>5201</v>
      </c>
      <c r="AC94" s="163" t="n">
        <v>44602</v>
      </c>
      <c r="AD94" s="709" t="n">
        <v>3571</v>
      </c>
      <c r="AE94" s="163" t="n"/>
      <c r="AF94" s="302" t="n"/>
      <c r="AH94" s="347" t="n"/>
      <c r="AI94" s="340" t="n"/>
      <c r="AJ94" s="340" t="n"/>
      <c r="AK94" s="347" t="n"/>
      <c r="AL94" t="inlineStr">
        <is>
          <t>Refacturation facture 5177 sans TVA</t>
        </is>
      </c>
      <c r="AM94" s="347" t="n"/>
      <c r="AN94" s="350" t="n"/>
      <c r="AO94" s="347" t="n"/>
      <c r="AP94" s="340" t="inlineStr">
        <is>
          <t>L:\KL_CO\110_HYFR\AFFAIRES 2021\AIR CARAIBES\Devis 4661 - Réparation sur site N3</t>
        </is>
      </c>
      <c r="AQ94" s="347" t="n"/>
      <c r="AR94" s="313" t="n"/>
      <c r="AS94" s="347" t="n"/>
      <c r="AT94" s="736" t="n"/>
      <c r="AU94" s="736" t="n"/>
      <c r="AV94" s="731">
        <f>IF(AT94="","",S94-AT94-AU94)</f>
        <v/>
      </c>
      <c r="AW94" s="331">
        <f>IFERROR(IF(tbl_DCFC[[#This Row],[F Montant HT]]="","",tbl_DCFC[[#This Row],[Marge]]/tbl_DCFC[[#This Row],[F Montant HT]]),"")</f>
        <v/>
      </c>
    </row>
    <row r="95" ht="15" customHeight="1" s="701">
      <c r="A95" s="744" t="n">
        <v>44592</v>
      </c>
      <c r="B95" s="347">
        <f>IFERROR(INDEX(Tabelle2[BU],MATCH(tbl_DCFC[[#This Row],[Categorie]],CAT,0)),"")</f>
        <v/>
      </c>
      <c r="C95" s="315">
        <f>IF(D95&lt;&gt;"","S"&amp;TEXT(WEEKNUM(D95,21),"00"),"")</f>
        <v/>
      </c>
      <c r="D95" s="744" t="n">
        <v>44592</v>
      </c>
      <c r="E95" s="350" t="n"/>
      <c r="F95" s="350" t="n"/>
      <c r="G95" s="350" t="inlineStr">
        <is>
          <t>OPCO 2I</t>
        </is>
      </c>
      <c r="H95" s="350" t="n"/>
      <c r="I95" s="745" t="n"/>
      <c r="J95" s="350" t="inlineStr">
        <is>
          <t>NA</t>
        </is>
      </c>
      <c r="K95" s="350" t="n"/>
      <c r="L95" s="337" t="n"/>
      <c r="M95" s="347" t="n"/>
      <c r="N95">
        <f>IF(Q95&lt;&gt;"","S"&amp;TEXT(WEEKNUM(Q95,21),"00"),"")</f>
        <v/>
      </c>
      <c r="O95">
        <f>IF(Data!$Q95="","",YEAR(Data!$Q95))</f>
        <v/>
      </c>
      <c r="P95">
        <f>IF(Data!$Q95="","",MONTH(Data!$Q95))</f>
        <v/>
      </c>
      <c r="R95" t="inlineStr">
        <is>
          <t>2022-014</t>
        </is>
      </c>
      <c r="V95" s="347" t="n"/>
      <c r="W95" s="163" t="n"/>
      <c r="X95">
        <f>IF(AC95&lt;&gt;"","S"&amp;TEXT(WEEKNUM(AC95,21),"00"),"")</f>
        <v/>
      </c>
      <c r="Y95">
        <f>IF(Data!$AC95="","",YEAR(Data!$AC95))</f>
        <v/>
      </c>
      <c r="Z95">
        <f>IF(Data!$AC95="","",MONTH(Data!$AC95))</f>
        <v/>
      </c>
      <c r="AA95" s="163" t="n"/>
      <c r="AB95" t="n">
        <v>5195</v>
      </c>
      <c r="AC95" s="163" t="n">
        <v>44592</v>
      </c>
      <c r="AD95" s="709" t="n">
        <v>412.5</v>
      </c>
      <c r="AE95" s="163" t="n"/>
      <c r="AF95" s="302" t="n"/>
      <c r="AH95" s="347" t="n"/>
      <c r="AI95" s="340" t="n">
        <v>1</v>
      </c>
      <c r="AJ95" s="340" t="inlineStr">
        <is>
          <t>Autorisation de conduite R484</t>
        </is>
      </c>
      <c r="AK95" s="347" t="n"/>
      <c r="AM95" s="347" t="n"/>
      <c r="AN95" s="350" t="n"/>
      <c r="AO95" s="347" t="n"/>
      <c r="AP95" s="340" t="n"/>
      <c r="AQ95" s="347" t="n"/>
      <c r="AR95" s="313" t="n"/>
      <c r="AS95" s="347" t="n"/>
      <c r="AT95" s="736" t="n"/>
      <c r="AU95" s="736" t="n"/>
      <c r="AV95" s="731">
        <f>IF(AT95="","",S95-AT95-AU95)</f>
        <v/>
      </c>
      <c r="AW95" s="331">
        <f>IFERROR(IF(tbl_DCFC[[#This Row],[F Montant HT]]="","",tbl_DCFC[[#This Row],[Marge]]/tbl_DCFC[[#This Row],[F Montant HT]]),"")</f>
        <v/>
      </c>
    </row>
    <row r="96" ht="15" customHeight="1" s="701">
      <c r="A96" s="744" t="n">
        <v>44609</v>
      </c>
      <c r="B96" s="347">
        <f>IFERROR(INDEX(Tabelle2[BU],MATCH(tbl_DCFC[[#This Row],[Categorie]],CAT,0)),"")</f>
        <v/>
      </c>
      <c r="C96" s="315">
        <f>IF(D96&lt;&gt;"","S"&amp;TEXT(WEEKNUM(D96,21),"00"),"")</f>
        <v/>
      </c>
      <c r="D96" s="744" t="n">
        <v>44609</v>
      </c>
      <c r="E96" s="350" t="n">
        <v>4734</v>
      </c>
      <c r="F96" s="350" t="inlineStr">
        <is>
          <t>A</t>
        </is>
      </c>
      <c r="G96" s="350" t="inlineStr">
        <is>
          <t>IGO</t>
        </is>
      </c>
      <c r="H96" s="350" t="n"/>
      <c r="I96" s="745" t="n">
        <v>5939</v>
      </c>
      <c r="J96" s="350" t="inlineStr">
        <is>
          <t>ASI</t>
        </is>
      </c>
      <c r="K96" s="350" t="inlineStr">
        <is>
          <t>SERVICE OTHER AIA</t>
        </is>
      </c>
      <c r="L96" s="337" t="inlineStr">
        <is>
          <t>Accepté</t>
        </is>
      </c>
      <c r="M96" s="347" t="n"/>
      <c r="N96">
        <f>IF(Q96&lt;&gt;"","S"&amp;TEXT(WEEKNUM(Q96,21),"00"),"")</f>
        <v/>
      </c>
      <c r="O96">
        <f>IF(Data!$Q96="","",YEAR(Data!$Q96))</f>
        <v/>
      </c>
      <c r="P96">
        <f>IF(Data!$Q96="","",MONTH(Data!$Q96))</f>
        <v/>
      </c>
      <c r="Q96" s="163" t="n">
        <v>44610</v>
      </c>
      <c r="R96" t="inlineStr">
        <is>
          <t>2022-022</t>
        </is>
      </c>
      <c r="S96" s="709" t="n">
        <v>5939</v>
      </c>
      <c r="V96" s="347" t="n"/>
      <c r="W96" s="163" t="n"/>
      <c r="X96">
        <f>IF(AC96&lt;&gt;"","S"&amp;TEXT(WEEKNUM(AC96,21),"00"),"")</f>
        <v/>
      </c>
      <c r="Y96">
        <f>IF(Data!$AC96="","",YEAR(Data!$AC96))</f>
        <v/>
      </c>
      <c r="Z96">
        <f>IF(Data!$AC96="","",MONTH(Data!$AC96))</f>
        <v/>
      </c>
      <c r="AA96" s="163" t="n"/>
      <c r="AD96" s="709" t="n"/>
      <c r="AE96" s="163" t="n">
        <v>44706</v>
      </c>
      <c r="AF96" s="302" t="n"/>
      <c r="AH96" s="347" t="n"/>
      <c r="AI96" s="340" t="n">
        <v>3</v>
      </c>
      <c r="AJ96" s="340" t="inlineStr">
        <is>
          <t xml:space="preserve">Réparation et recertification crics in-house </t>
        </is>
      </c>
      <c r="AK96" s="347" t="n"/>
      <c r="AM96" s="347" t="n"/>
      <c r="AN96" s="350" t="n"/>
      <c r="AO96" s="347" t="n"/>
      <c r="AP96" s="340" t="inlineStr">
        <is>
          <t>L:\KL_CO\110_HYFR\AFFAIRES 2022\IGO\Devis n°4734 - Réparation crics et palans</t>
        </is>
      </c>
      <c r="AQ96" s="347" t="n"/>
      <c r="AR96" s="313" t="n"/>
      <c r="AS96" s="347" t="n"/>
      <c r="AT96" s="736" t="n">
        <v>1110</v>
      </c>
      <c r="AU96" s="736" t="n">
        <v>510</v>
      </c>
      <c r="AV96" s="731">
        <f>IF(AT96="","",S96-AT96-AU96)</f>
        <v/>
      </c>
      <c r="AW96" s="331">
        <f>IFERROR(IF(tbl_DCFC[[#This Row],[F Montant HT]]="","",tbl_DCFC[[#This Row],[Marge]]/tbl_DCFC[[#This Row],[F Montant HT]]),"")</f>
        <v/>
      </c>
    </row>
    <row r="97" ht="15" customHeight="1" s="701">
      <c r="A97" s="724" t="n"/>
      <c r="B97" s="347">
        <f>IFERROR(INDEX(Tabelle2[BU],MATCH(tbl_DCFC[[#This Row],[Categorie]],CAT,0)),"")</f>
        <v/>
      </c>
      <c r="C97" s="344">
        <f>IF(D97&lt;&gt;"","S"&amp;TEXT(WEEKNUM(D97,21),"00"),"")</f>
        <v/>
      </c>
      <c r="D97" s="724" t="n"/>
      <c r="E97" s="301" t="n">
        <v>4673</v>
      </c>
      <c r="F97" s="301" t="inlineStr">
        <is>
          <t>A</t>
        </is>
      </c>
      <c r="G97" s="301" t="inlineStr">
        <is>
          <t>AIA</t>
        </is>
      </c>
      <c r="H97" s="301" t="n"/>
      <c r="I97" s="725" t="n">
        <v>9590</v>
      </c>
      <c r="J97" s="301" t="inlineStr">
        <is>
          <t>ABA</t>
        </is>
      </c>
      <c r="K97" s="301" t="inlineStr">
        <is>
          <t>FCP AIA</t>
        </is>
      </c>
      <c r="L97" s="309" t="inlineStr">
        <is>
          <t>Accepté</t>
        </is>
      </c>
      <c r="M97" s="347" t="n"/>
      <c r="N97">
        <f>IF(Q97&lt;&gt;"","S"&amp;TEXT(WEEKNUM(Q97,21),"00"),"")</f>
        <v/>
      </c>
      <c r="O97">
        <f>IF(Data!$Q97="","",YEAR(Data!$Q97))</f>
        <v/>
      </c>
      <c r="P97">
        <f>IF(Data!$Q97="","",MONTH(Data!$Q97))</f>
        <v/>
      </c>
      <c r="Q97" s="163" t="n">
        <v>44614</v>
      </c>
      <c r="R97" s="343" t="inlineStr">
        <is>
          <t>2022-023</t>
        </is>
      </c>
      <c r="S97" s="709" t="n">
        <v>9590</v>
      </c>
      <c r="V97" s="347" t="n"/>
      <c r="W97" s="163" t="n"/>
      <c r="X97">
        <f>IF(AC97&lt;&gt;"","S"&amp;TEXT(WEEKNUM(AC97,21),"00"),"")</f>
        <v/>
      </c>
      <c r="Y97">
        <f>IF(Data!$AC97="","",YEAR(Data!$AC97))</f>
        <v/>
      </c>
      <c r="Z97">
        <f>IF(Data!$AC97="","",MONTH(Data!$AC97))</f>
        <v/>
      </c>
      <c r="AA97" s="163" t="n"/>
      <c r="AD97" s="709" t="n"/>
      <c r="AE97" s="163" t="n">
        <v>44685</v>
      </c>
      <c r="AF97" s="302" t="n"/>
      <c r="AH97" s="347" t="n"/>
      <c r="AI97" s="340" t="n">
        <v>1</v>
      </c>
      <c r="AJ97" s="340" t="inlineStr">
        <is>
          <t>Réalisation d'un chariot ATL2</t>
        </is>
      </c>
      <c r="AK97" s="347" t="n"/>
      <c r="AM97" s="347" t="n"/>
      <c r="AN97" s="350" t="n"/>
      <c r="AO97" s="347" t="n"/>
      <c r="AP97" s="340" t="inlineStr">
        <is>
          <t>L:\KL_CO\110_HYFR\AFFAIRES 2021\AIA CF\Devis n°4673 -  réf. 4172117 - Conception et réalisation chariots ATL2</t>
        </is>
      </c>
      <c r="AQ97" s="347" t="n"/>
      <c r="AR97" s="313" t="n"/>
      <c r="AS97" s="347" t="n"/>
      <c r="AT97" s="736" t="n"/>
      <c r="AU97" s="736" t="n"/>
      <c r="AV97" s="731">
        <f>IF(AT97="","",S97-AT97-AU97)</f>
        <v/>
      </c>
      <c r="AW97" s="331">
        <f>IFERROR(IF(tbl_DCFC[[#This Row],[F Montant HT]]="","",tbl_DCFC[[#This Row],[Marge]]/tbl_DCFC[[#This Row],[F Montant HT]]),"")</f>
        <v/>
      </c>
    </row>
    <row r="98" ht="15" customHeight="1" s="701">
      <c r="A98" s="744" t="n">
        <v>44616</v>
      </c>
      <c r="B98" s="347">
        <f>IFERROR(INDEX(Tabelle2[BU],MATCH(tbl_DCFC[[#This Row],[Categorie]],CAT,0)),"")</f>
        <v/>
      </c>
      <c r="C98" s="315">
        <f>IF(D98&lt;&gt;"","S"&amp;TEXT(WEEKNUM(D98,21),"00"),"")</f>
        <v/>
      </c>
      <c r="D98" s="744" t="n">
        <v>44616</v>
      </c>
      <c r="E98" s="350" t="n">
        <v>4738</v>
      </c>
      <c r="F98" s="350" t="inlineStr">
        <is>
          <t>A</t>
        </is>
      </c>
      <c r="G98" s="350" t="inlineStr">
        <is>
          <t>SABENA PERPIGNAN</t>
        </is>
      </c>
      <c r="H98" s="350" t="n"/>
      <c r="I98" s="745" t="n">
        <v>1915</v>
      </c>
      <c r="J98" s="350" t="inlineStr">
        <is>
          <t>ABA</t>
        </is>
      </c>
      <c r="K98" s="350" t="inlineStr">
        <is>
          <t>SERVICE OTHER AIA</t>
        </is>
      </c>
      <c r="L98" s="337" t="inlineStr">
        <is>
          <t>Accepté</t>
        </is>
      </c>
      <c r="M98" s="347" t="n"/>
      <c r="N98">
        <f>IF(Q98&lt;&gt;"","S"&amp;TEXT(WEEKNUM(Q98,21),"00"),"")</f>
        <v/>
      </c>
      <c r="O98">
        <f>IF(Data!$Q98="","",YEAR(Data!$Q98))</f>
        <v/>
      </c>
      <c r="P98">
        <f>IF(Data!$Q98="","",MONTH(Data!$Q98))</f>
        <v/>
      </c>
      <c r="R98" t="inlineStr">
        <is>
          <t>2022-026</t>
        </is>
      </c>
      <c r="S98" s="709" t="n">
        <v>1915</v>
      </c>
      <c r="V98" s="347" t="n"/>
      <c r="W98" s="163" t="n">
        <v>44620</v>
      </c>
      <c r="X98">
        <f>IF(AC98&lt;&gt;"","S"&amp;TEXT(WEEKNUM(AC98,21),"00"),"")</f>
        <v/>
      </c>
      <c r="Y98">
        <f>IF(Data!$AC98="","",YEAR(Data!$AC98))</f>
        <v/>
      </c>
      <c r="Z98">
        <f>IF(Data!$AC98="","",MONTH(Data!$AC98))</f>
        <v/>
      </c>
      <c r="AA98" s="163" t="n"/>
      <c r="AD98" s="709" t="n"/>
      <c r="AE98" s="163" t="n">
        <v>44673</v>
      </c>
      <c r="AF98" s="302" t="n"/>
      <c r="AH98" s="347" t="n"/>
      <c r="AI98" s="340" t="n">
        <v>1</v>
      </c>
      <c r="AJ98" s="340" t="inlineStr">
        <is>
          <t xml:space="preserve">Réparation cric RH1029A1A0A01 in-house </t>
        </is>
      </c>
      <c r="AK98" s="347" t="n"/>
      <c r="AM98" s="347" t="n"/>
      <c r="AN98" s="350" t="n"/>
      <c r="AO98" s="347" t="n"/>
      <c r="AP98" s="340" t="inlineStr">
        <is>
          <t>L:\KL_CO\110_HYFR\AFFAIRES 2022\SABENA PERPIGNAN\Devis n° 4738 - Réparation cric RH1029A1A0A01</t>
        </is>
      </c>
      <c r="AQ98" s="347" t="n"/>
      <c r="AR98" s="313" t="n"/>
      <c r="AS98" s="347" t="n"/>
      <c r="AT98" s="736" t="n"/>
      <c r="AU98" s="736" t="n"/>
      <c r="AV98" s="731">
        <f>IF(AT98="","",S98-AT98-AU98)</f>
        <v/>
      </c>
      <c r="AW98" s="331">
        <f>IFERROR(IF(tbl_DCFC[[#This Row],[F Montant HT]]="","",tbl_DCFC[[#This Row],[Marge]]/tbl_DCFC[[#This Row],[F Montant HT]]),"")</f>
        <v/>
      </c>
    </row>
    <row r="99" ht="15" customHeight="1" s="701">
      <c r="A99" s="744" t="n">
        <v>44620</v>
      </c>
      <c r="B99" s="347">
        <f>IFERROR(INDEX(Tabelle2[BU],MATCH(tbl_DCFC[[#This Row],[Categorie]],CAT,0)),"")</f>
        <v/>
      </c>
      <c r="C99" s="315">
        <f>IF(D99&lt;&gt;"","S"&amp;TEXT(WEEKNUM(D99,21),"00"),"")</f>
        <v/>
      </c>
      <c r="D99" s="744" t="n">
        <v>44620</v>
      </c>
      <c r="E99" s="350" t="n">
        <v>4739</v>
      </c>
      <c r="F99" s="350" t="inlineStr">
        <is>
          <t>A</t>
        </is>
      </c>
      <c r="G99" s="350" t="inlineStr">
        <is>
          <t>AIR CORSICA</t>
        </is>
      </c>
      <c r="H99" s="350" t="n"/>
      <c r="I99" s="745" t="n">
        <v>5885</v>
      </c>
      <c r="J99" s="350" t="inlineStr">
        <is>
          <t>ASI</t>
        </is>
      </c>
      <c r="K99" s="350" t="inlineStr">
        <is>
          <t>SERVICE OTHER AIA</t>
        </is>
      </c>
      <c r="L99" s="337" t="inlineStr">
        <is>
          <t>En Attente</t>
        </is>
      </c>
      <c r="M99" s="347" t="n"/>
      <c r="N99">
        <f>IF(Q99&lt;&gt;"","S"&amp;TEXT(WEEKNUM(Q99,21),"00"),"")</f>
        <v/>
      </c>
      <c r="O99">
        <f>IF(Data!$Q99="","",YEAR(Data!$Q99))</f>
        <v/>
      </c>
      <c r="P99">
        <f>IF(Data!$Q99="","",MONTH(Data!$Q99))</f>
        <v/>
      </c>
      <c r="V99" s="347" t="n"/>
      <c r="W99" s="163" t="n"/>
      <c r="X99">
        <f>IF(AC99&lt;&gt;"","S"&amp;TEXT(WEEKNUM(AC99,21),"00"),"")</f>
        <v/>
      </c>
      <c r="Y99">
        <f>IF(Data!$AC99="","",YEAR(Data!$AC99))</f>
        <v/>
      </c>
      <c r="Z99">
        <f>IF(Data!$AC99="","",MONTH(Data!$AC99))</f>
        <v/>
      </c>
      <c r="AA99" s="163" t="n"/>
      <c r="AD99" s="709" t="n"/>
      <c r="AE99" s="163" t="n"/>
      <c r="AF99" s="302" t="n"/>
      <c r="AH99" s="347" t="n"/>
      <c r="AI99" s="340" t="n">
        <v>1</v>
      </c>
      <c r="AJ99" s="340" t="inlineStr">
        <is>
          <t>Calibration in-house crics</t>
        </is>
      </c>
      <c r="AK99" s="347" t="n"/>
      <c r="AL99" t="inlineStr">
        <is>
          <t>Offre budgétaire : le client utilisera ces tarifs tout au long de l'année</t>
        </is>
      </c>
      <c r="AM99" s="347" t="n"/>
      <c r="AN99" s="350" t="n"/>
      <c r="AO99" s="347" t="n"/>
      <c r="AP99" s="340" t="inlineStr">
        <is>
          <t>L:\KL_CO\110_HYFR\AFFAIRES 2022\AIR CORSICA\Devis n°4739 - Calibration in-house crics</t>
        </is>
      </c>
      <c r="AQ99" s="347" t="n"/>
      <c r="AR99" s="313" t="n"/>
      <c r="AS99" s="347" t="n"/>
      <c r="AT99" s="736" t="n"/>
      <c r="AU99" s="736" t="n"/>
      <c r="AV99" s="731">
        <f>IF(AT99="","",S99-AT99-AU99)</f>
        <v/>
      </c>
      <c r="AW99" s="331">
        <f>IFERROR(IF(tbl_DCFC[[#This Row],[F Montant HT]]="","",tbl_DCFC[[#This Row],[Marge]]/tbl_DCFC[[#This Row],[F Montant HT]]),"")</f>
        <v/>
      </c>
    </row>
    <row r="100" ht="15" customHeight="1" s="701">
      <c r="A100" s="744" t="n">
        <v>44620</v>
      </c>
      <c r="B100" s="347">
        <f>IFERROR(INDEX(Tabelle2[BU],MATCH(tbl_DCFC[[#This Row],[Categorie]],CAT,0)),"")</f>
        <v/>
      </c>
      <c r="C100" s="315">
        <f>IF(D100&lt;&gt;"","S"&amp;TEXT(WEEKNUM(D100,21),"00"),"")</f>
        <v/>
      </c>
      <c r="D100" s="744" t="n">
        <v>44620</v>
      </c>
      <c r="E100" s="350" t="n">
        <v>4740</v>
      </c>
      <c r="F100" s="350" t="inlineStr">
        <is>
          <t>A</t>
        </is>
      </c>
      <c r="G100" s="350" t="inlineStr">
        <is>
          <t>AIR CORSICA</t>
        </is>
      </c>
      <c r="H100" s="350" t="n"/>
      <c r="I100" s="745" t="n">
        <v>4476</v>
      </c>
      <c r="J100" s="350" t="inlineStr">
        <is>
          <t>ASI</t>
        </is>
      </c>
      <c r="K100" s="350" t="inlineStr">
        <is>
          <t>SERVICE OTHER AIA</t>
        </is>
      </c>
      <c r="L100" s="337" t="inlineStr">
        <is>
          <t>En Attente</t>
        </is>
      </c>
      <c r="M100" s="347" t="n"/>
      <c r="N100">
        <f>IF(Q100&lt;&gt;"","S"&amp;TEXT(WEEKNUM(Q100,21),"00"),"")</f>
        <v/>
      </c>
      <c r="O100">
        <f>IF(Data!$Q100="","",YEAR(Data!$Q100))</f>
        <v/>
      </c>
      <c r="P100">
        <f>IF(Data!$Q100="","",MONTH(Data!$Q100))</f>
        <v/>
      </c>
      <c r="V100" s="347" t="n"/>
      <c r="W100" s="163" t="n"/>
      <c r="X100">
        <f>IF(AC100&lt;&gt;"","S"&amp;TEXT(WEEKNUM(AC100,21),"00"),"")</f>
        <v/>
      </c>
      <c r="Y100">
        <f>IF(Data!$AC100="","",YEAR(Data!$AC100))</f>
        <v/>
      </c>
      <c r="Z100">
        <f>IF(Data!$AC100="","",MONTH(Data!$AC100))</f>
        <v/>
      </c>
      <c r="AA100" s="163" t="n"/>
      <c r="AD100" s="709" t="n"/>
      <c r="AE100" s="163" t="n"/>
      <c r="AF100" s="302" t="n"/>
      <c r="AH100" s="347" t="n"/>
      <c r="AI100" s="340" t="n">
        <v>1</v>
      </c>
      <c r="AJ100" s="340" t="inlineStr">
        <is>
          <t>Calibration on-site vérins</t>
        </is>
      </c>
      <c r="AK100" s="347" t="n"/>
      <c r="AM100" s="347" t="n"/>
      <c r="AN100" s="350" t="n"/>
      <c r="AO100" s="347" t="n"/>
      <c r="AP100" s="340" t="inlineStr">
        <is>
          <t>L:\KL_CO\110_HYFR\AFFAIRES 2022\AIR CORSICA\Devis n°4740 - Calibration on-site vérins</t>
        </is>
      </c>
      <c r="AQ100" s="347" t="n"/>
      <c r="AR100" s="313" t="n"/>
      <c r="AS100" s="347" t="n"/>
      <c r="AT100" s="736" t="n"/>
      <c r="AU100" s="736" t="n"/>
      <c r="AV100" s="731">
        <f>IF(AT100="","",S100-AT100-AU100)</f>
        <v/>
      </c>
      <c r="AW100" s="331">
        <f>IFERROR(IF(tbl_DCFC[[#This Row],[F Montant HT]]="","",tbl_DCFC[[#This Row],[Marge]]/tbl_DCFC[[#This Row],[F Montant HT]]),"")</f>
        <v/>
      </c>
    </row>
    <row r="101" ht="15" customHeight="1" s="701">
      <c r="A101" s="744" t="n">
        <v>44620</v>
      </c>
      <c r="B101" s="347">
        <f>IFERROR(INDEX(Tabelle2[BU],MATCH(tbl_DCFC[[#This Row],[Categorie]],CAT,0)),"")</f>
        <v/>
      </c>
      <c r="C101" s="315">
        <f>IF(D101&lt;&gt;"","S"&amp;TEXT(WEEKNUM(D101,21),"00"),"")</f>
        <v/>
      </c>
      <c r="D101" s="744" t="n">
        <v>44620</v>
      </c>
      <c r="E101" s="350" t="n">
        <v>4741</v>
      </c>
      <c r="F101" s="350" t="inlineStr">
        <is>
          <t>A</t>
        </is>
      </c>
      <c r="G101" s="350" t="inlineStr">
        <is>
          <t>AIA</t>
        </is>
      </c>
      <c r="H101" s="350" t="n"/>
      <c r="I101" s="745" t="n">
        <v>186</v>
      </c>
      <c r="J101" s="350" t="inlineStr">
        <is>
          <t>ABA</t>
        </is>
      </c>
      <c r="K101" s="350" t="inlineStr">
        <is>
          <t>TOOLING AIA</t>
        </is>
      </c>
      <c r="L101" s="337" t="inlineStr">
        <is>
          <t>Accepté</t>
        </is>
      </c>
      <c r="M101" s="347" t="n"/>
      <c r="N101">
        <f>IF(Q101&lt;&gt;"","S"&amp;TEXT(WEEKNUM(Q101,21),"00"),"")</f>
        <v/>
      </c>
      <c r="O101">
        <f>IF(Data!$Q101="","",YEAR(Data!$Q101))</f>
        <v/>
      </c>
      <c r="P101">
        <f>IF(Data!$Q101="","",MONTH(Data!$Q101))</f>
        <v/>
      </c>
      <c r="Q101" s="163" t="n">
        <v>44648</v>
      </c>
      <c r="R101" t="inlineStr">
        <is>
          <t>2022-041</t>
        </is>
      </c>
      <c r="S101" s="709" t="n">
        <v>186</v>
      </c>
      <c r="V101" s="347" t="n"/>
      <c r="W101" s="163" t="n"/>
      <c r="X101">
        <f>IF(AC101&lt;&gt;"","S"&amp;TEXT(WEEKNUM(AC101,21),"00"),"")</f>
        <v/>
      </c>
      <c r="Y101">
        <f>IF(Data!$AC101="","",YEAR(Data!$AC101))</f>
        <v/>
      </c>
      <c r="Z101">
        <f>IF(Data!$AC101="","",MONTH(Data!$AC101))</f>
        <v/>
      </c>
      <c r="AA101" s="163" t="n">
        <v>44657</v>
      </c>
      <c r="AB101" t="n">
        <v>5231</v>
      </c>
      <c r="AC101" s="163" t="n">
        <v>44659</v>
      </c>
      <c r="AD101" s="709" t="n">
        <v>186</v>
      </c>
      <c r="AE101" s="163" t="n">
        <v>44666</v>
      </c>
      <c r="AF101" s="302" t="n"/>
      <c r="AH101" s="347" t="n"/>
      <c r="AI101" s="340" t="n">
        <v>3</v>
      </c>
      <c r="AJ101" s="340" t="inlineStr">
        <is>
          <t>Fourniture shearpins</t>
        </is>
      </c>
      <c r="AK101" s="347" t="n"/>
      <c r="AL101" t="inlineStr">
        <is>
          <t>Réponse envoyée le 08/03/22</t>
        </is>
      </c>
      <c r="AM101" s="347" t="n"/>
      <c r="AN101" s="350" t="n"/>
      <c r="AO101" s="347" t="n"/>
      <c r="AP101" s="340" t="inlineStr">
        <is>
          <t>L:\KL_CO\110_HYFR\AFFAIRES 2022\AIA\Devis n°4741 - Fourniture spare</t>
        </is>
      </c>
      <c r="AQ101" s="347" t="n"/>
      <c r="AR101" s="313" t="n"/>
      <c r="AS101" s="347" t="n"/>
      <c r="AT101" s="736" t="n">
        <v>43</v>
      </c>
      <c r="AU101" s="736" t="n"/>
      <c r="AV101" s="731" t="n"/>
      <c r="AW101" s="331">
        <f>IFERROR(IF(tbl_DCFC[[#This Row],[F Montant HT]]="","",tbl_DCFC[[#This Row],[Marge]]/tbl_DCFC[[#This Row],[F Montant HT]]),"")</f>
        <v/>
      </c>
    </row>
    <row r="102" ht="15" customHeight="1" s="701">
      <c r="A102" s="744" t="n">
        <v>44620</v>
      </c>
      <c r="B102" s="347">
        <f>IFERROR(INDEX(Tabelle2[BU],MATCH(tbl_DCFC[[#This Row],[Categorie]],CAT,0)),"")</f>
        <v/>
      </c>
      <c r="C102" s="315">
        <f>IF(D102&lt;&gt;"","S"&amp;TEXT(WEEKNUM(D102,21),"00"),"")</f>
        <v/>
      </c>
      <c r="D102" s="744" t="n">
        <v>44620</v>
      </c>
      <c r="E102" s="350" t="n">
        <v>4742</v>
      </c>
      <c r="F102" s="350" t="inlineStr">
        <is>
          <t>A</t>
        </is>
      </c>
      <c r="G102" s="350" t="inlineStr">
        <is>
          <t>AIR CORSICA</t>
        </is>
      </c>
      <c r="H102" s="350" t="n"/>
      <c r="I102" s="745" t="n">
        <v>660</v>
      </c>
      <c r="J102" s="350" t="inlineStr">
        <is>
          <t>ASI</t>
        </is>
      </c>
      <c r="K102" s="350" t="inlineStr">
        <is>
          <t>SERVICE OTHER AIA</t>
        </is>
      </c>
      <c r="L102" s="337" t="inlineStr">
        <is>
          <t>Accepté</t>
        </is>
      </c>
      <c r="M102" s="347" t="n"/>
      <c r="N102">
        <f>IF(Q102&lt;&gt;"","S"&amp;TEXT(WEEKNUM(Q102,21),"00"),"")</f>
        <v/>
      </c>
      <c r="O102">
        <f>IF(Data!$Q102="","",YEAR(Data!$Q102))</f>
        <v/>
      </c>
      <c r="P102">
        <f>IF(Data!$Q102="","",MONTH(Data!$Q102))</f>
        <v/>
      </c>
      <c r="Q102" s="163" t="n">
        <v>44621</v>
      </c>
      <c r="R102" t="inlineStr">
        <is>
          <t>2022-029</t>
        </is>
      </c>
      <c r="S102" s="709" t="n">
        <v>660</v>
      </c>
      <c r="V102" s="347" t="n"/>
      <c r="W102" s="163" t="n"/>
      <c r="X102">
        <f>IF(AC102&lt;&gt;"","S"&amp;TEXT(WEEKNUM(AC102,21),"00"),"")</f>
        <v/>
      </c>
      <c r="Y102">
        <f>IF(Data!$AC102="","",YEAR(Data!$AC102))</f>
        <v/>
      </c>
      <c r="Z102">
        <f>IF(Data!$AC102="","",MONTH(Data!$AC102))</f>
        <v/>
      </c>
      <c r="AA102" s="163" t="n"/>
      <c r="AD102" s="709" t="n"/>
      <c r="AE102" s="163" t="n">
        <v>44739</v>
      </c>
      <c r="AF102" s="302" t="n"/>
      <c r="AH102" s="347" t="n"/>
      <c r="AI102" s="340" t="n">
        <v>1</v>
      </c>
      <c r="AJ102" s="340" t="inlineStr">
        <is>
          <t>Calibration cric RA4510K2A0A10</t>
        </is>
      </c>
      <c r="AK102" s="347" t="n"/>
      <c r="AM102" s="347" t="n"/>
      <c r="AN102" s="350" t="n"/>
      <c r="AO102" s="347" t="n"/>
      <c r="AP102" s="340" t="inlineStr">
        <is>
          <t>L:\KL_CO\110_HYFR\AFFAIRES 2022\AIR CORSICA\Devis n°4742 - Calibration in-house cric</t>
        </is>
      </c>
      <c r="AQ102" s="347" t="n"/>
      <c r="AR102" s="313" t="n"/>
      <c r="AS102" s="347" t="n"/>
      <c r="AT102" s="736" t="n"/>
      <c r="AU102" s="736" t="n"/>
      <c r="AV102" s="731" t="n"/>
      <c r="AW102" s="331">
        <f>IFERROR(IF(tbl_DCFC[[#This Row],[F Montant HT]]="","",tbl_DCFC[[#This Row],[Marge]]/tbl_DCFC[[#This Row],[F Montant HT]]),"")</f>
        <v/>
      </c>
    </row>
    <row r="103" ht="15" customHeight="1" s="701">
      <c r="A103" s="744" t="n">
        <v>44621</v>
      </c>
      <c r="B103" s="347">
        <f>IFERROR(INDEX(Tabelle2[BU],MATCH(tbl_DCFC[[#This Row],[Categorie]],CAT,0)),"")</f>
        <v/>
      </c>
      <c r="C103" s="315">
        <f>IF(D103&lt;&gt;"","S"&amp;TEXT(WEEKNUM(D103,21),"00"),"")</f>
        <v/>
      </c>
      <c r="D103" s="744" t="n">
        <v>44621</v>
      </c>
      <c r="E103" s="350" t="n">
        <v>4743</v>
      </c>
      <c r="F103" s="350" t="inlineStr">
        <is>
          <t>A</t>
        </is>
      </c>
      <c r="G103" s="350" t="inlineStr">
        <is>
          <t>HOP</t>
        </is>
      </c>
      <c r="H103" s="350" t="n"/>
      <c r="I103" s="745" t="n">
        <v>660</v>
      </c>
      <c r="J103" s="350" t="inlineStr">
        <is>
          <t>ASI</t>
        </is>
      </c>
      <c r="K103" s="350" t="inlineStr">
        <is>
          <t>SERVICE OTHER AIA</t>
        </is>
      </c>
      <c r="L103" s="337" t="inlineStr">
        <is>
          <t>Accepté</t>
        </is>
      </c>
      <c r="M103" s="347" t="n"/>
      <c r="N103">
        <f>IF(Q103&lt;&gt;"","S"&amp;TEXT(WEEKNUM(Q103,21),"00"),"")</f>
        <v/>
      </c>
      <c r="O103">
        <f>IF(Data!$Q103="","",YEAR(Data!$Q103))</f>
        <v/>
      </c>
      <c r="P103">
        <f>IF(Data!$Q103="","",MONTH(Data!$Q103))</f>
        <v/>
      </c>
      <c r="Q103" s="163" t="n">
        <v>44621</v>
      </c>
      <c r="R103" t="inlineStr">
        <is>
          <t>2022-028</t>
        </is>
      </c>
      <c r="S103" s="709" t="n">
        <v>660</v>
      </c>
      <c r="V103" s="347" t="n"/>
      <c r="W103" s="163" t="n"/>
      <c r="X103">
        <f>IF(AC103&lt;&gt;"","S"&amp;TEXT(WEEKNUM(AC103,21),"00"),"")</f>
        <v/>
      </c>
      <c r="Y103">
        <f>IF(Data!$AC103="","",YEAR(Data!$AC103))</f>
        <v/>
      </c>
      <c r="Z103">
        <f>IF(Data!$AC103="","",MONTH(Data!$AC103))</f>
        <v/>
      </c>
      <c r="AA103" s="163" t="n">
        <v>44636</v>
      </c>
      <c r="AB103" t="n">
        <v>5215</v>
      </c>
      <c r="AC103" s="163" t="n">
        <v>44638</v>
      </c>
      <c r="AD103" s="709" t="n">
        <v>660</v>
      </c>
      <c r="AE103" s="163" t="n">
        <v>44652</v>
      </c>
      <c r="AF103" s="302" t="n"/>
      <c r="AH103" s="347" t="n"/>
      <c r="AI103" s="340" t="n">
        <v>1</v>
      </c>
      <c r="AJ103" s="340" t="inlineStr">
        <is>
          <t xml:space="preserve">Calibration cric RT4550-001 in-house </t>
        </is>
      </c>
      <c r="AK103" s="347" t="n"/>
      <c r="AM103" s="347" t="n"/>
      <c r="AN103" s="350" t="n"/>
      <c r="AO103" s="347" t="n"/>
      <c r="AP103" s="340" t="inlineStr">
        <is>
          <t>L:\KL_CO\110_HYFR\AFFAIRES 2022\HOP\Devis n°4743 - Calibration RT4550</t>
        </is>
      </c>
      <c r="AQ103" s="347" t="n"/>
      <c r="AR103" s="313" t="n"/>
      <c r="AS103" s="347" t="n"/>
      <c r="AT103" s="736" t="n">
        <v>45.15</v>
      </c>
      <c r="AU103" s="736" t="n"/>
      <c r="AV103" s="731" t="n"/>
      <c r="AW103" s="331">
        <f>IFERROR(IF(tbl_DCFC[[#This Row],[F Montant HT]]="","",tbl_DCFC[[#This Row],[Marge]]/tbl_DCFC[[#This Row],[F Montant HT]]),"")</f>
        <v/>
      </c>
    </row>
    <row r="104" ht="15" customHeight="1" s="701">
      <c r="A104" s="744" t="n">
        <v>44579</v>
      </c>
      <c r="B104" s="347">
        <f>IFERROR(INDEX(Tabelle2[BU],MATCH(tbl_DCFC[[#This Row],[Categorie]],CAT,0)),"")</f>
        <v/>
      </c>
      <c r="C104" s="315">
        <f>IF(D104&lt;&gt;"","S"&amp;TEXT(WEEKNUM(D104,21),"00"),"")</f>
        <v/>
      </c>
      <c r="D104" s="744" t="n">
        <v>44579</v>
      </c>
      <c r="E104" s="350" t="n">
        <v>4709</v>
      </c>
      <c r="F104" s="350" t="inlineStr">
        <is>
          <t>A</t>
        </is>
      </c>
      <c r="G104" s="350" t="inlineStr">
        <is>
          <t>AIA</t>
        </is>
      </c>
      <c r="H104" s="350" t="n"/>
      <c r="I104" s="745" t="n">
        <v>530</v>
      </c>
      <c r="J104" s="350" t="inlineStr">
        <is>
          <t>ABA</t>
        </is>
      </c>
      <c r="K104" s="350" t="inlineStr">
        <is>
          <t>SERVICE AIA</t>
        </is>
      </c>
      <c r="L104" s="337" t="inlineStr">
        <is>
          <t>Accepté</t>
        </is>
      </c>
      <c r="M104" s="347" t="n"/>
      <c r="N104">
        <f>IF(Q104&lt;&gt;"","S"&amp;TEXT(WEEKNUM(Q104,21),"00"),"")</f>
        <v/>
      </c>
      <c r="O104">
        <f>IF(Data!$Q104="","",YEAR(Data!$Q104))</f>
        <v/>
      </c>
      <c r="P104">
        <f>IF(Data!$Q104="","",MONTH(Data!$Q104))</f>
        <v/>
      </c>
      <c r="Q104" s="163" t="n">
        <v>44601</v>
      </c>
      <c r="R104" t="inlineStr">
        <is>
          <t>2022-016</t>
        </is>
      </c>
      <c r="S104" s="709" t="n">
        <v>530</v>
      </c>
      <c r="V104" s="347" t="n"/>
      <c r="W104" s="163" t="n"/>
      <c r="X104">
        <f>IF(AC104&lt;&gt;"","S"&amp;TEXT(WEEKNUM(AC104,21),"00"),"")</f>
        <v/>
      </c>
      <c r="Y104">
        <f>IF(Data!$AC104="","",YEAR(Data!$AC104))</f>
        <v/>
      </c>
      <c r="Z104">
        <f>IF(Data!$AC104="","",MONTH(Data!$AC104))</f>
        <v/>
      </c>
      <c r="AA104" s="163" t="n">
        <v>44622</v>
      </c>
      <c r="AB104" t="n">
        <v>5209</v>
      </c>
      <c r="AC104" s="163" t="n">
        <v>44622</v>
      </c>
      <c r="AD104" s="709" t="n">
        <v>530</v>
      </c>
      <c r="AE104" s="163" t="n"/>
      <c r="AF104" s="302" t="n"/>
      <c r="AH104" s="347" t="n"/>
      <c r="AI104" s="340" t="n">
        <v>1</v>
      </c>
      <c r="AJ104" s="340" t="inlineStr">
        <is>
          <t>Remise en service crics et vérins</t>
        </is>
      </c>
      <c r="AK104" s="347" t="n"/>
      <c r="AL104" t="inlineStr">
        <is>
          <t>Noria n°7 - Remise en service 1ère partie (moyen non réparable)</t>
        </is>
      </c>
      <c r="AM104" s="347" t="n"/>
      <c r="AN104" s="350" t="n"/>
      <c r="AO104" s="347" t="n"/>
      <c r="AP104" s="340" t="inlineStr">
        <is>
          <t>L:\KL_CO\110_HYFR\AFFAIRES 2022\AIA\Devis n°4709 - Maintenance Noria n°7</t>
        </is>
      </c>
      <c r="AQ104" s="347" t="n"/>
      <c r="AR104" s="313" t="n"/>
      <c r="AS104" s="347" t="n"/>
      <c r="AT104" s="736" t="n">
        <v>550</v>
      </c>
      <c r="AU104" s="736" t="n">
        <v>220</v>
      </c>
      <c r="AV104" s="731">
        <f>IF(AT104="","",S104-AT104-AU104)</f>
        <v/>
      </c>
      <c r="AW104" s="331">
        <f>IFERROR(IF(tbl_DCFC[[#This Row],[F Montant HT]]="","",tbl_DCFC[[#This Row],[Marge]]/tbl_DCFC[[#This Row],[F Montant HT]]),"")</f>
        <v/>
      </c>
    </row>
    <row r="105" ht="15" customHeight="1" s="701">
      <c r="A105" s="744" t="n">
        <v>44623</v>
      </c>
      <c r="B105" s="347">
        <f>IFERROR(INDEX(Tabelle2[BU],MATCH(tbl_DCFC[[#This Row],[Categorie]],CAT,0)),"")</f>
        <v/>
      </c>
      <c r="C105" s="315">
        <f>IF(D105&lt;&gt;"","S"&amp;TEXT(WEEKNUM(D105,21),"00"),"")</f>
        <v/>
      </c>
      <c r="D105" s="744" t="n">
        <v>44623</v>
      </c>
      <c r="E105" s="350" t="n">
        <v>4747</v>
      </c>
      <c r="F105" s="350" t="inlineStr">
        <is>
          <t>A</t>
        </is>
      </c>
      <c r="G105" s="350" t="inlineStr">
        <is>
          <t>ROYAL AIR MAROC</t>
        </is>
      </c>
      <c r="H105" s="350" t="n"/>
      <c r="I105" s="745" t="n">
        <v>2365</v>
      </c>
      <c r="J105" s="350" t="inlineStr">
        <is>
          <t>ASI</t>
        </is>
      </c>
      <c r="K105" s="350" t="inlineStr">
        <is>
          <t>SERVICE AIA</t>
        </is>
      </c>
      <c r="L105" s="337" t="inlineStr">
        <is>
          <t>En Attente</t>
        </is>
      </c>
      <c r="M105" s="347" t="n"/>
      <c r="N105">
        <f>IF(Q105&lt;&gt;"","S"&amp;TEXT(WEEKNUM(Q105,21),"00"),"")</f>
        <v/>
      </c>
      <c r="O105">
        <f>IF(Data!$Q105="","",YEAR(Data!$Q105))</f>
        <v/>
      </c>
      <c r="P105">
        <f>IF(Data!$Q105="","",MONTH(Data!$Q105))</f>
        <v/>
      </c>
      <c r="V105" s="347" t="n"/>
      <c r="W105" s="163" t="n"/>
      <c r="X105">
        <f>IF(AC105&lt;&gt;"","S"&amp;TEXT(WEEKNUM(AC105,21),"00"),"")</f>
        <v/>
      </c>
      <c r="Y105">
        <f>IF(Data!$AC105="","",YEAR(Data!$AC105))</f>
        <v/>
      </c>
      <c r="Z105">
        <f>IF(Data!$AC105="","",MONTH(Data!$AC105))</f>
        <v/>
      </c>
      <c r="AA105" s="163" t="n"/>
      <c r="AD105" s="709" t="n"/>
      <c r="AE105" s="163" t="n"/>
      <c r="AF105" s="302" t="n"/>
      <c r="AH105" s="347" t="n"/>
      <c r="AI105" s="340" t="n">
        <v>5</v>
      </c>
      <c r="AJ105" s="340" t="inlineStr">
        <is>
          <t xml:space="preserve">Calibration outillages in-house </t>
        </is>
      </c>
      <c r="AK105" s="347" t="n"/>
      <c r="AM105" s="347" t="n"/>
      <c r="AN105" s="350" t="n"/>
      <c r="AO105" s="347" t="n"/>
      <c r="AP105" s="340" t="inlineStr">
        <is>
          <t>L:\KL_CO\110_HYFR\AFFAIRES 2022\ROYAL AIR MAROC\Devis n°4747 - Calibration outillages</t>
        </is>
      </c>
      <c r="AQ105" s="347" t="n"/>
      <c r="AR105" s="313" t="n"/>
      <c r="AS105" s="347" t="n"/>
      <c r="AT105" s="736" t="n"/>
      <c r="AU105" s="736" t="n"/>
      <c r="AV105" s="731">
        <f>IF(AT105="","",S105-AT105-AU105)</f>
        <v/>
      </c>
      <c r="AW105" s="331">
        <f>IFERROR(IF(tbl_DCFC[[#This Row],[F Montant HT]]="","",tbl_DCFC[[#This Row],[Marge]]/tbl_DCFC[[#This Row],[F Montant HT]]),"")</f>
        <v/>
      </c>
    </row>
    <row r="106" ht="15" customHeight="1" s="701">
      <c r="A106" s="744" t="n">
        <v>44622</v>
      </c>
      <c r="B106" s="347">
        <f>IFERROR(INDEX(Tabelle2[BU],MATCH(tbl_DCFC[[#This Row],[Categorie]],CAT,0)),"")</f>
        <v/>
      </c>
      <c r="C106" s="315">
        <f>IF(D106&lt;&gt;"","S"&amp;TEXT(WEEKNUM(D106,21),"00"),"")</f>
        <v/>
      </c>
      <c r="D106" s="744" t="n">
        <v>44622</v>
      </c>
      <c r="E106" s="350" t="n">
        <v>4744</v>
      </c>
      <c r="F106" s="350" t="inlineStr">
        <is>
          <t>A</t>
        </is>
      </c>
      <c r="G106" s="350" t="inlineStr">
        <is>
          <t>ASL AIRLINES</t>
        </is>
      </c>
      <c r="H106" s="350" t="n"/>
      <c r="I106" s="745" t="n">
        <v>2230</v>
      </c>
      <c r="J106" s="350" t="inlineStr">
        <is>
          <t>ABA</t>
        </is>
      </c>
      <c r="K106" s="350" t="inlineStr">
        <is>
          <t>SERVICE OTHER AIA</t>
        </is>
      </c>
      <c r="L106" s="337" t="inlineStr">
        <is>
          <t>Accepté</t>
        </is>
      </c>
      <c r="M106" s="347" t="n"/>
      <c r="N106">
        <f>IF(Q106&lt;&gt;"","S"&amp;TEXT(WEEKNUM(Q106,21),"00"),"")</f>
        <v/>
      </c>
      <c r="O106">
        <f>IF(Data!$Q106="","",YEAR(Data!$Q106))</f>
        <v/>
      </c>
      <c r="P106">
        <f>IF(Data!$Q106="","",MONTH(Data!$Q106))</f>
        <v/>
      </c>
      <c r="Q106" s="163" t="n">
        <v>44630</v>
      </c>
      <c r="R106" t="inlineStr">
        <is>
          <t>2022-030</t>
        </is>
      </c>
      <c r="S106" s="709" t="n">
        <v>2230</v>
      </c>
      <c r="V106" s="347" t="n"/>
      <c r="W106" s="163" t="n"/>
      <c r="X106">
        <f>IF(AC106&lt;&gt;"","S"&amp;TEXT(WEEKNUM(AC106,21),"00"),"")</f>
        <v/>
      </c>
      <c r="Y106">
        <f>IF(Data!$AC106="","",YEAR(Data!$AC106))</f>
        <v/>
      </c>
      <c r="Z106">
        <f>IF(Data!$AC106="","",MONTH(Data!$AC106))</f>
        <v/>
      </c>
      <c r="AA106" s="163" t="n">
        <v>44644</v>
      </c>
      <c r="AB106" t="n">
        <v>5220</v>
      </c>
      <c r="AC106" s="163" t="n">
        <v>44644</v>
      </c>
      <c r="AD106" s="709" t="n">
        <v>2230</v>
      </c>
      <c r="AE106" s="163" t="n">
        <v>44645</v>
      </c>
      <c r="AF106" s="302" t="n"/>
      <c r="AH106" s="347" t="n"/>
      <c r="AI106" s="340" t="n">
        <v>4</v>
      </c>
      <c r="AJ106" s="340" t="inlineStr">
        <is>
          <t xml:space="preserve">Réparation et calibration circs in-house </t>
        </is>
      </c>
      <c r="AK106" s="347" t="n"/>
      <c r="AM106" s="347" t="n"/>
      <c r="AN106" s="350" t="n"/>
      <c r="AO106" s="347" t="n"/>
      <c r="AP106" s="340" t="inlineStr">
        <is>
          <t>L:\KL_CO\110_HYFR\AFFAIRES 2022\ASL AIRLINES\Devis n°4744 - Recertification et réparation crics</t>
        </is>
      </c>
      <c r="AQ106" s="347" t="n"/>
      <c r="AR106" s="313" t="n"/>
      <c r="AS106" s="347" t="n"/>
      <c r="AT106" s="736" t="n"/>
      <c r="AU106" s="736" t="n"/>
      <c r="AV106" s="731" t="n"/>
      <c r="AW106" s="331" t="n"/>
    </row>
    <row r="107" ht="15" customHeight="1" s="701">
      <c r="A107" s="744" t="n">
        <v>44627</v>
      </c>
      <c r="B107" s="347">
        <f>IFERROR(INDEX(Tabelle2[BU],MATCH(tbl_DCFC[[#This Row],[Categorie]],CAT,0)),"")</f>
        <v/>
      </c>
      <c r="C107" s="315">
        <f>IF(D107&lt;&gt;"","S"&amp;TEXT(WEEKNUM(D107,21),"00"),"")</f>
        <v/>
      </c>
      <c r="D107" s="744" t="n">
        <v>44627</v>
      </c>
      <c r="E107" s="350" t="n">
        <v>4749</v>
      </c>
      <c r="F107" s="350" t="inlineStr">
        <is>
          <t>A</t>
        </is>
      </c>
      <c r="G107" s="350" t="inlineStr">
        <is>
          <t>TARMAC</t>
        </is>
      </c>
      <c r="H107" s="350" t="n"/>
      <c r="I107" s="745" t="n">
        <v>460</v>
      </c>
      <c r="J107" s="350" t="inlineStr">
        <is>
          <t>ABA</t>
        </is>
      </c>
      <c r="K107" s="350" t="inlineStr">
        <is>
          <t>SERVICE OTHER AIA</t>
        </is>
      </c>
      <c r="L107" s="337" t="inlineStr">
        <is>
          <t>Accepté</t>
        </is>
      </c>
      <c r="M107" s="347" t="n"/>
      <c r="N107">
        <f>IF(Q107&lt;&gt;"","S"&amp;TEXT(WEEKNUM(Q107,21),"00"),"")</f>
        <v/>
      </c>
      <c r="O107">
        <f>IF(Data!$Q107="","",YEAR(Data!$Q107))</f>
        <v/>
      </c>
      <c r="P107">
        <f>IF(Data!$Q107="","",MONTH(Data!$Q107))</f>
        <v/>
      </c>
      <c r="Q107" s="163" t="n">
        <v>44627</v>
      </c>
      <c r="R107" t="inlineStr">
        <is>
          <t>2022-032</t>
        </is>
      </c>
      <c r="S107" s="709" t="n">
        <v>460</v>
      </c>
      <c r="V107" s="347" t="n"/>
      <c r="W107" s="163" t="n">
        <v>44636</v>
      </c>
      <c r="X107">
        <f>IF(AC107&lt;&gt;"","S"&amp;TEXT(WEEKNUM(AC107,21),"00"),"")</f>
        <v/>
      </c>
      <c r="Y107">
        <f>IF(Data!$AC107="","",YEAR(Data!$AC107))</f>
        <v/>
      </c>
      <c r="Z107">
        <f>IF(Data!$AC107="","",MONTH(Data!$AC107))</f>
        <v/>
      </c>
      <c r="AA107" s="163" t="n">
        <v>44642</v>
      </c>
      <c r="AB107" t="n">
        <v>5217</v>
      </c>
      <c r="AC107" s="163" t="n">
        <v>44642</v>
      </c>
      <c r="AD107" s="709" t="n">
        <v>460</v>
      </c>
      <c r="AE107" s="163" t="n">
        <v>44645</v>
      </c>
      <c r="AF107" s="302" t="n"/>
      <c r="AH107" s="347" t="n"/>
      <c r="AI107" s="340" t="n">
        <v>1</v>
      </c>
      <c r="AJ107" s="340" t="inlineStr">
        <is>
          <t xml:space="preserve">Calibration TR19-00-00 in-house </t>
        </is>
      </c>
      <c r="AK107" s="347" t="n"/>
      <c r="AM107" s="347" t="n"/>
      <c r="AN107" s="350" t="n"/>
      <c r="AO107" s="347" t="n"/>
      <c r="AP107" s="340" t="inlineStr">
        <is>
          <t>L:\KL_CO\110_HYFR\AFFAIRES 2022\TARMAC\Devis n°4749 - Calibration TR19-10-00</t>
        </is>
      </c>
      <c r="AQ107" s="347" t="n"/>
      <c r="AR107" s="313" t="n"/>
      <c r="AS107" s="347" t="n"/>
      <c r="AT107" s="736" t="n"/>
      <c r="AU107" s="736" t="n"/>
      <c r="AV107" s="731" t="n"/>
      <c r="AW107" s="331" t="n"/>
    </row>
    <row r="108" ht="15" customHeight="1" s="701">
      <c r="A108" s="744" t="n">
        <v>44621</v>
      </c>
      <c r="B108" s="347">
        <f>IFERROR(INDEX(Tabelle2[BU],MATCH(tbl_DCFC[[#This Row],[Categorie]],CAT,0)),"")</f>
        <v/>
      </c>
      <c r="C108" s="315">
        <f>IF(D108&lt;&gt;"","S"&amp;TEXT(WEEKNUM(D108,21),"00"),"")</f>
        <v/>
      </c>
      <c r="D108" s="744" t="n">
        <v>44628</v>
      </c>
      <c r="E108" s="350" t="n">
        <v>4743</v>
      </c>
      <c r="F108" s="350" t="inlineStr">
        <is>
          <t>B</t>
        </is>
      </c>
      <c r="G108" s="350" t="inlineStr">
        <is>
          <t>HOP</t>
        </is>
      </c>
      <c r="H108" s="350" t="n"/>
      <c r="I108" s="745" t="n">
        <v>597</v>
      </c>
      <c r="J108" s="350" t="inlineStr">
        <is>
          <t>ASI</t>
        </is>
      </c>
      <c r="K108" s="350" t="inlineStr">
        <is>
          <t>SERVICE OTHER AIA</t>
        </is>
      </c>
      <c r="L108" s="337" t="inlineStr">
        <is>
          <t>Accepté</t>
        </is>
      </c>
      <c r="M108" s="347" t="n"/>
      <c r="N108">
        <f>IF(Q108&lt;&gt;"","S"&amp;TEXT(WEEKNUM(Q108,21),"00"),"")</f>
        <v/>
      </c>
      <c r="O108">
        <f>IF(Data!$Q108="","",YEAR(Data!$Q108))</f>
        <v/>
      </c>
      <c r="P108">
        <f>IF(Data!$Q108="","",MONTH(Data!$Q108))</f>
        <v/>
      </c>
      <c r="Q108" s="163" t="n">
        <v>44621</v>
      </c>
      <c r="R108" t="inlineStr">
        <is>
          <t>2022-028</t>
        </is>
      </c>
      <c r="S108" s="709" t="n">
        <v>597</v>
      </c>
      <c r="V108" s="347" t="n"/>
      <c r="W108" s="163" t="n"/>
      <c r="X108">
        <f>IF(AC108&lt;&gt;"","S"&amp;TEXT(WEEKNUM(AC108,21),"00"),"")</f>
        <v/>
      </c>
      <c r="Y108">
        <f>IF(Data!$AC108="","",YEAR(Data!$AC108))</f>
        <v/>
      </c>
      <c r="Z108">
        <f>IF(Data!$AC108="","",MONTH(Data!$AC108))</f>
        <v/>
      </c>
      <c r="AA108" s="163" t="n">
        <v>44636</v>
      </c>
      <c r="AB108" t="n">
        <v>5215</v>
      </c>
      <c r="AC108" s="163" t="n">
        <v>44638</v>
      </c>
      <c r="AD108" s="709" t="n">
        <v>597</v>
      </c>
      <c r="AE108" s="163" t="n">
        <v>44652</v>
      </c>
      <c r="AF108" s="302" t="n"/>
      <c r="AH108" s="347" t="n"/>
      <c r="AI108" s="340" t="n">
        <v>1</v>
      </c>
      <c r="AJ108" s="340" t="inlineStr">
        <is>
          <t>Changement flexibles et vidange suite calibration RT4550-001</t>
        </is>
      </c>
      <c r="AK108" s="347" t="n"/>
      <c r="AM108" s="347" t="n"/>
      <c r="AN108" s="350" t="n"/>
      <c r="AO108" s="347" t="n"/>
      <c r="AP108" s="340" t="inlineStr">
        <is>
          <t>L:\KL_CO\110_HYFR\AFFAIRES 2022\HOP\Devis n°4743 - Calibration RT4550</t>
        </is>
      </c>
      <c r="AQ108" s="347" t="n"/>
      <c r="AR108" s="313" t="n"/>
      <c r="AS108" s="347" t="n"/>
      <c r="AT108" s="736" t="n">
        <v>40.85</v>
      </c>
      <c r="AU108" s="736" t="n"/>
      <c r="AV108" s="731" t="n"/>
      <c r="AW108" s="331">
        <f>IFERROR(IF(tbl_DCFC[[#This Row],[F Montant HT]]="","",tbl_DCFC[[#This Row],[Marge]]/tbl_DCFC[[#This Row],[F Montant HT]]),"")</f>
        <v/>
      </c>
    </row>
    <row r="109" ht="15" customHeight="1" s="701">
      <c r="A109" s="744" t="n">
        <v>44628</v>
      </c>
      <c r="B109" s="347">
        <f>IFERROR(INDEX(Tabelle2[BU],MATCH(tbl_DCFC[[#This Row],[Categorie]],CAT,0)),"")</f>
        <v/>
      </c>
      <c r="C109" s="315">
        <f>IF(D109&lt;&gt;"","S"&amp;TEXT(WEEKNUM(D109,21),"00"),"")</f>
        <v/>
      </c>
      <c r="D109" s="744" t="n">
        <v>44628</v>
      </c>
      <c r="E109" s="350" t="n">
        <v>4750</v>
      </c>
      <c r="F109" s="350" t="inlineStr">
        <is>
          <t>A</t>
        </is>
      </c>
      <c r="G109" s="350" t="inlineStr">
        <is>
          <t>AIR CORSICA</t>
        </is>
      </c>
      <c r="H109" s="350" t="n"/>
      <c r="I109" s="745" t="n">
        <v>385</v>
      </c>
      <c r="J109" s="350" t="inlineStr">
        <is>
          <t>ASI</t>
        </is>
      </c>
      <c r="K109" s="350" t="inlineStr">
        <is>
          <t>SERVICE AIA</t>
        </is>
      </c>
      <c r="L109" s="337" t="inlineStr">
        <is>
          <t>Accepté</t>
        </is>
      </c>
      <c r="M109" s="347" t="n"/>
      <c r="N109">
        <f>IF(Q109&lt;&gt;"","S"&amp;TEXT(WEEKNUM(Q109,21),"00"),"")</f>
        <v/>
      </c>
      <c r="O109">
        <f>IF(Data!$Q109="","",YEAR(Data!$Q109))</f>
        <v/>
      </c>
      <c r="P109">
        <f>IF(Data!$Q109="","",MONTH(Data!$Q109))</f>
        <v/>
      </c>
      <c r="Q109" s="163" t="n">
        <v>44628</v>
      </c>
      <c r="R109" t="inlineStr">
        <is>
          <t>2022-034</t>
        </is>
      </c>
      <c r="S109" s="709" t="n">
        <v>385</v>
      </c>
      <c r="V109" s="347" t="n"/>
      <c r="W109" s="163" t="n">
        <v>44636</v>
      </c>
      <c r="X109">
        <f>IF(AC109&lt;&gt;"","S"&amp;TEXT(WEEKNUM(AC109,21),"00"),"")</f>
        <v/>
      </c>
      <c r="Y109">
        <f>IF(Data!$AC109="","",YEAR(Data!$AC109))</f>
        <v/>
      </c>
      <c r="Z109">
        <f>IF(Data!$AC109="","",MONTH(Data!$AC109))</f>
        <v/>
      </c>
      <c r="AA109" s="163" t="n">
        <v>44643</v>
      </c>
      <c r="AB109" t="n">
        <v>5219</v>
      </c>
      <c r="AC109" s="163" t="n">
        <v>44643</v>
      </c>
      <c r="AD109" s="709" t="n">
        <v>385</v>
      </c>
      <c r="AE109" s="163" t="n">
        <v>44645</v>
      </c>
      <c r="AF109" s="302" t="n"/>
      <c r="AH109" s="347" t="n"/>
      <c r="AI109" s="340" t="n">
        <v>1</v>
      </c>
      <c r="AJ109" s="340" t="inlineStr">
        <is>
          <t xml:space="preserve">Recertification cric in-house </t>
        </is>
      </c>
      <c r="AK109" s="347" t="n"/>
      <c r="AL109" t="inlineStr">
        <is>
          <t>Moyen à recevoir</t>
        </is>
      </c>
      <c r="AM109" s="347" t="n"/>
      <c r="AN109" s="350" t="n"/>
      <c r="AO109" s="347" t="n"/>
      <c r="AP109" s="340" t="inlineStr">
        <is>
          <t>L:\KL_CO\110_HYFR\AFFAIRES 2022\AIR CORSICA\Devis n°4750 - Calibration in-house cric</t>
        </is>
      </c>
      <c r="AQ109" s="347" t="n"/>
      <c r="AR109" s="313" t="n"/>
      <c r="AS109" s="347" t="n"/>
      <c r="AT109" s="736" t="n"/>
      <c r="AU109" s="736" t="n"/>
      <c r="AV109" s="731" t="n"/>
      <c r="AW109" s="331" t="n"/>
    </row>
    <row r="110" ht="15" customHeight="1" s="701">
      <c r="A110" s="744" t="n">
        <v>44628</v>
      </c>
      <c r="B110" s="347">
        <f>IFERROR(INDEX(Tabelle2[BU],MATCH(tbl_DCFC[[#This Row],[Categorie]],CAT,0)),"")</f>
        <v/>
      </c>
      <c r="C110" s="315">
        <f>IF(D110&lt;&gt;"","S"&amp;TEXT(WEEKNUM(D110,21),"00"),"")</f>
        <v/>
      </c>
      <c r="D110" s="744" t="n">
        <v>44628</v>
      </c>
      <c r="E110" s="350" t="n">
        <v>4751</v>
      </c>
      <c r="F110" s="350" t="inlineStr">
        <is>
          <t>A</t>
        </is>
      </c>
      <c r="G110" s="350" t="inlineStr">
        <is>
          <t>AIR CORSICA</t>
        </is>
      </c>
      <c r="H110" s="350" t="n"/>
      <c r="I110" s="745" t="n">
        <v>385</v>
      </c>
      <c r="J110" s="350" t="inlineStr">
        <is>
          <t>ASI</t>
        </is>
      </c>
      <c r="K110" s="350" t="inlineStr">
        <is>
          <t>SERVICE AIA</t>
        </is>
      </c>
      <c r="L110" s="337" t="inlineStr">
        <is>
          <t>Accepté</t>
        </is>
      </c>
      <c r="M110" s="347" t="n"/>
      <c r="N110">
        <f>IF(Q110&lt;&gt;"","S"&amp;TEXT(WEEKNUM(Q110,21),"00"),"")</f>
        <v/>
      </c>
      <c r="O110">
        <f>IF(Data!$Q110="","",YEAR(Data!$Q110))</f>
        <v/>
      </c>
      <c r="P110">
        <f>IF(Data!$Q110="","",MONTH(Data!$Q110))</f>
        <v/>
      </c>
      <c r="Q110" s="163" t="n">
        <v>44628</v>
      </c>
      <c r="R110" t="inlineStr">
        <is>
          <t>2022-035</t>
        </is>
      </c>
      <c r="S110" s="709" t="n">
        <v>385</v>
      </c>
      <c r="V110" s="347" t="n"/>
      <c r="W110" s="163" t="n">
        <v>44636</v>
      </c>
      <c r="X110">
        <f>IF(AC110&lt;&gt;"","S"&amp;TEXT(WEEKNUM(AC110,21),"00"),"")</f>
        <v/>
      </c>
      <c r="Y110">
        <f>IF(Data!$AC110="","",YEAR(Data!$AC110))</f>
        <v/>
      </c>
      <c r="Z110">
        <f>IF(Data!$AC110="","",MONTH(Data!$AC110))</f>
        <v/>
      </c>
      <c r="AA110" s="163" t="n">
        <v>44643</v>
      </c>
      <c r="AB110" t="n">
        <v>5218</v>
      </c>
      <c r="AC110" s="163" t="n">
        <v>44643</v>
      </c>
      <c r="AD110" s="709" t="n">
        <v>385</v>
      </c>
      <c r="AE110" s="163" t="n">
        <v>44645</v>
      </c>
      <c r="AF110" s="302" t="n"/>
      <c r="AH110" s="347" t="n"/>
      <c r="AI110" s="340" t="n">
        <v>1</v>
      </c>
      <c r="AJ110" s="340" t="inlineStr">
        <is>
          <t xml:space="preserve">Recertification cric in-house </t>
        </is>
      </c>
      <c r="AK110" s="347" t="n"/>
      <c r="AL110" t="inlineStr">
        <is>
          <t>Moyen à recevoir</t>
        </is>
      </c>
      <c r="AM110" s="347" t="n"/>
      <c r="AN110" s="350" t="n"/>
      <c r="AO110" s="347" t="n"/>
      <c r="AP110" s="340" t="inlineStr">
        <is>
          <t>L:\KL_CO\110_HYFR\AFFAIRES 2022\AIR CORSICA\Devis n°4751 - Calibration in-house cric</t>
        </is>
      </c>
      <c r="AQ110" s="347" t="n"/>
      <c r="AR110" s="313" t="n"/>
      <c r="AS110" s="347" t="n"/>
      <c r="AT110" s="736" t="n"/>
      <c r="AU110" s="736" t="n"/>
      <c r="AV110" s="731" t="n"/>
      <c r="AW110" s="331" t="n"/>
    </row>
    <row r="111" ht="15" customHeight="1" s="701">
      <c r="A111" s="744" t="n">
        <v>44628</v>
      </c>
      <c r="B111" s="347">
        <f>IFERROR(INDEX(Tabelle2[BU],MATCH(tbl_DCFC[[#This Row],[Categorie]],CAT,0)),"")</f>
        <v/>
      </c>
      <c r="C111" s="315">
        <f>IF(D111&lt;&gt;"","S"&amp;TEXT(WEEKNUM(D111,21),"00"),"")</f>
        <v/>
      </c>
      <c r="D111" s="744" t="n">
        <v>44628</v>
      </c>
      <c r="E111" s="350" t="n">
        <v>4752</v>
      </c>
      <c r="F111" s="350" t="inlineStr">
        <is>
          <t>A</t>
        </is>
      </c>
      <c r="G111" s="350" t="inlineStr">
        <is>
          <t>AIA</t>
        </is>
      </c>
      <c r="H111" s="350" t="n"/>
      <c r="I111" s="745" t="n">
        <v>3180</v>
      </c>
      <c r="J111" s="350" t="inlineStr">
        <is>
          <t>ABA</t>
        </is>
      </c>
      <c r="K111" s="350" t="inlineStr">
        <is>
          <t>SERVICE AIA</t>
        </is>
      </c>
      <c r="L111" s="337" t="inlineStr">
        <is>
          <t>Accepté</t>
        </is>
      </c>
      <c r="M111" s="347" t="n"/>
      <c r="N111">
        <f>IF(Q111&lt;&gt;"","S"&amp;TEXT(WEEKNUM(Q111,21),"00"),"")</f>
        <v/>
      </c>
      <c r="O111">
        <f>IF(Data!$Q111="","",YEAR(Data!$Q111))</f>
        <v/>
      </c>
      <c r="P111">
        <f>IF(Data!$Q111="","",MONTH(Data!$Q111))</f>
        <v/>
      </c>
      <c r="Q111" s="163" t="n">
        <v>44644</v>
      </c>
      <c r="R111" t="inlineStr">
        <is>
          <t>2022-038</t>
        </is>
      </c>
      <c r="S111" s="709" t="n">
        <v>3180</v>
      </c>
      <c r="V111" s="347" t="n"/>
      <c r="W111" s="163" t="n">
        <v>44644</v>
      </c>
      <c r="X111">
        <f>IF(AC111&lt;&gt;"","S"&amp;TEXT(WEEKNUM(AC111,21),"00"),"")</f>
        <v/>
      </c>
      <c r="Y111">
        <f>IF(Data!$AC111="","",YEAR(Data!$AC111))</f>
        <v/>
      </c>
      <c r="Z111">
        <f>IF(Data!$AC111="","",MONTH(Data!$AC111))</f>
        <v/>
      </c>
      <c r="AA111" s="163" t="n"/>
      <c r="AD111" s="709" t="n"/>
      <c r="AE111" s="163" t="n"/>
      <c r="AF111" s="302" t="n"/>
      <c r="AH111" s="347" t="n"/>
      <c r="AI111" s="340" t="n">
        <v>6</v>
      </c>
      <c r="AJ111" s="340" t="inlineStr">
        <is>
          <t>Remise en service crics et vérins</t>
        </is>
      </c>
      <c r="AK111" s="347" t="n"/>
      <c r="AL111" t="inlineStr">
        <is>
          <t>Noria n°9 - Remise en service</t>
        </is>
      </c>
      <c r="AM111" s="347" t="n"/>
      <c r="AN111" s="350" t="n"/>
      <c r="AO111" s="347" t="n"/>
      <c r="AP111" s="340" t="inlineStr">
        <is>
          <t>L:\KL_CO\110_HYFR\AFFAIRES 2022\AIA\Devis n°4752 - Maintenance Noria n°9</t>
        </is>
      </c>
      <c r="AQ111" s="347" t="n"/>
      <c r="AR111" s="313" t="n"/>
      <c r="AS111" s="347" t="n"/>
      <c r="AT111" s="736" t="n"/>
      <c r="AU111" s="736" t="n"/>
      <c r="AV111" s="731" t="n"/>
      <c r="AW111" s="331" t="n"/>
    </row>
    <row r="112" ht="15" customHeight="1" s="701">
      <c r="A112" s="744" t="n">
        <v>44628</v>
      </c>
      <c r="B112" s="347">
        <f>IFERROR(INDEX(Tabelle2[BU],MATCH(tbl_DCFC[[#This Row],[Categorie]],CAT,0)),"")</f>
        <v/>
      </c>
      <c r="C112" s="315">
        <f>IF(D112&lt;&gt;"","S"&amp;TEXT(WEEKNUM(D112,21),"00"),"")</f>
        <v/>
      </c>
      <c r="D112" s="744" t="n">
        <v>44628</v>
      </c>
      <c r="E112" s="350" t="n">
        <v>4753</v>
      </c>
      <c r="F112" s="350" t="inlineStr">
        <is>
          <t>A</t>
        </is>
      </c>
      <c r="G112" s="350" t="inlineStr">
        <is>
          <t>AIA</t>
        </is>
      </c>
      <c r="H112" s="350" t="n"/>
      <c r="I112" s="745" t="n"/>
      <c r="J112" s="350" t="inlineStr">
        <is>
          <t>ABA</t>
        </is>
      </c>
      <c r="K112" s="350" t="inlineStr">
        <is>
          <t>SERVICE AIA</t>
        </is>
      </c>
      <c r="L112" s="337" t="inlineStr">
        <is>
          <t>En Attente</t>
        </is>
      </c>
      <c r="M112" s="347" t="n"/>
      <c r="N112">
        <f>IF(Q112&lt;&gt;"","S"&amp;TEXT(WEEKNUM(Q112,21),"00"),"")</f>
        <v/>
      </c>
      <c r="O112">
        <f>IF(Data!$Q112="","",YEAR(Data!$Q112))</f>
        <v/>
      </c>
      <c r="P112">
        <f>IF(Data!$Q112="","",MONTH(Data!$Q112))</f>
        <v/>
      </c>
      <c r="V112" s="347" t="n"/>
      <c r="W112" s="163" t="n"/>
      <c r="X112">
        <f>IF(AC112&lt;&gt;"","S"&amp;TEXT(WEEKNUM(AC112,21),"00"),"")</f>
        <v/>
      </c>
      <c r="Y112">
        <f>IF(Data!$AC112="","",YEAR(Data!$AC112))</f>
        <v/>
      </c>
      <c r="Z112">
        <f>IF(Data!$AC112="","",MONTH(Data!$AC112))</f>
        <v/>
      </c>
      <c r="AA112" s="163" t="n"/>
      <c r="AD112" s="709" t="n"/>
      <c r="AE112" s="163" t="n"/>
      <c r="AF112" s="302" t="n"/>
      <c r="AH112" s="347" t="n"/>
      <c r="AI112" s="340" t="n">
        <v>6</v>
      </c>
      <c r="AJ112" s="340" t="inlineStr">
        <is>
          <t>Maintenance curative crics et vérins</t>
        </is>
      </c>
      <c r="AK112" s="347" t="n"/>
      <c r="AL112" t="inlineStr">
        <is>
          <t>Noria n°9 - Maintenance curative - Devis curatif à remettre le 12/04/2022</t>
        </is>
      </c>
      <c r="AM112" s="347" t="n"/>
      <c r="AN112" s="350" t="n"/>
      <c r="AO112" s="347" t="n"/>
      <c r="AP112" s="340" t="inlineStr">
        <is>
          <t>L:\KL_CO\110_HYFR\AFFAIRES 2022\AIA\Devis n°4753 - Curatif Noria n°9</t>
        </is>
      </c>
      <c r="AQ112" s="347" t="n"/>
      <c r="AR112" s="313" t="n"/>
      <c r="AS112" s="347" t="n"/>
      <c r="AT112" s="736" t="n"/>
      <c r="AU112" s="736" t="n"/>
      <c r="AV112" s="731" t="n"/>
      <c r="AW112" s="331" t="n"/>
    </row>
    <row r="113" ht="15" customHeight="1" s="701">
      <c r="A113" s="744" t="n">
        <v>44609</v>
      </c>
      <c r="B113" s="347">
        <f>IFERROR(INDEX(Tabelle2[BU],MATCH(tbl_DCFC[[#This Row],[Categorie]],CAT,0)),"")</f>
        <v/>
      </c>
      <c r="C113" s="315">
        <f>IF(D113&lt;&gt;"","S"&amp;TEXT(WEEKNUM(D113,21),"00"),"")</f>
        <v/>
      </c>
      <c r="D113" s="744" t="n">
        <v>44609</v>
      </c>
      <c r="E113" s="350" t="n">
        <v>4734</v>
      </c>
      <c r="F113" s="350" t="inlineStr">
        <is>
          <t>A</t>
        </is>
      </c>
      <c r="G113" s="350" t="inlineStr">
        <is>
          <t>IGO</t>
        </is>
      </c>
      <c r="H113" s="350" t="n"/>
      <c r="I113" s="745" t="n">
        <v>2393</v>
      </c>
      <c r="J113" s="350" t="inlineStr">
        <is>
          <t>ASI</t>
        </is>
      </c>
      <c r="K113" s="350" t="inlineStr">
        <is>
          <t>SERVICE OTHER AIA</t>
        </is>
      </c>
      <c r="L113" s="337" t="inlineStr">
        <is>
          <t>Accepté</t>
        </is>
      </c>
      <c r="M113" s="347" t="n"/>
      <c r="N113">
        <f>IF(Q113&lt;&gt;"","S"&amp;TEXT(WEEKNUM(Q113,21),"00"),"")</f>
        <v/>
      </c>
      <c r="O113">
        <f>IF(Data!$Q113="","",YEAR(Data!$Q113))</f>
        <v/>
      </c>
      <c r="P113">
        <f>IF(Data!$Q113="","",MONTH(Data!$Q113))</f>
        <v/>
      </c>
      <c r="Q113" s="163" t="n">
        <v>44656</v>
      </c>
      <c r="R113" t="inlineStr">
        <is>
          <t>2022-022</t>
        </is>
      </c>
      <c r="S113" s="709" t="n">
        <v>2393</v>
      </c>
      <c r="V113" s="347" t="n"/>
      <c r="W113" s="163" t="n"/>
      <c r="X113">
        <f>IF(AC113&lt;&gt;"","S"&amp;TEXT(WEEKNUM(AC113,21),"00"),"")</f>
        <v/>
      </c>
      <c r="Y113">
        <f>IF(Data!$AC113="","",YEAR(Data!$AC113))</f>
        <v/>
      </c>
      <c r="Z113">
        <f>IF(Data!$AC113="","",MONTH(Data!$AC113))</f>
        <v/>
      </c>
      <c r="AA113" s="163" t="n"/>
      <c r="AD113" s="709" t="n"/>
      <c r="AE113" s="163" t="n">
        <v>44694</v>
      </c>
      <c r="AF113" s="302" t="n"/>
      <c r="AH113" s="347" t="n"/>
      <c r="AI113" s="340" t="n">
        <v>1</v>
      </c>
      <c r="AJ113" s="340" t="inlineStr">
        <is>
          <t xml:space="preserve">Réparation palans in-house </t>
        </is>
      </c>
      <c r="AK113" s="347" t="n"/>
      <c r="AM113" s="347" t="n"/>
      <c r="AN113" s="350" t="n"/>
      <c r="AO113" s="347" t="n"/>
      <c r="AP113" s="340" t="inlineStr">
        <is>
          <t>L:\KL_CO\110_HYFR\AFFAIRES 2022\IGO\Devis n°4734 - Réparation crics et palans</t>
        </is>
      </c>
      <c r="AQ113" s="347" t="n"/>
      <c r="AR113" s="313" t="n"/>
      <c r="AS113" s="347" t="n"/>
      <c r="AT113" s="736" t="n">
        <v>448</v>
      </c>
      <c r="AU113" s="736" t="n">
        <v>205</v>
      </c>
      <c r="AV113" s="731">
        <f>IF(AT113="","",S113-AT113-AU113)</f>
        <v/>
      </c>
      <c r="AW113" s="331">
        <f>IFERROR(IF(tbl_DCFC[[#This Row],[F Montant HT]]="","",tbl_DCFC[[#This Row],[Marge]]/tbl_DCFC[[#This Row],[F Montant HT]]),"")</f>
        <v/>
      </c>
    </row>
    <row r="114" ht="15" customHeight="1" s="701">
      <c r="A114" s="744" t="n">
        <v>44621</v>
      </c>
      <c r="B114" s="347">
        <f>IFERROR(INDEX(Tabelle2[BU],MATCH(tbl_DCFC[[#This Row],[Categorie]],CAT,0)),"")</f>
        <v/>
      </c>
      <c r="C114" s="315">
        <f>IF(D114&lt;&gt;"","S"&amp;TEXT(WEEKNUM(D114,21),"00"),"")</f>
        <v/>
      </c>
      <c r="D114" s="744" t="n">
        <v>44634</v>
      </c>
      <c r="E114" s="350" t="n">
        <v>4754</v>
      </c>
      <c r="F114" s="350" t="inlineStr">
        <is>
          <t>A</t>
        </is>
      </c>
      <c r="G114" s="350" t="inlineStr">
        <is>
          <t>ROYAL AIR MAROC</t>
        </is>
      </c>
      <c r="H114" s="350" t="n"/>
      <c r="I114" s="745" t="n">
        <v>1350</v>
      </c>
      <c r="J114" s="350" t="inlineStr">
        <is>
          <t>ASI</t>
        </is>
      </c>
      <c r="K114" s="350" t="inlineStr">
        <is>
          <t>SERVICE OTHER AIA</t>
        </is>
      </c>
      <c r="L114" s="337" t="inlineStr">
        <is>
          <t>En Attente</t>
        </is>
      </c>
      <c r="M114" s="347" t="n"/>
      <c r="N114">
        <f>IF(Q114&lt;&gt;"","S"&amp;TEXT(WEEKNUM(Q114,21),"00"),"")</f>
        <v/>
      </c>
      <c r="O114">
        <f>IF(Data!$Q114="","",YEAR(Data!$Q114))</f>
        <v/>
      </c>
      <c r="P114">
        <f>IF(Data!$Q114="","",MONTH(Data!$Q114))</f>
        <v/>
      </c>
      <c r="V114" s="347" t="n"/>
      <c r="W114" s="163" t="n"/>
      <c r="X114">
        <f>IF(AC114&lt;&gt;"","S"&amp;TEXT(WEEKNUM(AC114,21),"00"),"")</f>
        <v/>
      </c>
      <c r="Y114">
        <f>IF(Data!$AC114="","",YEAR(Data!$AC114))</f>
        <v/>
      </c>
      <c r="Z114">
        <f>IF(Data!$AC114="","",MONTH(Data!$AC114))</f>
        <v/>
      </c>
      <c r="AA114" s="163" t="n"/>
      <c r="AD114" s="709" t="n"/>
      <c r="AE114" s="163" t="n"/>
      <c r="AF114" s="302" t="n"/>
      <c r="AH114" s="347" t="n"/>
      <c r="AI114" s="340" t="n">
        <v>1</v>
      </c>
      <c r="AJ114" s="340" t="inlineStr">
        <is>
          <t xml:space="preserve">Calibration TR-36 in-house </t>
        </is>
      </c>
      <c r="AK114" s="347" t="n"/>
      <c r="AM114" s="347" t="n"/>
      <c r="AN114" s="350" t="n"/>
      <c r="AO114" s="347" t="n"/>
      <c r="AP114" s="340" t="inlineStr">
        <is>
          <t>L:\KL_CO\110_HYFR\AFFAIRES 2022\ROYAL AIR MAROC\Devis n°4754 - Calibration test set_TR-36</t>
        </is>
      </c>
      <c r="AQ114" s="347" t="n"/>
      <c r="AR114" s="313" t="n"/>
      <c r="AS114" s="347" t="n"/>
      <c r="AT114" s="736" t="n"/>
      <c r="AU114" s="736" t="n"/>
      <c r="AV114" s="731" t="n"/>
      <c r="AW114" s="331" t="n"/>
    </row>
    <row r="115" ht="15" customHeight="1" s="701">
      <c r="A115" s="744" t="n">
        <v>44621</v>
      </c>
      <c r="B115" s="347">
        <f>IFERROR(INDEX(Tabelle2[BU],MATCH(tbl_DCFC[[#This Row],[Categorie]],CAT,0)),"")</f>
        <v/>
      </c>
      <c r="C115" s="315">
        <f>IF(D115&lt;&gt;"","S"&amp;TEXT(WEEKNUM(D115,21),"00"),"")</f>
        <v/>
      </c>
      <c r="D115" s="744" t="n">
        <v>44634</v>
      </c>
      <c r="E115" s="350" t="n">
        <v>4755</v>
      </c>
      <c r="F115" s="350" t="inlineStr">
        <is>
          <t>A</t>
        </is>
      </c>
      <c r="G115" s="350" t="inlineStr">
        <is>
          <t>ROYAL AIR MAROC</t>
        </is>
      </c>
      <c r="H115" s="350" t="n"/>
      <c r="I115" s="745" t="n">
        <v>825</v>
      </c>
      <c r="J115" s="350" t="inlineStr">
        <is>
          <t>ASI</t>
        </is>
      </c>
      <c r="K115" s="350" t="inlineStr">
        <is>
          <t>SERVICE OTHER AIA</t>
        </is>
      </c>
      <c r="L115" s="337" t="inlineStr">
        <is>
          <t>En Attente</t>
        </is>
      </c>
      <c r="M115" s="347" t="n"/>
      <c r="N115">
        <f>IF(Q115&lt;&gt;"","S"&amp;TEXT(WEEKNUM(Q115,21),"00"),"")</f>
        <v/>
      </c>
      <c r="O115">
        <f>IF(Data!$Q115="","",YEAR(Data!$Q115))</f>
        <v/>
      </c>
      <c r="P115">
        <f>IF(Data!$Q115="","",MONTH(Data!$Q115))</f>
        <v/>
      </c>
      <c r="V115" s="347" t="n"/>
      <c r="W115" s="163" t="n"/>
      <c r="X115">
        <f>IF(AC115&lt;&gt;"","S"&amp;TEXT(WEEKNUM(AC115,21),"00"),"")</f>
        <v/>
      </c>
      <c r="Y115">
        <f>IF(Data!$AC115="","",YEAR(Data!$AC115))</f>
        <v/>
      </c>
      <c r="Z115">
        <f>IF(Data!$AC115="","",MONTH(Data!$AC115))</f>
        <v/>
      </c>
      <c r="AA115" s="163" t="n"/>
      <c r="AD115" s="709" t="n"/>
      <c r="AE115" s="163" t="n"/>
      <c r="AF115" s="302" t="n"/>
      <c r="AH115" s="347" t="n"/>
      <c r="AI115" s="340" t="n">
        <v>1</v>
      </c>
      <c r="AJ115" s="340" t="inlineStr">
        <is>
          <t xml:space="preserve">Calibration 43 in-house </t>
        </is>
      </c>
      <c r="AK115" s="347" t="n"/>
      <c r="AM115" s="347" t="n"/>
      <c r="AN115" s="350" t="n"/>
      <c r="AO115" s="347" t="n"/>
      <c r="AP115" s="340" t="inlineStr">
        <is>
          <t>L:\KL_CO\110_HYFR\AFFAIRES 2022\ROYAL AIR MAROC\Devis n°4755 - Calibration wattmetre_43</t>
        </is>
      </c>
      <c r="AQ115" s="347" t="n"/>
      <c r="AR115" s="313" t="n"/>
      <c r="AS115" s="347" t="n"/>
      <c r="AT115" s="736" t="n"/>
      <c r="AU115" s="736" t="n"/>
      <c r="AV115" s="731">
        <f>IF(AT115="","",S115-AT115-AU115)</f>
        <v/>
      </c>
      <c r="AW115" s="331">
        <f>IFERROR(IF(tbl_DCFC[[#This Row],[F Montant HT]]="","",tbl_DCFC[[#This Row],[Marge]]/tbl_DCFC[[#This Row],[F Montant HT]]),"")</f>
        <v/>
      </c>
    </row>
    <row r="116" ht="15" customHeight="1" s="701">
      <c r="A116" s="744" t="n">
        <v>44621</v>
      </c>
      <c r="B116" s="347">
        <f>IFERROR(INDEX(Tabelle2[BU],MATCH(tbl_DCFC[[#This Row],[Categorie]],CAT,0)),"")</f>
        <v/>
      </c>
      <c r="C116" s="315">
        <f>IF(D116&lt;&gt;"","S"&amp;TEXT(WEEKNUM(D116,21),"00"),"")</f>
        <v/>
      </c>
      <c r="D116" s="744" t="n">
        <v>44634</v>
      </c>
      <c r="E116" s="350" t="n">
        <v>4756</v>
      </c>
      <c r="F116" s="350" t="inlineStr">
        <is>
          <t>A</t>
        </is>
      </c>
      <c r="G116" s="350" t="inlineStr">
        <is>
          <t>ROYAL AIR MAROC</t>
        </is>
      </c>
      <c r="H116" s="350" t="n"/>
      <c r="I116" s="745" t="n">
        <v>1495</v>
      </c>
      <c r="J116" s="350" t="inlineStr">
        <is>
          <t>ASI</t>
        </is>
      </c>
      <c r="K116" s="350" t="inlineStr">
        <is>
          <t>SERVICE OTHER AIA</t>
        </is>
      </c>
      <c r="L116" s="337" t="inlineStr">
        <is>
          <t>En Attente</t>
        </is>
      </c>
      <c r="M116" s="347" t="n"/>
      <c r="N116">
        <f>IF(Q116&lt;&gt;"","S"&amp;TEXT(WEEKNUM(Q116,21),"00"),"")</f>
        <v/>
      </c>
      <c r="O116">
        <f>IF(Data!$Q116="","",YEAR(Data!$Q116))</f>
        <v/>
      </c>
      <c r="P116">
        <f>IF(Data!$Q116="","",MONTH(Data!$Q116))</f>
        <v/>
      </c>
      <c r="V116" s="347" t="n"/>
      <c r="W116" s="163" t="n"/>
      <c r="X116">
        <f>IF(AC116&lt;&gt;"","S"&amp;TEXT(WEEKNUM(AC116,21),"00"),"")</f>
        <v/>
      </c>
      <c r="Y116">
        <f>IF(Data!$AC116="","",YEAR(Data!$AC116))</f>
        <v/>
      </c>
      <c r="Z116">
        <f>IF(Data!$AC116="","",MONTH(Data!$AC116))</f>
        <v/>
      </c>
      <c r="AA116" s="163" t="n"/>
      <c r="AD116" s="709" t="n"/>
      <c r="AE116" s="163" t="n"/>
      <c r="AF116" s="302" t="n"/>
      <c r="AH116" s="347" t="n"/>
      <c r="AI116" s="340" t="n">
        <v>1</v>
      </c>
      <c r="AJ116" s="340" t="inlineStr">
        <is>
          <t xml:space="preserve">Caliration AP6108 in-house </t>
        </is>
      </c>
      <c r="AK116" s="347" t="n"/>
      <c r="AM116" s="347" t="n"/>
      <c r="AN116" s="350" t="n"/>
      <c r="AO116" s="347" t="n"/>
      <c r="AP116" s="340" t="inlineStr">
        <is>
          <t>L:\KL_CO\110_HYFR\AFFAIRES 2022\ROYAL AIR MAROC\Devis n°4756 - Calibration chain drive hoist_AP6108-6-25</t>
        </is>
      </c>
      <c r="AQ116" s="347" t="n"/>
      <c r="AR116" s="313" t="n"/>
      <c r="AS116" s="347" t="n"/>
      <c r="AT116" s="736" t="n"/>
      <c r="AU116" s="736" t="n"/>
      <c r="AV116" s="731" t="n"/>
      <c r="AW116" s="331" t="n"/>
    </row>
    <row r="117" ht="15" customHeight="1" s="701">
      <c r="A117" s="744" t="n">
        <v>44621</v>
      </c>
      <c r="B117" s="347">
        <f>IFERROR(INDEX(Tabelle2[BU],MATCH(tbl_DCFC[[#This Row],[Categorie]],CAT,0)),"")</f>
        <v/>
      </c>
      <c r="C117" s="315">
        <f>IF(D117&lt;&gt;"","S"&amp;TEXT(WEEKNUM(D117,21),"00"),"")</f>
        <v/>
      </c>
      <c r="D117" s="744" t="n">
        <v>44634</v>
      </c>
      <c r="E117" s="350" t="n">
        <v>4757</v>
      </c>
      <c r="F117" s="350" t="inlineStr">
        <is>
          <t>A</t>
        </is>
      </c>
      <c r="G117" s="350" t="inlineStr">
        <is>
          <t>ROYAL AIR MAROC</t>
        </is>
      </c>
      <c r="H117" s="350" t="n"/>
      <c r="I117" s="745" t="n">
        <v>2750</v>
      </c>
      <c r="J117" s="350" t="inlineStr">
        <is>
          <t>ASI</t>
        </is>
      </c>
      <c r="K117" s="350" t="inlineStr">
        <is>
          <t>SERVICE OTHER AIA</t>
        </is>
      </c>
      <c r="L117" s="337" t="inlineStr">
        <is>
          <t>En Attente</t>
        </is>
      </c>
      <c r="M117" s="347" t="n"/>
      <c r="N117">
        <f>IF(Q117&lt;&gt;"","S"&amp;TEXT(WEEKNUM(Q117,21),"00"),"")</f>
        <v/>
      </c>
      <c r="O117">
        <f>IF(Data!$Q117="","",YEAR(Data!$Q117))</f>
        <v/>
      </c>
      <c r="P117">
        <f>IF(Data!$Q117="","",MONTH(Data!$Q117))</f>
        <v/>
      </c>
      <c r="V117" s="347" t="n"/>
      <c r="W117" s="163" t="n"/>
      <c r="X117">
        <f>IF(AC117&lt;&gt;"","S"&amp;TEXT(WEEKNUM(AC117,21),"00"),"")</f>
        <v/>
      </c>
      <c r="Y117">
        <f>IF(Data!$AC117="","",YEAR(Data!$AC117))</f>
        <v/>
      </c>
      <c r="Z117">
        <f>IF(Data!$AC117="","",MONTH(Data!$AC117))</f>
        <v/>
      </c>
      <c r="AA117" s="163" t="n"/>
      <c r="AD117" s="709" t="n"/>
      <c r="AE117" s="163" t="n"/>
      <c r="AF117" s="302" t="n"/>
      <c r="AH117" s="347" t="n"/>
      <c r="AI117" s="340" t="n">
        <v>1</v>
      </c>
      <c r="AJ117" s="340" t="inlineStr">
        <is>
          <t xml:space="preserve">Calibration DRA707 in-house </t>
        </is>
      </c>
      <c r="AK117" s="347" t="n"/>
      <c r="AM117" s="347" t="n"/>
      <c r="AN117" s="350" t="n"/>
      <c r="AO117" s="347" t="n"/>
      <c r="AP117" s="340" t="inlineStr">
        <is>
          <t>L:\KL_CO\110_HYFR\AFFAIRES 2022\ROYAL AIR MAROC\Devis n°4757 - Calibration altimètre_DRA707</t>
        </is>
      </c>
      <c r="AQ117" s="347" t="n"/>
      <c r="AR117" s="313" t="n"/>
      <c r="AS117" s="347" t="n"/>
      <c r="AT117" s="736" t="n"/>
      <c r="AU117" s="736" t="n"/>
      <c r="AV117" s="731" t="n"/>
      <c r="AW117" s="331" t="n"/>
    </row>
    <row r="118" ht="15" customHeight="1" s="701">
      <c r="A118" s="744" t="n">
        <v>44634</v>
      </c>
      <c r="B118" s="347">
        <f>IFERROR(INDEX(Tabelle2[BU],MATCH(tbl_DCFC[[#This Row],[Categorie]],CAT,0)),"")</f>
        <v/>
      </c>
      <c r="C118" s="315">
        <f>IF(D118&lt;&gt;"","S"&amp;TEXT(WEEKNUM(D118,21),"00"),"")</f>
        <v/>
      </c>
      <c r="D118" s="744" t="n">
        <v>44634</v>
      </c>
      <c r="E118" s="350" t="n">
        <v>4758</v>
      </c>
      <c r="F118" s="350" t="inlineStr">
        <is>
          <t>A</t>
        </is>
      </c>
      <c r="G118" s="350" t="inlineStr">
        <is>
          <t>HOP</t>
        </is>
      </c>
      <c r="H118" s="350" t="n"/>
      <c r="I118" s="745" t="n">
        <v>2396</v>
      </c>
      <c r="J118" s="350" t="inlineStr">
        <is>
          <t>ABA</t>
        </is>
      </c>
      <c r="K118" s="350" t="inlineStr">
        <is>
          <t>SERVICE OTHER AIA</t>
        </is>
      </c>
      <c r="L118" s="337" t="inlineStr">
        <is>
          <t>Accepté</t>
        </is>
      </c>
      <c r="M118" s="347" t="n"/>
      <c r="N118">
        <f>IF(Q118&lt;&gt;"","S"&amp;TEXT(WEEKNUM(Q118,21),"00"),"")</f>
        <v/>
      </c>
      <c r="O118">
        <f>IF(Data!$Q118="","",YEAR(Data!$Q118))</f>
        <v/>
      </c>
      <c r="P118">
        <f>IF(Data!$Q118="","",MONTH(Data!$Q118))</f>
        <v/>
      </c>
      <c r="Q118" s="163" t="n">
        <v>44634</v>
      </c>
      <c r="R118" t="inlineStr">
        <is>
          <t>2022-036</t>
        </is>
      </c>
      <c r="S118" s="709" t="n">
        <v>2396</v>
      </c>
      <c r="V118" s="347" t="n"/>
      <c r="W118" s="163" t="n">
        <v>44636</v>
      </c>
      <c r="X118">
        <f>IF(AC118&lt;&gt;"","S"&amp;TEXT(WEEKNUM(AC118,21),"00"),"")</f>
        <v/>
      </c>
      <c r="Y118">
        <f>IF(Data!$AC118="","",YEAR(Data!$AC118))</f>
        <v/>
      </c>
      <c r="Z118">
        <f>IF(Data!$AC118="","",MONTH(Data!$AC118))</f>
        <v/>
      </c>
      <c r="AA118" s="163" t="n"/>
      <c r="AD118" s="709" t="n"/>
      <c r="AE118" s="163" t="n">
        <v>44673</v>
      </c>
      <c r="AF118" s="302" t="n"/>
      <c r="AH118" s="347" t="n"/>
      <c r="AI118" s="340" t="n">
        <v>1</v>
      </c>
      <c r="AJ118" s="340" t="inlineStr">
        <is>
          <t xml:space="preserve">Réparation RT4550-001 in-house </t>
        </is>
      </c>
      <c r="AK118" s="347" t="n"/>
      <c r="AM118" s="347" t="n"/>
      <c r="AN118" s="350" t="n"/>
      <c r="AO118" s="347" t="n"/>
      <c r="AP118" s="340" t="inlineStr">
        <is>
          <t>L:\KL_CO\110_HYFR\AFFAIRES 2022\HOP\Devis n°4758 - Réparation RT4550</t>
        </is>
      </c>
      <c r="AQ118" s="347" t="n"/>
      <c r="AR118" s="313" t="n"/>
      <c r="AS118" s="347" t="n"/>
      <c r="AT118" s="736" t="n"/>
      <c r="AU118" s="736" t="n"/>
      <c r="AV118" s="731">
        <f>IF(AT118="","",S118-AT118-AU118)</f>
        <v/>
      </c>
      <c r="AW118" s="331">
        <f>IFERROR(IF(tbl_DCFC[[#This Row],[F Montant HT]]="","",tbl_DCFC[[#This Row],[Marge]]/tbl_DCFC[[#This Row],[F Montant HT]]),"")</f>
        <v/>
      </c>
    </row>
    <row r="119" ht="15" customHeight="1" s="701">
      <c r="A119" s="744" t="n">
        <v>44634</v>
      </c>
      <c r="B119" s="347">
        <f>IFERROR(INDEX(Tabelle2[BU],MATCH(tbl_DCFC[[#This Row],[Categorie]],CAT,0)),"")</f>
        <v/>
      </c>
      <c r="C119" s="315">
        <f>IF(D119&lt;&gt;"","S"&amp;TEXT(WEEKNUM(D119,21),"00"),"")</f>
        <v/>
      </c>
      <c r="D119" s="744" t="n">
        <v>44634</v>
      </c>
      <c r="E119" s="350" t="n">
        <v>4759</v>
      </c>
      <c r="F119" s="350" t="inlineStr">
        <is>
          <t>A</t>
        </is>
      </c>
      <c r="G119" s="350" t="inlineStr">
        <is>
          <t>BABCOCK</t>
        </is>
      </c>
      <c r="H119" s="350" t="n"/>
      <c r="I119" s="745" t="n"/>
      <c r="J119" s="350" t="inlineStr">
        <is>
          <t>ASI</t>
        </is>
      </c>
      <c r="K119" s="350" t="inlineStr">
        <is>
          <t>SERVICE OTHER AIA</t>
        </is>
      </c>
      <c r="L119" s="337" t="inlineStr">
        <is>
          <t>En Attente</t>
        </is>
      </c>
      <c r="M119" s="347" t="n"/>
      <c r="N119">
        <f>IF(Q119&lt;&gt;"","S"&amp;TEXT(WEEKNUM(Q119,21),"00"),"")</f>
        <v/>
      </c>
      <c r="O119">
        <f>IF(Data!$Q119="","",YEAR(Data!$Q119))</f>
        <v/>
      </c>
      <c r="P119">
        <f>IF(Data!$Q119="","",MONTH(Data!$Q119))</f>
        <v/>
      </c>
      <c r="V119" s="347" t="n"/>
      <c r="W119" s="163" t="n">
        <v>44644</v>
      </c>
      <c r="X119">
        <f>IF(AC119&lt;&gt;"","S"&amp;TEXT(WEEKNUM(AC119,21),"00"),"")</f>
        <v/>
      </c>
      <c r="Y119">
        <f>IF(Data!$AC119="","",YEAR(Data!$AC119))</f>
        <v/>
      </c>
      <c r="Z119">
        <f>IF(Data!$AC119="","",MONTH(Data!$AC119))</f>
        <v/>
      </c>
      <c r="AA119" s="163" t="n"/>
      <c r="AD119" s="709" t="n"/>
      <c r="AE119" s="163" t="n"/>
      <c r="AF119" s="302" t="n"/>
      <c r="AH119" s="347" t="n"/>
      <c r="AI119" s="340" t="n">
        <v>2</v>
      </c>
      <c r="AJ119" s="340" t="inlineStr">
        <is>
          <t>Réparation vérin in-house D00406C1B1A02A0</t>
        </is>
      </c>
      <c r="AK119" s="347" t="n"/>
      <c r="AM119" s="347" t="n"/>
      <c r="AN119" s="350" t="n"/>
      <c r="AO119" s="347" t="n"/>
      <c r="AP119" s="340" t="inlineStr">
        <is>
          <t>L:\KL_CO\110_HYFR\AFFAIRES 2022\BABCOCK\Devis n°4759 - Réparation vérins</t>
        </is>
      </c>
      <c r="AQ119" s="347" t="n"/>
      <c r="AR119" s="313" t="n"/>
      <c r="AS119" s="347" t="n"/>
      <c r="AT119" s="736" t="n"/>
      <c r="AU119" s="736" t="n"/>
      <c r="AV119" s="731">
        <f>IF(AT119="","",S119-AT119-AU119)</f>
        <v/>
      </c>
      <c r="AW119" s="331">
        <f>IFERROR(IF(tbl_DCFC[[#This Row],[F Montant HT]]="","",tbl_DCFC[[#This Row],[Marge]]/tbl_DCFC[[#This Row],[F Montant HT]]),"")</f>
        <v/>
      </c>
    </row>
    <row r="120" ht="15" customHeight="1" s="701">
      <c r="A120" s="744" t="n">
        <v>44620</v>
      </c>
      <c r="B120" s="347">
        <f>IFERROR(INDEX(Tabelle2[BU],MATCH(tbl_DCFC[[#This Row],[Categorie]],CAT,0)),"")</f>
        <v/>
      </c>
      <c r="C120" s="315">
        <f>IF(D120&lt;&gt;"","S"&amp;TEXT(WEEKNUM(D120,21),"00"),"")</f>
        <v/>
      </c>
      <c r="D120" s="744" t="n">
        <v>44620</v>
      </c>
      <c r="E120" s="350" t="n">
        <v>4742</v>
      </c>
      <c r="F120" s="350" t="inlineStr">
        <is>
          <t>A</t>
        </is>
      </c>
      <c r="G120" s="350" t="inlineStr">
        <is>
          <t>AIR CORSICA</t>
        </is>
      </c>
      <c r="H120" s="350" t="n"/>
      <c r="I120" s="745" t="n">
        <v>7303</v>
      </c>
      <c r="J120" s="350" t="inlineStr">
        <is>
          <t>ASI</t>
        </is>
      </c>
      <c r="K120" s="350" t="inlineStr">
        <is>
          <t>SERVICE OTHER AIA</t>
        </is>
      </c>
      <c r="L120" s="337" t="inlineStr">
        <is>
          <t>Accepté</t>
        </is>
      </c>
      <c r="M120" s="347" t="n"/>
      <c r="N120">
        <f>IF(Q120&lt;&gt;"","S"&amp;TEXT(WEEKNUM(Q120,21),"00"),"")</f>
        <v/>
      </c>
      <c r="O120">
        <f>IF(Data!$Q120="","",YEAR(Data!$Q120))</f>
        <v/>
      </c>
      <c r="P120">
        <f>IF(Data!$Q120="","",MONTH(Data!$Q120))</f>
        <v/>
      </c>
      <c r="Q120" s="163" t="n">
        <v>44641</v>
      </c>
      <c r="R120" t="inlineStr">
        <is>
          <t>2022-029</t>
        </is>
      </c>
      <c r="S120" s="709" t="n">
        <v>7303</v>
      </c>
      <c r="V120" s="347" t="n"/>
      <c r="W120" s="163" t="n"/>
      <c r="X120">
        <f>IF(AC120&lt;&gt;"","S"&amp;TEXT(WEEKNUM(AC120,21),"00"),"")</f>
        <v/>
      </c>
      <c r="Y120">
        <f>IF(Data!$AC120="","",YEAR(Data!$AC120))</f>
        <v/>
      </c>
      <c r="Z120">
        <f>IF(Data!$AC120="","",MONTH(Data!$AC120))</f>
        <v/>
      </c>
      <c r="AA120" s="163" t="n"/>
      <c r="AD120" s="709" t="n"/>
      <c r="AE120" s="163" t="n">
        <v>44739</v>
      </c>
      <c r="AF120" s="302" t="n"/>
      <c r="AH120" s="347" t="n"/>
      <c r="AI120" s="340" t="n">
        <v>1</v>
      </c>
      <c r="AJ120" s="340" t="inlineStr">
        <is>
          <t>Réparation cric RA4510K2A0A10</t>
        </is>
      </c>
      <c r="AK120" s="347" t="n"/>
      <c r="AM120" s="347" t="n"/>
      <c r="AN120" s="350" t="n"/>
      <c r="AO120" s="347" t="n"/>
      <c r="AP120" s="340" t="inlineStr">
        <is>
          <t>L:\KL_CO\110_HYFR\AFFAIRES 2022\AIR CORSICA\Devis n°4742 - Calibration in-house cric</t>
        </is>
      </c>
      <c r="AQ120" s="347" t="n"/>
      <c r="AR120" s="313" t="n"/>
      <c r="AS120" s="347" t="n"/>
      <c r="AT120" s="736" t="n"/>
      <c r="AU120" s="736" t="n"/>
      <c r="AV120" s="731">
        <f>IF(AT120="","",S120-AT120-AU120)</f>
        <v/>
      </c>
      <c r="AW120" s="331">
        <f>IFERROR(IF(tbl_DCFC[[#This Row],[F Montant HT]]="","",tbl_DCFC[[#This Row],[Marge]]/tbl_DCFC[[#This Row],[F Montant HT]]),"")</f>
        <v/>
      </c>
    </row>
    <row r="121" ht="15" customHeight="1" s="701">
      <c r="A121" s="744" t="n">
        <v>44636</v>
      </c>
      <c r="B121" s="347">
        <f>IFERROR(INDEX(Tabelle2[BU],MATCH(tbl_DCFC[[#This Row],[Categorie]],CAT,0)),"")</f>
        <v/>
      </c>
      <c r="C121" s="315">
        <f>IF(D121&lt;&gt;"","S"&amp;TEXT(WEEKNUM(D121,21),"00"),"")</f>
        <v/>
      </c>
      <c r="D121" s="744" t="n">
        <v>44636</v>
      </c>
      <c r="E121" s="350" t="n">
        <v>4725</v>
      </c>
      <c r="F121" s="350" t="inlineStr">
        <is>
          <t>B</t>
        </is>
      </c>
      <c r="G121" s="350" t="inlineStr">
        <is>
          <t>DGA</t>
        </is>
      </c>
      <c r="H121" s="350" t="n"/>
      <c r="I121" s="745" t="n">
        <v>17920</v>
      </c>
      <c r="J121" s="350" t="inlineStr">
        <is>
          <t>ABA</t>
        </is>
      </c>
      <c r="K121" s="350" t="inlineStr">
        <is>
          <t>GSE (HYKG)</t>
        </is>
      </c>
      <c r="L121" s="337" t="inlineStr">
        <is>
          <t>En Attente</t>
        </is>
      </c>
      <c r="M121" s="347" t="n"/>
      <c r="N121">
        <f>IF(Q121&lt;&gt;"","S"&amp;TEXT(WEEKNUM(Q121,21),"00"),"")</f>
        <v/>
      </c>
      <c r="O121">
        <f>IF(Data!$Q121="","",YEAR(Data!$Q121))</f>
        <v/>
      </c>
      <c r="P121">
        <f>IF(Data!$Q121="","",MONTH(Data!$Q121))</f>
        <v/>
      </c>
      <c r="V121" s="347" t="n"/>
      <c r="W121" s="163" t="n"/>
      <c r="X121">
        <f>IF(AC121&lt;&gt;"","S"&amp;TEXT(WEEKNUM(AC121,21),"00"),"")</f>
        <v/>
      </c>
      <c r="Y121">
        <f>IF(Data!$AC121="","",YEAR(Data!$AC121))</f>
        <v/>
      </c>
      <c r="Z121">
        <f>IF(Data!$AC121="","",MONTH(Data!$AC121))</f>
        <v/>
      </c>
      <c r="AA121" s="163" t="n"/>
      <c r="AD121" s="709" t="n"/>
      <c r="AE121" s="163" t="n"/>
      <c r="AF121" s="302" t="n"/>
      <c r="AH121" s="347" t="n"/>
      <c r="AI121" s="340" t="n">
        <v>1</v>
      </c>
      <c r="AJ121" s="340" t="inlineStr">
        <is>
          <t>DT0623K1D1B01A0 en remplacement D01258</t>
        </is>
      </c>
      <c r="AK121" s="347" t="n"/>
      <c r="AM121" s="347" t="n"/>
      <c r="AN121" s="350" t="n"/>
      <c r="AO121" s="347" t="n"/>
      <c r="AP121" s="340" t="inlineStr">
        <is>
          <t>L:\KL_CO\110_HYFR\AFFAIRES 2022\DGA\Devis n°4725 -  DT0623K1D1B01A0 en remplacement du D01258</t>
        </is>
      </c>
      <c r="AQ121" s="347" t="n"/>
      <c r="AR121" s="313" t="n"/>
      <c r="AS121" s="347" t="n"/>
      <c r="AT121" s="736" t="n"/>
      <c r="AU121" s="736" t="n"/>
      <c r="AV121" s="731">
        <f>IF(AT121="","",S121-AT121-AU121)</f>
        <v/>
      </c>
      <c r="AW121" s="331">
        <f>IFERROR(IF(tbl_DCFC[[#This Row],[F Montant HT]]="","",tbl_DCFC[[#This Row],[Marge]]/tbl_DCFC[[#This Row],[F Montant HT]]),"")</f>
        <v/>
      </c>
    </row>
    <row r="122" ht="15" customHeight="1" s="701">
      <c r="A122" s="744" t="n">
        <v>44642</v>
      </c>
      <c r="B122" s="347">
        <f>IFERROR(INDEX(Tabelle2[BU],MATCH(tbl_DCFC[[#This Row],[Categorie]],CAT,0)),"")</f>
        <v/>
      </c>
      <c r="C122" s="315">
        <f>IF(D122&lt;&gt;"","S"&amp;TEXT(WEEKNUM(D122,21),"00"),"")</f>
        <v/>
      </c>
      <c r="D122" s="744" t="n">
        <v>44642</v>
      </c>
      <c r="E122" s="350" t="n">
        <v>4744</v>
      </c>
      <c r="F122" s="350" t="inlineStr">
        <is>
          <t>C</t>
        </is>
      </c>
      <c r="G122" s="350" t="inlineStr">
        <is>
          <t>ASL AIRLINES</t>
        </is>
      </c>
      <c r="H122" s="350" t="n"/>
      <c r="I122" s="745" t="n">
        <v>707</v>
      </c>
      <c r="J122" s="350" t="inlineStr">
        <is>
          <t>ABA</t>
        </is>
      </c>
      <c r="K122" s="350" t="inlineStr">
        <is>
          <t>SERVICE OTHER AIA</t>
        </is>
      </c>
      <c r="L122" s="337" t="inlineStr">
        <is>
          <t>Accepté</t>
        </is>
      </c>
      <c r="M122" s="347" t="n"/>
      <c r="N122">
        <f>IF(Q122&lt;&gt;"","S"&amp;TEXT(WEEKNUM(Q122,21),"00"),"")</f>
        <v/>
      </c>
      <c r="O122">
        <f>IF(Data!$Q122="","",YEAR(Data!$Q122))</f>
        <v/>
      </c>
      <c r="P122">
        <f>IF(Data!$Q122="","",MONTH(Data!$Q122))</f>
        <v/>
      </c>
      <c r="Q122" s="163" t="n">
        <v>44630</v>
      </c>
      <c r="R122" t="inlineStr">
        <is>
          <t>2022-030</t>
        </is>
      </c>
      <c r="S122" s="709" t="n">
        <v>707</v>
      </c>
      <c r="V122" s="347" t="n"/>
      <c r="W122" s="163" t="n"/>
      <c r="X122">
        <f>IF(AC122&lt;&gt;"","S"&amp;TEXT(WEEKNUM(AC122,21),"00"),"")</f>
        <v/>
      </c>
      <c r="Y122">
        <f>IF(Data!$AC122="","",YEAR(Data!$AC122))</f>
        <v/>
      </c>
      <c r="Z122">
        <f>IF(Data!$AC122="","",MONTH(Data!$AC122))</f>
        <v/>
      </c>
      <c r="AA122" s="163" t="n"/>
      <c r="AD122" s="709" t="n"/>
      <c r="AE122" s="163" t="n"/>
      <c r="AF122" s="302" t="n"/>
      <c r="AH122" s="347" t="n"/>
      <c r="AI122" s="340" t="n">
        <v>1</v>
      </c>
      <c r="AJ122" s="340" t="inlineStr">
        <is>
          <t xml:space="preserve">Réparation et calibration circ in-house </t>
        </is>
      </c>
      <c r="AK122" s="347" t="n"/>
      <c r="AM122" s="347" t="n"/>
      <c r="AN122" s="350" t="n"/>
      <c r="AO122" s="347" t="n"/>
      <c r="AP122" s="340" t="inlineStr">
        <is>
          <t>L:\KL_CO\110_HYFR\AFFAIRES 2022\ASL AIRLINES\Devis n°4744 - Recertification et réparation crics</t>
        </is>
      </c>
      <c r="AQ122" s="347" t="n"/>
      <c r="AR122" s="313" t="n"/>
      <c r="AS122" s="347" t="n"/>
      <c r="AT122" s="736" t="n"/>
      <c r="AU122" s="736" t="n"/>
      <c r="AV122" s="731">
        <f>IF(AT122="","",S122-AT122-AU122)</f>
        <v/>
      </c>
      <c r="AW122" s="331">
        <f>IFERROR(IF(tbl_DCFC[[#This Row],[F Montant HT]]="","",tbl_DCFC[[#This Row],[Marge]]/tbl_DCFC[[#This Row],[F Montant HT]]),"")</f>
        <v/>
      </c>
    </row>
    <row r="123" ht="15" customHeight="1" s="701">
      <c r="A123" s="744" t="n">
        <v>44579</v>
      </c>
      <c r="B123" s="347">
        <f>IFERROR(INDEX(Tabelle2[BU],MATCH(tbl_DCFC[[#This Row],[Categorie]],CAT,0)),"")</f>
        <v/>
      </c>
      <c r="C123" s="315">
        <f>IF(D123&lt;&gt;"","S"&amp;TEXT(WEEKNUM(D123,21),"00"),"")</f>
        <v/>
      </c>
      <c r="D123" s="744" t="n">
        <v>44579</v>
      </c>
      <c r="E123" s="350" t="n">
        <v>4709</v>
      </c>
      <c r="F123" s="350" t="inlineStr">
        <is>
          <t>A</t>
        </is>
      </c>
      <c r="G123" s="350" t="inlineStr">
        <is>
          <t>AIA</t>
        </is>
      </c>
      <c r="H123" s="350" t="n"/>
      <c r="I123" s="745" t="n">
        <v>530</v>
      </c>
      <c r="J123" s="350" t="inlineStr">
        <is>
          <t>ABA</t>
        </is>
      </c>
      <c r="K123" s="350" t="inlineStr">
        <is>
          <t>SERVICE AIA</t>
        </is>
      </c>
      <c r="L123" s="337" t="inlineStr">
        <is>
          <t>Accepté</t>
        </is>
      </c>
      <c r="M123" s="347" t="n"/>
      <c r="N123">
        <f>IF(Q123&lt;&gt;"","S"&amp;TEXT(WEEKNUM(Q123,21),"00"),"")</f>
        <v/>
      </c>
      <c r="O123">
        <f>IF(Data!$Q123="","",YEAR(Data!$Q123))</f>
        <v/>
      </c>
      <c r="P123">
        <f>IF(Data!$Q123="","",MONTH(Data!$Q123))</f>
        <v/>
      </c>
      <c r="Q123" s="163" t="n">
        <v>44601</v>
      </c>
      <c r="R123" t="inlineStr">
        <is>
          <t>2022-016</t>
        </is>
      </c>
      <c r="S123" s="709" t="n">
        <v>530</v>
      </c>
      <c r="V123" s="347" t="n"/>
      <c r="W123" s="163" t="n"/>
      <c r="X123">
        <f>IF(AC123&lt;&gt;"","S"&amp;TEXT(WEEKNUM(AC123,21),"00"),"")</f>
        <v/>
      </c>
      <c r="Y123">
        <f>IF(Data!$AC123="","",YEAR(Data!$AC123))</f>
        <v/>
      </c>
      <c r="Z123">
        <f>IF(Data!$AC123="","",MONTH(Data!$AC123))</f>
        <v/>
      </c>
      <c r="AA123" s="163" t="n">
        <v>44644</v>
      </c>
      <c r="AB123" t="n">
        <v>5221</v>
      </c>
      <c r="AC123" s="163" t="n">
        <v>44645</v>
      </c>
      <c r="AD123" s="709" t="n">
        <v>530</v>
      </c>
      <c r="AE123" s="163" t="n"/>
      <c r="AF123" s="302" t="n"/>
      <c r="AH123" s="347" t="n"/>
      <c r="AI123" s="340" t="n">
        <v>1</v>
      </c>
      <c r="AJ123" s="340" t="inlineStr">
        <is>
          <t>Remise en service crics et vérins</t>
        </is>
      </c>
      <c r="AK123" s="347" t="n"/>
      <c r="AL123" t="inlineStr">
        <is>
          <t>Noria n°7 - Remise en service 2ème partie (moyen non réparable)</t>
        </is>
      </c>
      <c r="AM123" s="347" t="n"/>
      <c r="AN123" s="350" t="n"/>
      <c r="AO123" s="347" t="n"/>
      <c r="AP123" s="340" t="inlineStr">
        <is>
          <t>L:\KL_CO\110_HYFR\AFFAIRES 2022\AIA\Devis n°4709 - Maintenance Noria n°7</t>
        </is>
      </c>
      <c r="AQ123" s="347" t="n"/>
      <c r="AR123" s="313" t="n"/>
      <c r="AS123" s="347" t="n"/>
      <c r="AT123" s="736" t="n"/>
      <c r="AU123" s="736" t="n"/>
      <c r="AV123" s="731">
        <f>IF(AT123="","",S123-AT123-AU123)</f>
        <v/>
      </c>
      <c r="AW123" s="331">
        <f>IFERROR(IF(tbl_DCFC[[#This Row],[F Montant HT]]="","",tbl_DCFC[[#This Row],[Marge]]/tbl_DCFC[[#This Row],[F Montant HT]]),"")</f>
        <v/>
      </c>
    </row>
    <row r="124" ht="15" customHeight="1" s="701">
      <c r="A124" s="744" t="n">
        <v>44608</v>
      </c>
      <c r="B124" s="347">
        <f>IFERROR(INDEX(Tabelle2[BU],MATCH(tbl_DCFC[[#This Row],[Categorie]],CAT,0)),"")</f>
        <v/>
      </c>
      <c r="C124" s="315">
        <f>IF(D124&lt;&gt;"","S"&amp;TEXT(WEEKNUM(D124,21),"00"),"")</f>
        <v/>
      </c>
      <c r="D124" s="744" t="n">
        <v>44608</v>
      </c>
      <c r="E124" s="350" t="n">
        <v>4729</v>
      </c>
      <c r="F124" s="350" t="inlineStr">
        <is>
          <t>A</t>
        </is>
      </c>
      <c r="G124" s="350" t="inlineStr">
        <is>
          <t>AIA</t>
        </is>
      </c>
      <c r="H124" s="350" t="n"/>
      <c r="I124" s="745" t="n">
        <v>1590</v>
      </c>
      <c r="J124" s="350" t="n"/>
      <c r="K124" s="350" t="inlineStr">
        <is>
          <t>SERVICE AIA</t>
        </is>
      </c>
      <c r="L124" s="337" t="inlineStr">
        <is>
          <t>Accepté</t>
        </is>
      </c>
      <c r="M124" s="347" t="n"/>
      <c r="N124">
        <f>IF(Q124&lt;&gt;"","S"&amp;TEXT(WEEKNUM(Q124,21),"00"),"")</f>
        <v/>
      </c>
      <c r="O124">
        <f>IF(Data!$Q124="","",YEAR(Data!$Q124))</f>
        <v/>
      </c>
      <c r="P124">
        <f>IF(Data!$Q124="","",MONTH(Data!$Q124))</f>
        <v/>
      </c>
      <c r="Q124" s="163" t="n">
        <v>44627</v>
      </c>
      <c r="R124" t="inlineStr">
        <is>
          <t>2022-031</t>
        </is>
      </c>
      <c r="S124" s="709" t="n">
        <v>1590</v>
      </c>
      <c r="V124" s="347" t="n"/>
      <c r="W124" s="163" t="n">
        <v>44622</v>
      </c>
      <c r="X124">
        <f>IF(AC124&lt;&gt;"","S"&amp;TEXT(WEEKNUM(AC124,21),"00"),"")</f>
        <v/>
      </c>
      <c r="Y124">
        <f>IF(Data!$AC124="","",YEAR(Data!$AC124))</f>
        <v/>
      </c>
      <c r="Z124">
        <f>IF(Data!$AC124="","",MONTH(Data!$AC124))</f>
        <v/>
      </c>
      <c r="AA124" s="163" t="n">
        <v>44644</v>
      </c>
      <c r="AB124" t="n">
        <v>5222</v>
      </c>
      <c r="AC124" s="163" t="n">
        <v>44645</v>
      </c>
      <c r="AD124" s="709" t="n">
        <v>1590</v>
      </c>
      <c r="AE124" s="163" t="n"/>
      <c r="AF124" s="302" t="n"/>
      <c r="AH124" s="347" t="n"/>
      <c r="AI124" s="340" t="n">
        <v>3</v>
      </c>
      <c r="AJ124" s="340" t="inlineStr">
        <is>
          <t>Remise en service crics et vérins</t>
        </is>
      </c>
      <c r="AK124" s="347" t="n"/>
      <c r="AL124" t="inlineStr">
        <is>
          <t>Noria n°8 - Remise en service - Moyens non réparables</t>
        </is>
      </c>
      <c r="AM124" s="347" t="n"/>
      <c r="AN124" s="350" t="n"/>
      <c r="AO124" s="347" t="n"/>
      <c r="AP124" s="340" t="inlineStr">
        <is>
          <t>L:\KL_CO\110_HYFR\AFFAIRES 2022\AIA\Devis n°4729 - Maintenance Noria n°8</t>
        </is>
      </c>
      <c r="AQ124" s="347" t="n"/>
      <c r="AR124" s="313" t="n"/>
      <c r="AS124" s="347" t="n"/>
      <c r="AT124" s="736" t="n">
        <v>494.4</v>
      </c>
      <c r="AU124" s="736" t="n"/>
      <c r="AV124" s="731">
        <f>IF(AT124="","",S124-AT124-AU124)</f>
        <v/>
      </c>
      <c r="AW124" s="331">
        <f>IFERROR(IF(tbl_DCFC[[#This Row],[F Montant HT]]="","",tbl_DCFC[[#This Row],[Marge]]/tbl_DCFC[[#This Row],[F Montant HT]]),"")</f>
        <v/>
      </c>
    </row>
    <row r="125" ht="15" customHeight="1" s="701">
      <c r="A125" s="744" t="n">
        <v>44579</v>
      </c>
      <c r="B125" s="347">
        <f>IFERROR(INDEX(Tabelle2[BU],MATCH(tbl_DCFC[[#This Row],[Categorie]],CAT,0)),"")</f>
        <v/>
      </c>
      <c r="C125" s="315">
        <f>IF(D125&lt;&gt;"","S"&amp;TEXT(WEEKNUM(D125,21),"00"),"")</f>
        <v/>
      </c>
      <c r="D125" s="744" t="n">
        <v>44579</v>
      </c>
      <c r="E125" s="350" t="n">
        <v>4710</v>
      </c>
      <c r="F125" s="350" t="inlineStr">
        <is>
          <t>A</t>
        </is>
      </c>
      <c r="G125" s="350" t="inlineStr">
        <is>
          <t>AIA</t>
        </is>
      </c>
      <c r="H125" s="350" t="n"/>
      <c r="I125" s="745" t="n">
        <v>5950</v>
      </c>
      <c r="J125" s="350" t="inlineStr">
        <is>
          <t>ABA</t>
        </is>
      </c>
      <c r="K125" s="350" t="inlineStr">
        <is>
          <t>SERVICE AIA</t>
        </is>
      </c>
      <c r="L125" s="337" t="inlineStr">
        <is>
          <t>Accepté</t>
        </is>
      </c>
      <c r="M125" s="347" t="n"/>
      <c r="N125">
        <f>IF(Q125&lt;&gt;"","S"&amp;TEXT(WEEKNUM(Q125,21),"00"),"")</f>
        <v/>
      </c>
      <c r="O125">
        <f>IF(Data!$Q125="","",YEAR(Data!$Q125))</f>
        <v/>
      </c>
      <c r="P125">
        <f>IF(Data!$Q125="","",MONTH(Data!$Q125))</f>
        <v/>
      </c>
      <c r="Q125" s="163" t="n">
        <v>44621</v>
      </c>
      <c r="R125" t="inlineStr">
        <is>
          <t>2022-027</t>
        </is>
      </c>
      <c r="S125" s="709" t="n">
        <v>5950</v>
      </c>
      <c r="V125" s="347" t="n"/>
      <c r="W125" s="163" t="n"/>
      <c r="X125">
        <f>IF(AC125&lt;&gt;"","S"&amp;TEXT(WEEKNUM(AC125,21),"00"),"")</f>
        <v/>
      </c>
      <c r="Y125">
        <f>IF(Data!$AC125="","",YEAR(Data!$AC125))</f>
        <v/>
      </c>
      <c r="Z125">
        <f>IF(Data!$AC125="","",MONTH(Data!$AC125))</f>
        <v/>
      </c>
      <c r="AA125" s="163" t="n">
        <v>44657</v>
      </c>
      <c r="AB125" t="n">
        <v>5229</v>
      </c>
      <c r="AC125" s="163" t="n">
        <v>44657</v>
      </c>
      <c r="AD125" s="709" t="n">
        <v>5950</v>
      </c>
      <c r="AE125" s="163" t="n">
        <v>44677</v>
      </c>
      <c r="AF125" s="302" t="n"/>
      <c r="AH125" s="347" t="n"/>
      <c r="AI125" s="346" t="n">
        <v>4</v>
      </c>
      <c r="AJ125" s="340" t="inlineStr">
        <is>
          <t>Maintenance curative crics et vérins</t>
        </is>
      </c>
      <c r="AK125" s="347" t="n"/>
      <c r="AL125" t="inlineStr">
        <is>
          <t>Noria n° 7 - devis maintenance curative à remettre le 02/03/2022 - Envoyé le 23/02/2022</t>
        </is>
      </c>
      <c r="AM125" s="347" t="n"/>
      <c r="AN125" s="350" t="n"/>
      <c r="AO125" s="347" t="n"/>
      <c r="AP125" s="340" t="inlineStr">
        <is>
          <t>L:\KL_CO\110_HYFR\AFFAIRES 2022\AIA\Devis n°4710 - Curatif Noria n°7</t>
        </is>
      </c>
      <c r="AQ125" s="347" t="n"/>
      <c r="AR125" s="313" t="n"/>
      <c r="AS125" s="347" t="n"/>
      <c r="AT125" s="736" t="n">
        <v>674</v>
      </c>
      <c r="AU125" s="736" t="n"/>
      <c r="AV125" s="731">
        <f>IF(AT125="","",S125-AT125-AU125)</f>
        <v/>
      </c>
      <c r="AW125" s="331">
        <f>IFERROR(IF(tbl_DCFC[[#This Row],[F Montant HT]]="","",tbl_DCFC[[#This Row],[Marge]]/tbl_DCFC[[#This Row],[F Montant HT]]),"")</f>
        <v/>
      </c>
    </row>
    <row r="126" ht="15" customHeight="1" s="701">
      <c r="A126" s="744" t="n">
        <v>44649</v>
      </c>
      <c r="B126" s="347">
        <f>IFERROR(INDEX(Tabelle2[BU],MATCH(tbl_DCFC[[#This Row],[Categorie]],CAT,0)),"")</f>
        <v/>
      </c>
      <c r="C126" s="315">
        <f>IF(D126&lt;&gt;"","S"&amp;TEXT(WEEKNUM(D126,21),"00"),"")</f>
        <v/>
      </c>
      <c r="D126" s="744" t="n">
        <v>44649</v>
      </c>
      <c r="E126" s="350" t="n">
        <v>4764</v>
      </c>
      <c r="F126" s="350" t="inlineStr">
        <is>
          <t>A</t>
        </is>
      </c>
      <c r="G126" s="350" t="inlineStr">
        <is>
          <t>AIA</t>
        </is>
      </c>
      <c r="H126" s="350" t="n"/>
      <c r="I126" s="745" t="n">
        <v>3180</v>
      </c>
      <c r="J126" s="350" t="inlineStr">
        <is>
          <t>ABA</t>
        </is>
      </c>
      <c r="K126" s="350" t="inlineStr">
        <is>
          <t>SERVICE AIA</t>
        </is>
      </c>
      <c r="L126" s="337" t="inlineStr">
        <is>
          <t>Accepté</t>
        </is>
      </c>
      <c r="M126" s="347" t="n"/>
      <c r="N126">
        <f>IF(Q126&lt;&gt;"","S"&amp;TEXT(WEEKNUM(Q126,21),"00"),"")</f>
        <v/>
      </c>
      <c r="O126">
        <f>IF(Data!$Q126="","",YEAR(Data!$Q126))</f>
        <v/>
      </c>
      <c r="P126">
        <f>IF(Data!$Q126="","",MONTH(Data!$Q126))</f>
        <v/>
      </c>
      <c r="Q126" s="163" t="n">
        <v>44659</v>
      </c>
      <c r="R126" t="inlineStr">
        <is>
          <t>2022-047</t>
        </is>
      </c>
      <c r="S126" s="709" t="n">
        <v>3180</v>
      </c>
      <c r="V126" s="347" t="n"/>
      <c r="W126" s="163" t="n"/>
      <c r="X126">
        <f>IF(AC126&lt;&gt;"","S"&amp;TEXT(WEEKNUM(AC126,21),"00"),"")</f>
        <v/>
      </c>
      <c r="Y126">
        <f>IF(Data!$AC126="","",YEAR(Data!$AC126))</f>
        <v/>
      </c>
      <c r="Z126">
        <f>IF(Data!$AC126="","",MONTH(Data!$AC126))</f>
        <v/>
      </c>
      <c r="AA126" s="163" t="n"/>
      <c r="AD126" s="709" t="n"/>
      <c r="AE126" s="163" t="n">
        <v>44727</v>
      </c>
      <c r="AF126" s="302" t="n"/>
      <c r="AH126" s="347" t="n"/>
      <c r="AI126" s="340" t="n">
        <v>6</v>
      </c>
      <c r="AJ126" s="340" t="inlineStr">
        <is>
          <t>Remise en service crics et vérins</t>
        </is>
      </c>
      <c r="AK126" s="347" t="n"/>
      <c r="AL126" t="inlineStr">
        <is>
          <t>Noria n°10</t>
        </is>
      </c>
      <c r="AM126" s="347" t="n"/>
      <c r="AN126" s="350" t="n"/>
      <c r="AO126" s="347" t="n"/>
      <c r="AP126" s="340" t="inlineStr">
        <is>
          <t>L:\KL_CO\110_HYFR\AFFAIRES 2022\AIA\Devis n°4764 - Maintenance Noria n°10</t>
        </is>
      </c>
      <c r="AQ126" s="347" t="n"/>
      <c r="AR126" s="313" t="n"/>
      <c r="AS126" s="347" t="n"/>
      <c r="AT126" s="736" t="n"/>
      <c r="AU126" s="736" t="n"/>
      <c r="AV126" s="731">
        <f>IF(AT126="","",S126-AT126-AU126)</f>
        <v/>
      </c>
      <c r="AW126" s="331">
        <f>IFERROR(IF(tbl_DCFC[[#This Row],[F Montant HT]]="","",tbl_DCFC[[#This Row],[Marge]]/tbl_DCFC[[#This Row],[F Montant HT]]),"")</f>
        <v/>
      </c>
    </row>
    <row r="127" ht="15" customHeight="1" s="701">
      <c r="A127" s="744" t="n">
        <v>44649</v>
      </c>
      <c r="B127" s="347">
        <f>IFERROR(INDEX(Tabelle2[BU],MATCH(tbl_DCFC[[#This Row],[Categorie]],CAT,0)),"")</f>
        <v/>
      </c>
      <c r="C127" s="315">
        <f>IF(D127&lt;&gt;"","S"&amp;TEXT(WEEKNUM(D127,21),"00"),"")</f>
        <v/>
      </c>
      <c r="D127" s="744" t="n">
        <v>44649</v>
      </c>
      <c r="E127" s="350" t="n">
        <v>4765</v>
      </c>
      <c r="F127" s="350" t="inlineStr">
        <is>
          <t>A</t>
        </is>
      </c>
      <c r="G127" s="350" t="inlineStr">
        <is>
          <t>AIA</t>
        </is>
      </c>
      <c r="H127" s="350" t="n"/>
      <c r="I127" s="745" t="n"/>
      <c r="J127" s="350" t="inlineStr">
        <is>
          <t>ABA</t>
        </is>
      </c>
      <c r="K127" s="350" t="inlineStr">
        <is>
          <t>SERVICE AIA</t>
        </is>
      </c>
      <c r="L127" s="337" t="inlineStr">
        <is>
          <t>Opportunité</t>
        </is>
      </c>
      <c r="M127" s="347" t="n"/>
      <c r="N127">
        <f>IF(Q127&lt;&gt;"","S"&amp;TEXT(WEEKNUM(Q127,21),"00"),"")</f>
        <v/>
      </c>
      <c r="O127">
        <f>IF(Data!$Q127="","",YEAR(Data!$Q127))</f>
        <v/>
      </c>
      <c r="P127">
        <f>IF(Data!$Q127="","",MONTH(Data!$Q127))</f>
        <v/>
      </c>
      <c r="V127" s="347" t="n"/>
      <c r="W127" s="163" t="n"/>
      <c r="X127">
        <f>IF(AC127&lt;&gt;"","S"&amp;TEXT(WEEKNUM(AC127,21),"00"),"")</f>
        <v/>
      </c>
      <c r="Y127">
        <f>IF(Data!$AC127="","",YEAR(Data!$AC127))</f>
        <v/>
      </c>
      <c r="Z127">
        <f>IF(Data!$AC127="","",MONTH(Data!$AC127))</f>
        <v/>
      </c>
      <c r="AA127" s="163" t="n"/>
      <c r="AD127" s="709" t="n"/>
      <c r="AE127" s="163" t="n"/>
      <c r="AF127" s="302" t="n"/>
      <c r="AH127" s="347" t="n"/>
      <c r="AI127" s="340" t="n">
        <v>6</v>
      </c>
      <c r="AJ127" s="340" t="inlineStr">
        <is>
          <t>Maintenance curative crics et vérins</t>
        </is>
      </c>
      <c r="AK127" s="347" t="n"/>
      <c r="AL127" t="inlineStr">
        <is>
          <t>Noria n°10 - curatif à remettre le 29/04/22</t>
        </is>
      </c>
      <c r="AM127" s="347" t="n"/>
      <c r="AN127" s="350" t="n"/>
      <c r="AO127" s="347" t="n"/>
      <c r="AP127" s="340" t="inlineStr">
        <is>
          <t>L:\KL_CO\110_HYFR\AFFAIRES 2022\AIA\Devis n°4765 - Curatif Noria n°10</t>
        </is>
      </c>
      <c r="AQ127" s="347" t="n"/>
      <c r="AR127" s="313" t="n"/>
      <c r="AS127" s="347" t="n"/>
      <c r="AT127" s="736" t="n"/>
      <c r="AU127" s="736" t="n"/>
      <c r="AV127" s="731">
        <f>IF(AT127="","",S127-AT127-AU127)</f>
        <v/>
      </c>
      <c r="AW127" s="331">
        <f>IFERROR(IF(tbl_DCFC[[#This Row],[F Montant HT]]="","",tbl_DCFC[[#This Row],[Marge]]/tbl_DCFC[[#This Row],[F Montant HT]]),"")</f>
        <v/>
      </c>
    </row>
    <row r="128" ht="15" customHeight="1" s="701">
      <c r="A128" s="744" t="n">
        <v>44650</v>
      </c>
      <c r="B128" s="347">
        <f>IFERROR(INDEX(Tabelle2[BU],MATCH(tbl_DCFC[[#This Row],[Categorie]],CAT,0)),"")</f>
        <v/>
      </c>
      <c r="C128" s="315">
        <f>IF(D128&lt;&gt;"","S"&amp;TEXT(WEEKNUM(D128,21),"00"),"")</f>
        <v/>
      </c>
      <c r="D128" s="744" t="n">
        <v>44650</v>
      </c>
      <c r="E128" s="350" t="n"/>
      <c r="F128" s="350" t="n"/>
      <c r="G128" s="350" t="inlineStr">
        <is>
          <t>OPCO 2I</t>
        </is>
      </c>
      <c r="H128" s="350" t="n"/>
      <c r="I128" s="745" t="n"/>
      <c r="J128" s="350" t="inlineStr">
        <is>
          <t>NA</t>
        </is>
      </c>
      <c r="K128" s="350" t="n"/>
      <c r="L128" s="337" t="n"/>
      <c r="M128" s="347" t="n"/>
      <c r="N128">
        <f>IF(Q128&lt;&gt;"","S"&amp;TEXT(WEEKNUM(Q128,21),"00"),"")</f>
        <v/>
      </c>
      <c r="O128">
        <f>IF(Data!$Q128="","",YEAR(Data!$Q128))</f>
        <v/>
      </c>
      <c r="P128">
        <f>IF(Data!$Q128="","",MONTH(Data!$Q128))</f>
        <v/>
      </c>
      <c r="R128" t="inlineStr">
        <is>
          <t>2022-044</t>
        </is>
      </c>
      <c r="V128" s="347" t="n"/>
      <c r="W128" s="163" t="n"/>
      <c r="X128">
        <f>IF(AC128&lt;&gt;"","S"&amp;TEXT(WEEKNUM(AC128,21),"00"),"")</f>
        <v/>
      </c>
      <c r="Y128">
        <f>IF(Data!$AC128="","",YEAR(Data!$AC128))</f>
        <v/>
      </c>
      <c r="Z128">
        <f>IF(Data!$AC128="","",MONTH(Data!$AC128))</f>
        <v/>
      </c>
      <c r="AA128" s="163" t="n"/>
      <c r="AB128" t="n">
        <v>5226</v>
      </c>
      <c r="AC128" s="163" t="n">
        <v>44650</v>
      </c>
      <c r="AD128" s="709" t="n">
        <v>1380</v>
      </c>
      <c r="AE128" s="163" t="n"/>
      <c r="AF128" s="302" t="n"/>
      <c r="AH128" s="347" t="n"/>
      <c r="AI128" s="340" t="n">
        <v>1</v>
      </c>
      <c r="AJ128" s="340" t="inlineStr">
        <is>
          <t>Formation</t>
        </is>
      </c>
      <c r="AK128" s="347" t="n"/>
      <c r="AM128" s="347" t="n"/>
      <c r="AN128" s="350" t="n"/>
      <c r="AO128" s="347" t="n"/>
      <c r="AP128" s="340" t="n"/>
      <c r="AQ128" s="347" t="n"/>
      <c r="AR128" s="313" t="n"/>
      <c r="AS128" s="347" t="n"/>
      <c r="AT128" s="736" t="n"/>
      <c r="AU128" s="736" t="n"/>
      <c r="AV128" s="731">
        <f>IF(AT128="","",S128-AT128-AU128)</f>
        <v/>
      </c>
      <c r="AW128" s="331">
        <f>IFERROR(IF(tbl_DCFC[[#This Row],[F Montant HT]]="","",tbl_DCFC[[#This Row],[Marge]]/tbl_DCFC[[#This Row],[F Montant HT]]),"")</f>
        <v/>
      </c>
    </row>
    <row r="129" ht="15" customHeight="1" s="701">
      <c r="A129" s="744" t="n">
        <v>44650</v>
      </c>
      <c r="B129" s="347">
        <f>IFERROR(INDEX(Tabelle2[BU],MATCH(tbl_DCFC[[#This Row],[Categorie]],CAT,0)),"")</f>
        <v/>
      </c>
      <c r="C129" s="315">
        <f>IF(D129&lt;&gt;"","S"&amp;TEXT(WEEKNUM(D129,21),"00"),"")</f>
        <v/>
      </c>
      <c r="D129" s="744" t="n">
        <v>44650</v>
      </c>
      <c r="E129" s="350" t="n"/>
      <c r="F129" s="350" t="n"/>
      <c r="G129" s="350" t="inlineStr">
        <is>
          <t>OPCO 2I</t>
        </is>
      </c>
      <c r="H129" s="350" t="n"/>
      <c r="I129" s="745" t="n"/>
      <c r="J129" s="350" t="inlineStr">
        <is>
          <t>NA</t>
        </is>
      </c>
      <c r="K129" s="350" t="n"/>
      <c r="L129" s="337" t="n"/>
      <c r="M129" s="347" t="n"/>
      <c r="N129">
        <f>IF(Q129&lt;&gt;"","S"&amp;TEXT(WEEKNUM(Q129,21),"00"),"")</f>
        <v/>
      </c>
      <c r="O129">
        <f>IF(Data!$Q129="","",YEAR(Data!$Q129))</f>
        <v/>
      </c>
      <c r="P129">
        <f>IF(Data!$Q129="","",MONTH(Data!$Q129))</f>
        <v/>
      </c>
      <c r="R129" t="inlineStr">
        <is>
          <t>2022-043</t>
        </is>
      </c>
      <c r="V129" s="347" t="n"/>
      <c r="W129" s="163" t="n"/>
      <c r="X129">
        <f>IF(AC129&lt;&gt;"","S"&amp;TEXT(WEEKNUM(AC129,21),"00"),"")</f>
        <v/>
      </c>
      <c r="Y129">
        <f>IF(Data!$AC129="","",YEAR(Data!$AC129))</f>
        <v/>
      </c>
      <c r="Z129">
        <f>IF(Data!$AC129="","",MONTH(Data!$AC129))</f>
        <v/>
      </c>
      <c r="AA129" s="163" t="n"/>
      <c r="AB129" t="n">
        <v>5225</v>
      </c>
      <c r="AC129" s="163" t="n">
        <v>44650</v>
      </c>
      <c r="AD129" s="709" t="n">
        <v>1380</v>
      </c>
      <c r="AE129" s="163" t="n"/>
      <c r="AF129" s="302" t="n"/>
      <c r="AH129" s="347" t="n"/>
      <c r="AI129" s="340" t="n">
        <v>1</v>
      </c>
      <c r="AJ129" s="340" t="inlineStr">
        <is>
          <t>Formation</t>
        </is>
      </c>
      <c r="AK129" s="347" t="n"/>
      <c r="AM129" s="347" t="n"/>
      <c r="AN129" s="350" t="n"/>
      <c r="AO129" s="347" t="n"/>
      <c r="AP129" s="340" t="n"/>
      <c r="AQ129" s="347" t="n"/>
      <c r="AR129" s="313" t="n"/>
      <c r="AS129" s="347" t="n"/>
      <c r="AT129" s="736" t="n"/>
      <c r="AU129" s="736" t="n"/>
      <c r="AV129" s="731">
        <f>IF(AT129="","",S129-AT129-AU129)</f>
        <v/>
      </c>
      <c r="AW129" s="331">
        <f>IFERROR(IF(tbl_DCFC[[#This Row],[F Montant HT]]="","",tbl_DCFC[[#This Row],[Marge]]/tbl_DCFC[[#This Row],[F Montant HT]]),"")</f>
        <v/>
      </c>
    </row>
    <row r="130" ht="15" customHeight="1" s="701">
      <c r="A130" s="744" t="n">
        <v>44650</v>
      </c>
      <c r="B130" s="347">
        <f>IFERROR(INDEX(Tabelle2[BU],MATCH(tbl_DCFC[[#This Row],[Categorie]],CAT,0)),"")</f>
        <v/>
      </c>
      <c r="C130" s="315">
        <f>IF(D130&lt;&gt;"","S"&amp;TEXT(WEEKNUM(D130,21),"00"),"")</f>
        <v/>
      </c>
      <c r="D130" s="744" t="n">
        <v>44650</v>
      </c>
      <c r="E130" s="350" t="n"/>
      <c r="F130" s="350" t="n"/>
      <c r="G130" s="350" t="inlineStr">
        <is>
          <t>OPCO 2I</t>
        </is>
      </c>
      <c r="H130" s="350" t="n"/>
      <c r="I130" s="745" t="n"/>
      <c r="J130" s="350" t="inlineStr">
        <is>
          <t>NA</t>
        </is>
      </c>
      <c r="K130" s="350" t="n"/>
      <c r="L130" s="337" t="n"/>
      <c r="M130" s="347" t="n"/>
      <c r="N130">
        <f>IF(Q130&lt;&gt;"","S"&amp;TEXT(WEEKNUM(Q130,21),"00"),"")</f>
        <v/>
      </c>
      <c r="O130">
        <f>IF(Data!$Q130="","",YEAR(Data!$Q130))</f>
        <v/>
      </c>
      <c r="P130">
        <f>IF(Data!$Q130="","",MONTH(Data!$Q130))</f>
        <v/>
      </c>
      <c r="R130" t="inlineStr">
        <is>
          <t>2022-042</t>
        </is>
      </c>
      <c r="V130" s="347" t="n"/>
      <c r="W130" s="163" t="n"/>
      <c r="X130">
        <f>IF(AC130&lt;&gt;"","S"&amp;TEXT(WEEKNUM(AC130,21),"00"),"")</f>
        <v/>
      </c>
      <c r="Y130">
        <f>IF(Data!$AC130="","",YEAR(Data!$AC130))</f>
        <v/>
      </c>
      <c r="Z130">
        <f>IF(Data!$AC130="","",MONTH(Data!$AC130))</f>
        <v/>
      </c>
      <c r="AA130" s="163" t="n"/>
      <c r="AB130" t="n">
        <v>5224</v>
      </c>
      <c r="AC130" s="163" t="n">
        <v>44650</v>
      </c>
      <c r="AD130" s="709" t="n">
        <v>1380</v>
      </c>
      <c r="AE130" s="163" t="n"/>
      <c r="AF130" s="302" t="n"/>
      <c r="AH130" s="347" t="n"/>
      <c r="AI130" s="340" t="n">
        <v>1</v>
      </c>
      <c r="AJ130" s="340" t="inlineStr">
        <is>
          <t>Formation</t>
        </is>
      </c>
      <c r="AK130" s="347" t="n"/>
      <c r="AM130" s="347" t="n"/>
      <c r="AN130" s="350" t="n"/>
      <c r="AO130" s="347" t="n"/>
      <c r="AP130" s="340" t="n"/>
      <c r="AQ130" s="347" t="n"/>
      <c r="AR130" s="313" t="n"/>
      <c r="AS130" s="347" t="n"/>
      <c r="AT130" s="736" t="n"/>
      <c r="AU130" s="736" t="n"/>
      <c r="AV130" s="731">
        <f>IF(AT130="","",S130-AT130-AU130)</f>
        <v/>
      </c>
      <c r="AW130" s="331">
        <f>IFERROR(IF(tbl_DCFC[[#This Row],[F Montant HT]]="","",tbl_DCFC[[#This Row],[Marge]]/tbl_DCFC[[#This Row],[F Montant HT]]),"")</f>
        <v/>
      </c>
    </row>
    <row r="131" ht="15" customHeight="1" s="701">
      <c r="A131" s="744" t="n">
        <v>44655</v>
      </c>
      <c r="B131" s="347">
        <f>IFERROR(INDEX(Tabelle2[BU],MATCH(tbl_DCFC[[#This Row],[Categorie]],CAT,0)),"")</f>
        <v/>
      </c>
      <c r="C131" s="315">
        <f>IF(D131&lt;&gt;"","S"&amp;TEXT(WEEKNUM(D131,21),"00"),"")</f>
        <v/>
      </c>
      <c r="D131" s="744" t="n">
        <v>44655</v>
      </c>
      <c r="E131" s="350" t="n">
        <v>4690</v>
      </c>
      <c r="F131" s="350" t="inlineStr">
        <is>
          <t>B</t>
        </is>
      </c>
      <c r="G131" s="350" t="inlineStr">
        <is>
          <t>ADF</t>
        </is>
      </c>
      <c r="H131" s="350" t="n"/>
      <c r="I131" s="745" t="n">
        <v>9360</v>
      </c>
      <c r="J131" s="350" t="inlineStr">
        <is>
          <t>ABA</t>
        </is>
      </c>
      <c r="K131" s="350" t="inlineStr">
        <is>
          <t>SERVICE OTHER AIA</t>
        </is>
      </c>
      <c r="L131" s="337" t="inlineStr">
        <is>
          <t>Annulé</t>
        </is>
      </c>
      <c r="M131" s="347" t="n"/>
      <c r="N131">
        <f>IF(Q131&lt;&gt;"","S"&amp;TEXT(WEEKNUM(Q131,21),"00"),"")</f>
        <v/>
      </c>
      <c r="O131">
        <f>IF(Data!$Q131="","",YEAR(Data!$Q131))</f>
        <v/>
      </c>
      <c r="P131">
        <f>IF(Data!$Q131="","",MONTH(Data!$Q131))</f>
        <v/>
      </c>
      <c r="V131" s="347" t="n"/>
      <c r="W131" s="163" t="n"/>
      <c r="X131">
        <f>IF(AC131&lt;&gt;"","S"&amp;TEXT(WEEKNUM(AC131,21),"00"),"")</f>
        <v/>
      </c>
      <c r="Y131">
        <f>IF(Data!$AC131="","",YEAR(Data!$AC131))</f>
        <v/>
      </c>
      <c r="Z131">
        <f>IF(Data!$AC131="","",MONTH(Data!$AC131))</f>
        <v/>
      </c>
      <c r="AA131" s="163" t="n"/>
      <c r="AD131" s="709" t="n"/>
      <c r="AE131" s="163" t="n"/>
      <c r="AF131" s="302" t="n"/>
      <c r="AH131" s="347" t="n"/>
      <c r="AI131" s="340" t="n">
        <v>1</v>
      </c>
      <c r="AJ131" s="340" t="inlineStr">
        <is>
          <t>Changement joints pompes + VGP sur site client</t>
        </is>
      </c>
      <c r="AK131" s="347" t="n"/>
      <c r="AL131" t="inlineStr">
        <is>
          <t>Pré-paiement</t>
        </is>
      </c>
      <c r="AM131" s="347" t="n"/>
      <c r="AN131" s="350" t="n"/>
      <c r="AO131" s="347" t="n"/>
      <c r="AP131" s="340" t="inlineStr">
        <is>
          <t>L:\KL_CO\110_HYFR\AFFAIRES 2021\ADF\Devis n°4690A - Changement kit de joints pompe</t>
        </is>
      </c>
      <c r="AQ131" s="347" t="n"/>
      <c r="AR131" s="313" t="n"/>
      <c r="AS131" s="347" t="n"/>
      <c r="AT131" s="736" t="n"/>
      <c r="AU131" s="736" t="n"/>
      <c r="AV131" s="731">
        <f>IF(AT131="","",S131-AT131-AU131)</f>
        <v/>
      </c>
      <c r="AW131" s="331">
        <f>IFERROR(IF(tbl_DCFC[[#This Row],[F Montant HT]]="","",tbl_DCFC[[#This Row],[Marge]]/tbl_DCFC[[#This Row],[F Montant HT]]),"")</f>
        <v/>
      </c>
    </row>
    <row r="132" ht="15" customHeight="1" s="701">
      <c r="A132" s="744" t="n">
        <v>44609</v>
      </c>
      <c r="B132" s="347">
        <f>IFERROR(INDEX(Tabelle2[BU],MATCH(tbl_DCFC[[#This Row],[Categorie]],CAT,0)),"")</f>
        <v/>
      </c>
      <c r="C132" s="315">
        <f>IF(D132&lt;&gt;"","S"&amp;TEXT(WEEKNUM(D132,21),"00"),"")</f>
        <v/>
      </c>
      <c r="D132" s="744" t="n">
        <v>44609</v>
      </c>
      <c r="E132" s="350" t="n">
        <v>4734</v>
      </c>
      <c r="F132" s="350" t="inlineStr">
        <is>
          <t>A</t>
        </is>
      </c>
      <c r="G132" s="350" t="inlineStr">
        <is>
          <t>IGO</t>
        </is>
      </c>
      <c r="H132" s="350" t="n"/>
      <c r="I132" s="745" t="n">
        <v>385</v>
      </c>
      <c r="J132" s="350" t="inlineStr">
        <is>
          <t>ASI</t>
        </is>
      </c>
      <c r="K132" s="350" t="inlineStr">
        <is>
          <t>SERVICE OTHER AIA</t>
        </is>
      </c>
      <c r="L132" s="337" t="inlineStr">
        <is>
          <t>Accepté</t>
        </is>
      </c>
      <c r="M132" s="347" t="n"/>
      <c r="N132">
        <f>IF(Q132&lt;&gt;"","S"&amp;TEXT(WEEKNUM(Q132,21),"00"),"")</f>
        <v/>
      </c>
      <c r="O132">
        <f>IF(Data!$Q132="","",YEAR(Data!$Q132))</f>
        <v/>
      </c>
      <c r="P132">
        <f>IF(Data!$Q132="","",MONTH(Data!$Q132))</f>
        <v/>
      </c>
      <c r="Q132" s="163" t="n">
        <v>44656</v>
      </c>
      <c r="R132" t="inlineStr">
        <is>
          <t>2022-022</t>
        </is>
      </c>
      <c r="S132" s="709" t="n">
        <v>385</v>
      </c>
      <c r="V132" s="347" t="n"/>
      <c r="W132" s="163" t="n"/>
      <c r="X132">
        <f>IF(AC132&lt;&gt;"","S"&amp;TEXT(WEEKNUM(AC132,21),"00"),"")</f>
        <v/>
      </c>
      <c r="Y132">
        <f>IF(Data!$AC132="","",YEAR(Data!$AC132))</f>
        <v/>
      </c>
      <c r="Z132">
        <f>IF(Data!$AC132="","",MONTH(Data!$AC132))</f>
        <v/>
      </c>
      <c r="AA132" s="163" t="n">
        <v>44657</v>
      </c>
      <c r="AB132" t="n">
        <v>5232</v>
      </c>
      <c r="AC132" s="163" t="n">
        <v>44662</v>
      </c>
      <c r="AD132" s="709" t="n">
        <v>385</v>
      </c>
      <c r="AE132" s="163" t="n">
        <v>44659</v>
      </c>
      <c r="AF132" s="302" t="n"/>
      <c r="AH132" s="347" t="n"/>
      <c r="AI132" s="340" t="n">
        <v>1</v>
      </c>
      <c r="AJ132" s="340" t="inlineStr">
        <is>
          <t xml:space="preserve">Recertification palans in-house </t>
        </is>
      </c>
      <c r="AK132" s="347" t="n"/>
      <c r="AM132" s="347" t="n"/>
      <c r="AN132" s="350" t="n"/>
      <c r="AO132" s="347" t="n"/>
      <c r="AP132" s="340" t="inlineStr">
        <is>
          <t>L:\KL_CO\110_HYFR\AFFAIRES 2022\IGO\Devis n°4734 - Réparation crics et palans</t>
        </is>
      </c>
      <c r="AQ132" s="347" t="n"/>
      <c r="AR132" s="313" t="n"/>
      <c r="AS132" s="347" t="n"/>
      <c r="AT132" s="736" t="n">
        <v>72</v>
      </c>
      <c r="AU132" s="736" t="n">
        <v>35</v>
      </c>
      <c r="AV132" s="731">
        <f>IF(AT132="","",S132-AT132-AU132)</f>
        <v/>
      </c>
      <c r="AW132" s="331">
        <f>IFERROR(IF(tbl_DCFC[[#This Row],[F Montant HT]]="","",tbl_DCFC[[#This Row],[Marge]]/tbl_DCFC[[#This Row],[F Montant HT]]),"")</f>
        <v/>
      </c>
    </row>
    <row r="133" ht="15" customHeight="1" s="701">
      <c r="A133" s="744" t="n">
        <v>44656</v>
      </c>
      <c r="B133" s="347">
        <f>IFERROR(INDEX(Tabelle2[BU],MATCH(tbl_DCFC[[#This Row],[Categorie]],CAT,0)),"")</f>
        <v/>
      </c>
      <c r="C133" s="315">
        <f>IF(D133&lt;&gt;"","S"&amp;TEXT(WEEKNUM(D133,21),"00"),"")</f>
        <v/>
      </c>
      <c r="D133" s="744" t="n">
        <v>44656</v>
      </c>
      <c r="E133" s="350" t="n">
        <v>4690</v>
      </c>
      <c r="F133" s="350" t="inlineStr">
        <is>
          <t>C</t>
        </is>
      </c>
      <c r="G133" s="350" t="inlineStr">
        <is>
          <t>ADF</t>
        </is>
      </c>
      <c r="H133" s="350" t="n"/>
      <c r="I133" s="745" t="n">
        <v>9173</v>
      </c>
      <c r="J133" s="350" t="inlineStr">
        <is>
          <t>ABA</t>
        </is>
      </c>
      <c r="K133" s="350" t="inlineStr">
        <is>
          <t>SERVICE OTHER AIA</t>
        </is>
      </c>
      <c r="L133" s="337" t="inlineStr">
        <is>
          <t>Accepté</t>
        </is>
      </c>
      <c r="M133" s="347" t="n"/>
      <c r="N133">
        <f>IF(Q133&lt;&gt;"","S"&amp;TEXT(WEEKNUM(Q133,21),"00"),"")</f>
        <v/>
      </c>
      <c r="O133">
        <f>IF(Data!$Q133="","",YEAR(Data!$Q133))</f>
        <v/>
      </c>
      <c r="P133">
        <f>IF(Data!$Q133="","",MONTH(Data!$Q133))</f>
        <v/>
      </c>
      <c r="Q133" s="163" t="n">
        <v>44656</v>
      </c>
      <c r="R133" t="inlineStr">
        <is>
          <t>2022-046</t>
        </is>
      </c>
      <c r="S133" s="709" t="n">
        <v>9173</v>
      </c>
      <c r="V133" s="347" t="n"/>
      <c r="W133" s="163" t="n"/>
      <c r="X133">
        <f>IF(AC133&lt;&gt;"","S"&amp;TEXT(WEEKNUM(AC133,21),"00"),"")</f>
        <v/>
      </c>
      <c r="Y133">
        <f>IF(Data!$AC133="","",YEAR(Data!$AC133))</f>
        <v/>
      </c>
      <c r="Z133">
        <f>IF(Data!$AC133="","",MONTH(Data!$AC133))</f>
        <v/>
      </c>
      <c r="AA133" s="163" t="n"/>
      <c r="AB133" t="n">
        <v>5228</v>
      </c>
      <c r="AC133" s="163" t="n">
        <v>44657</v>
      </c>
      <c r="AD133" s="709" t="n">
        <v>9173</v>
      </c>
      <c r="AE133" s="163" t="n">
        <v>44722</v>
      </c>
      <c r="AF133" s="302" t="n"/>
      <c r="AH133" s="347" t="n"/>
      <c r="AI133" s="340" t="n">
        <v>1</v>
      </c>
      <c r="AJ133" s="340" t="inlineStr">
        <is>
          <t>Changement joints pompes + VGP sur site client</t>
        </is>
      </c>
      <c r="AK133" s="347" t="n"/>
      <c r="AL133" t="inlineStr">
        <is>
          <t>Attention Pré-paiement - pas d'appro sans réception du paiement client</t>
        </is>
      </c>
      <c r="AM133" s="347" t="n"/>
      <c r="AN133" s="350" t="n"/>
      <c r="AO133" s="347" t="n"/>
      <c r="AP133" s="340" t="inlineStr">
        <is>
          <t>L:\KL_CO\110_HYFR\AFFAIRES 2021\ADF\Devis n°4690A - Changement kit de joints pompe</t>
        </is>
      </c>
      <c r="AQ133" s="347" t="n"/>
      <c r="AR133" s="313" t="n"/>
      <c r="AS133" s="347" t="n"/>
      <c r="AT133" s="736" t="n"/>
      <c r="AU133" s="736" t="n"/>
      <c r="AV133" s="731">
        <f>IF(AT133="","",S133-AT133-AU133)</f>
        <v/>
      </c>
      <c r="AW133" s="331">
        <f>IFERROR(IF(tbl_DCFC[[#This Row],[F Montant HT]]="","",tbl_DCFC[[#This Row],[Marge]]/tbl_DCFC[[#This Row],[F Montant HT]]),"")</f>
        <v/>
      </c>
    </row>
    <row r="134" ht="15" customHeight="1" s="701">
      <c r="A134" s="744" t="inlineStr">
        <is>
          <t>31/03/2022</t>
        </is>
      </c>
      <c r="B134" s="347">
        <f>IFERROR(INDEX(Tabelle2[BU],MATCH(tbl_DCFC[[#This Row],[Categorie]],CAT,0)),"")</f>
        <v/>
      </c>
      <c r="C134" s="315">
        <f>IF(D134&lt;&gt;"","S"&amp;TEXT(WEEKNUM(D134,21),"00"),"")</f>
        <v/>
      </c>
      <c r="D134" s="744" t="inlineStr">
        <is>
          <t>31/03/2022</t>
        </is>
      </c>
      <c r="E134" s="350" t="n">
        <v>4709</v>
      </c>
      <c r="F134" s="350" t="inlineStr">
        <is>
          <t>D</t>
        </is>
      </c>
      <c r="G134" s="350" t="inlineStr">
        <is>
          <t>ROYAL AIR MAROC</t>
        </is>
      </c>
      <c r="H134" s="350" t="n"/>
      <c r="I134" s="745" t="n">
        <v>3180</v>
      </c>
      <c r="J134" s="350" t="n"/>
      <c r="K134" s="350" t="n"/>
      <c r="L134" s="337" t="inlineStr">
        <is>
          <t>Accepté</t>
        </is>
      </c>
      <c r="M134" s="347" t="inlineStr"/>
      <c r="N134">
        <f>IF(Q134&lt;&gt;"","S"&amp;TEXT(WEEKNUM(Q134,21),"00"),"")</f>
        <v/>
      </c>
      <c r="O134">
        <f>IF(Data!$Q134="","",YEAR(Data!$Q134))</f>
        <v/>
      </c>
      <c r="P134">
        <f>IF(Data!$Q134="","",MONTH(Data!$Q134))</f>
        <v/>
      </c>
      <c r="Q134" t="inlineStr">
        <is>
          <t>08/04/2022</t>
        </is>
      </c>
      <c r="R134" t="inlineStr">
        <is>
          <t>2022-047</t>
        </is>
      </c>
      <c r="S134" t="n">
        <v>5874</v>
      </c>
      <c r="T134" t="inlineStr"/>
      <c r="U134" t="inlineStr"/>
      <c r="V134" s="347" t="inlineStr"/>
      <c r="W134" s="163" t="inlineStr"/>
      <c r="X134">
        <f>IF(AC134&lt;&gt;"","S"&amp;TEXT(WEEKNUM(AC134,21),"00"),"")</f>
        <v/>
      </c>
      <c r="Y134">
        <f>IF(Data!$AC134="","",YEAR(Data!$AC134))</f>
        <v/>
      </c>
      <c r="Z134">
        <f>IF(Data!$AC134="","",MONTH(Data!$AC134))</f>
        <v/>
      </c>
      <c r="AA134" s="163" t="inlineStr">
        <is>
          <t>14/03/2022</t>
        </is>
      </c>
      <c r="AB134" t="inlineStr"/>
      <c r="AC134" t="inlineStr">
        <is>
          <t>23/03/2022</t>
        </is>
      </c>
      <c r="AD134" s="709" t="n"/>
      <c r="AE134" s="163" t="n"/>
      <c r="AF134" s="302" t="n"/>
      <c r="AH134" s="347" t="n"/>
      <c r="AI134" s="340" t="n"/>
      <c r="AJ134" s="340" t="n"/>
      <c r="AK134" s="347" t="n"/>
      <c r="AM134" s="347" t="n"/>
      <c r="AN134" s="350" t="n"/>
      <c r="AO134" s="347" t="n"/>
      <c r="AP134" s="340" t="n"/>
      <c r="AQ134" s="347" t="n"/>
      <c r="AR134" s="313" t="n"/>
      <c r="AS134" s="347" t="n"/>
      <c r="AT134" s="736" t="n"/>
      <c r="AU134" s="736" t="n"/>
      <c r="AV134" s="731" t="n"/>
      <c r="AW134" s="331" t="n"/>
    </row>
    <row r="135" ht="15" customHeight="1" s="701">
      <c r="A135" s="744" t="n"/>
      <c r="B135" s="347" t="n"/>
      <c r="C135" s="315" t="n"/>
      <c r="D135" s="744" t="n"/>
      <c r="E135" s="350" t="n"/>
      <c r="F135" s="350" t="n"/>
      <c r="G135" s="350" t="n"/>
      <c r="H135" s="350" t="n"/>
      <c r="I135" s="745" t="n"/>
      <c r="J135" s="350" t="n"/>
      <c r="K135" s="350" t="n"/>
      <c r="L135" s="337" t="n"/>
      <c r="M135" s="347" t="n"/>
      <c r="V135" s="347" t="n"/>
      <c r="W135" s="163" t="n"/>
      <c r="AA135" s="163" t="n"/>
      <c r="AD135" s="709" t="n"/>
      <c r="AE135" s="163" t="n"/>
      <c r="AF135" s="302" t="n"/>
      <c r="AH135" s="347" t="n"/>
      <c r="AI135" s="340" t="n"/>
      <c r="AJ135" s="340" t="n"/>
      <c r="AK135" s="347" t="n"/>
      <c r="AM135" s="347" t="n"/>
      <c r="AN135" s="350" t="n"/>
      <c r="AO135" s="347" t="n"/>
      <c r="AP135" s="340" t="n"/>
      <c r="AQ135" s="347" t="n"/>
      <c r="AR135" s="313" t="n"/>
      <c r="AS135" s="347" t="n"/>
      <c r="AT135" s="736" t="n"/>
      <c r="AU135" s="736" t="n"/>
      <c r="AV135" s="731" t="n"/>
      <c r="AW135" s="331" t="n"/>
    </row>
    <row r="136" ht="15" customHeight="1" s="701">
      <c r="A136" s="744" t="n"/>
      <c r="B136" s="347" t="n"/>
      <c r="C136" s="315" t="n"/>
      <c r="D136" s="744" t="n"/>
      <c r="E136" s="350" t="n"/>
      <c r="F136" s="350" t="n"/>
      <c r="G136" s="350" t="n"/>
      <c r="H136" s="350" t="n"/>
      <c r="I136" s="745" t="n"/>
      <c r="J136" s="350" t="n"/>
      <c r="K136" s="350" t="n"/>
      <c r="L136" s="337" t="n"/>
      <c r="M136" s="347" t="n"/>
      <c r="V136" s="347" t="n"/>
      <c r="W136" s="163" t="n"/>
      <c r="AA136" s="163" t="n"/>
      <c r="AD136" s="709" t="n"/>
      <c r="AE136" s="163" t="n"/>
      <c r="AF136" s="302" t="n"/>
      <c r="AH136" s="347" t="n"/>
      <c r="AI136" s="340" t="n"/>
      <c r="AJ136" s="340" t="n"/>
      <c r="AK136" s="347" t="n"/>
      <c r="AM136" s="347" t="n"/>
      <c r="AN136" s="350" t="n"/>
      <c r="AO136" s="347" t="n"/>
      <c r="AP136" s="340" t="n"/>
      <c r="AQ136" s="347" t="n"/>
      <c r="AR136" s="313" t="n"/>
      <c r="AS136" s="347" t="n"/>
      <c r="AT136" s="736" t="n"/>
      <c r="AU136" s="736" t="n"/>
      <c r="AV136" s="731" t="n"/>
      <c r="AW136" s="331" t="n"/>
    </row>
    <row r="137" ht="15" customHeight="1" s="701">
      <c r="A137" s="744" t="n"/>
      <c r="B137" s="347" t="n"/>
      <c r="C137" s="315" t="n"/>
      <c r="D137" s="744" t="n"/>
      <c r="E137" s="350" t="n"/>
      <c r="F137" s="350" t="n"/>
      <c r="G137" s="350" t="n"/>
      <c r="H137" s="350" t="n"/>
      <c r="I137" s="745" t="n"/>
      <c r="J137" s="350" t="n"/>
      <c r="K137" s="350" t="n"/>
      <c r="L137" s="337" t="n"/>
      <c r="M137" s="347" t="n"/>
      <c r="V137" s="347" t="n"/>
      <c r="W137" s="163" t="n"/>
      <c r="AA137" s="163" t="n"/>
      <c r="AD137" s="709" t="n"/>
      <c r="AE137" s="163" t="n"/>
      <c r="AF137" s="302" t="n"/>
      <c r="AH137" s="347" t="n"/>
      <c r="AI137" s="340" t="n"/>
      <c r="AJ137" s="340" t="n"/>
      <c r="AK137" s="347" t="n"/>
      <c r="AM137" s="347" t="n"/>
      <c r="AN137" s="350" t="n"/>
      <c r="AO137" s="347" t="n"/>
      <c r="AP137" s="340" t="n"/>
      <c r="AQ137" s="347" t="n"/>
      <c r="AR137" s="313" t="n"/>
      <c r="AS137" s="347" t="n"/>
      <c r="AT137" s="736" t="n"/>
      <c r="AU137" s="736" t="n"/>
      <c r="AV137" s="731">
        <f>IF(AT137="","",S137-AT137-AU137)</f>
        <v/>
      </c>
      <c r="AW137" s="331">
        <f>IFERROR(IF(tbl_DCFC[[#This Row],[F Montant HT]]="","",tbl_DCFC[[#This Row],[Marge]]/tbl_DCFC[[#This Row],[F Montant HT]]),"")</f>
        <v/>
      </c>
    </row>
    <row r="138" ht="15" customHeight="1" s="701">
      <c r="A138" s="744" t="n"/>
      <c r="B138" s="347" t="n"/>
      <c r="C138" s="315" t="n"/>
      <c r="D138" s="744" t="n"/>
      <c r="E138" s="350" t="n"/>
      <c r="F138" s="350" t="n"/>
      <c r="G138" s="350" t="n"/>
      <c r="H138" s="350" t="n"/>
      <c r="I138" s="745" t="n"/>
      <c r="J138" s="350" t="n"/>
      <c r="K138" s="350" t="n"/>
      <c r="L138" s="337" t="n"/>
      <c r="M138" s="347" t="n"/>
      <c r="V138" s="347" t="n"/>
      <c r="W138" s="163" t="n"/>
      <c r="AA138" s="163" t="n"/>
      <c r="AD138" s="709" t="n"/>
      <c r="AE138" s="163" t="n"/>
      <c r="AF138" s="302" t="n"/>
      <c r="AH138" s="347" t="n"/>
      <c r="AI138" s="340" t="n"/>
      <c r="AJ138" s="340" t="n"/>
      <c r="AK138" s="347" t="n"/>
      <c r="AM138" s="347" t="n"/>
      <c r="AN138" s="350" t="n"/>
      <c r="AO138" s="347" t="n"/>
      <c r="AP138" s="340" t="n"/>
      <c r="AQ138" s="347" t="n"/>
      <c r="AR138" s="313" t="n"/>
      <c r="AS138" s="347" t="n"/>
      <c r="AT138" s="736" t="n"/>
      <c r="AU138" s="736" t="n"/>
      <c r="AV138" s="731">
        <f>IF(AT138="","",S138-AT138-AU138)</f>
        <v/>
      </c>
      <c r="AW138" s="331">
        <f>IFERROR(IF(tbl_DCFC[[#This Row],[F Montant HT]]="","",tbl_DCFC[[#This Row],[Marge]]/tbl_DCFC[[#This Row],[F Montant HT]]),"")</f>
        <v/>
      </c>
    </row>
    <row r="139" ht="15" customHeight="1" s="701">
      <c r="A139" s="744" t="n"/>
      <c r="B139" s="347" t="n"/>
      <c r="C139" s="315" t="n"/>
      <c r="D139" s="744" t="n"/>
      <c r="E139" s="350" t="n"/>
      <c r="F139" s="350" t="n"/>
      <c r="G139" s="350" t="n"/>
      <c r="H139" s="350" t="n"/>
      <c r="I139" s="745" t="n"/>
      <c r="J139" s="350" t="n"/>
      <c r="K139" s="350" t="n"/>
      <c r="L139" s="337" t="n"/>
      <c r="M139" s="347" t="n"/>
      <c r="V139" s="347" t="n"/>
      <c r="W139" s="163" t="n"/>
      <c r="AA139" s="163" t="n"/>
      <c r="AD139" s="709" t="n"/>
      <c r="AE139" s="163" t="n"/>
      <c r="AF139" s="302" t="n"/>
      <c r="AH139" s="347" t="n"/>
      <c r="AI139" s="340" t="n"/>
      <c r="AJ139" s="340" t="n"/>
      <c r="AK139" s="347" t="n"/>
      <c r="AM139" s="347" t="n"/>
      <c r="AN139" s="350" t="n"/>
      <c r="AO139" s="347" t="n"/>
      <c r="AP139" s="340" t="n"/>
      <c r="AQ139" s="347" t="n"/>
      <c r="AR139" s="313" t="n"/>
      <c r="AS139" s="347" t="n"/>
      <c r="AT139" s="736" t="n"/>
      <c r="AU139" s="736" t="n"/>
      <c r="AV139" s="731">
        <f>IF(AT139="","",S139-AT139-AU139)</f>
        <v/>
      </c>
      <c r="AW139" s="331">
        <f>IFERROR(IF(tbl_DCFC[[#This Row],[F Montant HT]]="","",tbl_DCFC[[#This Row],[Marge]]/tbl_DCFC[[#This Row],[F Montant HT]]),"")</f>
        <v/>
      </c>
    </row>
    <row r="140" ht="15" customHeight="1" s="701">
      <c r="A140" s="744" t="n"/>
      <c r="B140" s="347" t="n"/>
      <c r="C140" s="315" t="n"/>
      <c r="D140" s="744" t="n"/>
      <c r="E140" s="350" t="n"/>
      <c r="F140" s="350" t="n"/>
      <c r="G140" s="350" t="n"/>
      <c r="H140" s="350" t="n"/>
      <c r="I140" s="745" t="n"/>
      <c r="J140" s="350" t="n"/>
      <c r="K140" s="350" t="n"/>
      <c r="L140" s="337" t="n"/>
      <c r="M140" s="347" t="n"/>
      <c r="V140" s="347" t="n"/>
      <c r="W140" s="163" t="n"/>
      <c r="AA140" s="163" t="n"/>
      <c r="AD140" s="709" t="n"/>
      <c r="AE140" s="163" t="n"/>
      <c r="AF140" s="302" t="n"/>
      <c r="AH140" s="347" t="n"/>
      <c r="AI140" s="340" t="n"/>
      <c r="AJ140" s="340" t="n"/>
      <c r="AK140" s="347" t="n"/>
      <c r="AM140" s="347" t="n"/>
      <c r="AN140" s="350" t="n"/>
      <c r="AO140" s="347" t="n"/>
      <c r="AP140" s="340" t="n"/>
      <c r="AQ140" s="347" t="n"/>
      <c r="AR140" s="313" t="n"/>
      <c r="AS140" s="347" t="n"/>
      <c r="AT140" s="736" t="n"/>
      <c r="AU140" s="736" t="n"/>
      <c r="AV140" s="731">
        <f>IF(AT140="","",S140-AT140-AU140)</f>
        <v/>
      </c>
      <c r="AW140" s="331">
        <f>IFERROR(IF(tbl_DCFC[[#This Row],[F Montant HT]]="","",tbl_DCFC[[#This Row],[Marge]]/tbl_DCFC[[#This Row],[F Montant HT]]),"")</f>
        <v/>
      </c>
    </row>
    <row r="141" ht="15" customHeight="1" s="701">
      <c r="A141" s="744" t="n"/>
      <c r="B141" s="347" t="n"/>
      <c r="C141" s="315" t="n"/>
      <c r="D141" s="744" t="n"/>
      <c r="E141" s="350" t="n"/>
      <c r="F141" s="350" t="n"/>
      <c r="G141" s="350" t="n"/>
      <c r="H141" s="350" t="n"/>
      <c r="I141" s="745" t="n"/>
      <c r="J141" s="350" t="n"/>
      <c r="K141" s="350" t="n"/>
      <c r="L141" s="337" t="n"/>
      <c r="M141" s="347" t="n"/>
      <c r="N141">
        <f>IF(Q141&lt;&gt;"","S"&amp;TEXT(WEEKNUM(Q141,21),"00"),"")</f>
        <v/>
      </c>
      <c r="O141">
        <f>IF(Data!$Q141="","",YEAR(Data!$Q141))</f>
        <v/>
      </c>
      <c r="P141">
        <f>IF(Data!$Q141="","",MONTH(Data!$Q141))</f>
        <v/>
      </c>
      <c r="V141" s="347" t="n"/>
      <c r="W141" s="163" t="n"/>
      <c r="AA141" s="163" t="n"/>
      <c r="AD141" s="709" t="n"/>
      <c r="AE141" s="163" t="n"/>
      <c r="AF141" s="302" t="n"/>
      <c r="AH141" s="347" t="n"/>
      <c r="AI141" s="340" t="n"/>
      <c r="AJ141" s="340" t="n"/>
      <c r="AK141" s="347" t="n"/>
      <c r="AM141" s="347" t="n"/>
      <c r="AN141" s="350" t="n"/>
      <c r="AO141" s="347" t="n"/>
      <c r="AP141" s="340" t="n"/>
      <c r="AQ141" s="347" t="n"/>
      <c r="AR141" s="313" t="n"/>
      <c r="AS141" s="347" t="n"/>
      <c r="AT141" s="736" t="n"/>
      <c r="AU141" s="736" t="n"/>
      <c r="AV141" s="731">
        <f>IF(AT141="","",S141-AT141-AU141)</f>
        <v/>
      </c>
      <c r="AW141" s="331">
        <f>IFERROR(IF(tbl_DCFC[[#This Row],[F Montant HT]]="","",tbl_DCFC[[#This Row],[Marge]]/tbl_DCFC[[#This Row],[F Montant HT]]),"")</f>
        <v/>
      </c>
    </row>
    <row r="142" ht="15" customHeight="1" s="701">
      <c r="A142" s="744" t="n"/>
      <c r="B142" s="347" t="n"/>
      <c r="C142" s="315" t="n"/>
      <c r="D142" s="744" t="n"/>
      <c r="E142" s="350" t="n"/>
      <c r="F142" s="350" t="n"/>
      <c r="G142" s="350" t="n"/>
      <c r="H142" s="350" t="n"/>
      <c r="I142" s="745" t="n"/>
      <c r="J142" s="350" t="n"/>
      <c r="K142" s="350" t="n"/>
      <c r="L142" s="337" t="n"/>
      <c r="M142" s="347" t="n"/>
      <c r="N142">
        <f>IF(Q142&lt;&gt;"","S"&amp;TEXT(WEEKNUM(Q142,21),"00"),"")</f>
        <v/>
      </c>
      <c r="O142">
        <f>IF(Data!$Q142="","",YEAR(Data!$Q142))</f>
        <v/>
      </c>
      <c r="P142">
        <f>IF(Data!$Q142="","",MONTH(Data!$Q142))</f>
        <v/>
      </c>
      <c r="V142" s="347" t="n"/>
      <c r="W142" s="163" t="n"/>
      <c r="X142">
        <f>IF(AC142&lt;&gt;"","S"&amp;TEXT(WEEKNUM(AC142,21),"00"),"")</f>
        <v/>
      </c>
      <c r="Y142">
        <f>IF(Data!$AC142="","",YEAR(Data!$AC142))</f>
        <v/>
      </c>
      <c r="Z142">
        <f>IF(Data!$AC142="","",MONTH(Data!$AC142))</f>
        <v/>
      </c>
      <c r="AA142" s="163" t="n"/>
      <c r="AD142" s="709" t="n"/>
      <c r="AE142" s="163" t="n"/>
      <c r="AF142" s="302" t="n"/>
      <c r="AH142" s="347" t="n"/>
      <c r="AI142" s="340" t="n"/>
      <c r="AJ142" s="340" t="n"/>
      <c r="AK142" s="347" t="n"/>
      <c r="AM142" s="347" t="n"/>
      <c r="AN142" s="350" t="n"/>
      <c r="AO142" s="347" t="n"/>
      <c r="AP142" s="340" t="n"/>
      <c r="AQ142" s="347" t="n"/>
      <c r="AR142" s="313" t="n"/>
      <c r="AS142" s="347" t="n"/>
      <c r="AT142" s="736" t="n"/>
      <c r="AU142" s="736" t="n"/>
      <c r="AV142" s="731">
        <f>IF(AT142="","",S142-AT142-AU142)</f>
        <v/>
      </c>
      <c r="AW142" s="331">
        <f>IFERROR(IF(tbl_DCFC[[#This Row],[F Montant HT]]="","",tbl_DCFC[[#This Row],[Marge]]/tbl_DCFC[[#This Row],[F Montant HT]]),"")</f>
        <v/>
      </c>
    </row>
    <row r="143" ht="15" customHeight="1" s="701">
      <c r="A143" s="744" t="n"/>
      <c r="B143" s="347" t="n"/>
      <c r="C143" s="315" t="n"/>
      <c r="D143" s="744" t="n"/>
      <c r="E143" s="350" t="n"/>
      <c r="F143" s="350" t="n"/>
      <c r="G143" s="350" t="n"/>
      <c r="H143" s="350" t="n"/>
      <c r="I143" s="745" t="n"/>
      <c r="J143" s="350" t="n"/>
      <c r="K143" s="350" t="n"/>
      <c r="L143" s="337" t="n"/>
      <c r="M143" s="347" t="n"/>
      <c r="N143">
        <f>IF(Q143&lt;&gt;"","S"&amp;TEXT(WEEKNUM(Q143,21),"00"),"")</f>
        <v/>
      </c>
      <c r="O143">
        <f>IF(Data!$Q143="","",YEAR(Data!$Q143))</f>
        <v/>
      </c>
      <c r="P143">
        <f>IF(Data!$Q143="","",MONTH(Data!$Q143))</f>
        <v/>
      </c>
      <c r="V143" s="347" t="n"/>
      <c r="W143" s="163" t="n"/>
      <c r="X143">
        <f>IF(AC143&lt;&gt;"","S"&amp;TEXT(WEEKNUM(AC143,21),"00"),"")</f>
        <v/>
      </c>
      <c r="Y143">
        <f>IF(Data!$AC143="","",YEAR(Data!$AC143))</f>
        <v/>
      </c>
      <c r="Z143">
        <f>IF(Data!$AC143="","",MONTH(Data!$AC143))</f>
        <v/>
      </c>
      <c r="AA143" s="163" t="n"/>
      <c r="AD143" s="709" t="n"/>
      <c r="AE143" s="163" t="n"/>
      <c r="AF143" s="302" t="n"/>
      <c r="AH143" s="347" t="n"/>
      <c r="AI143" s="340" t="n"/>
      <c r="AJ143" s="340" t="n"/>
      <c r="AK143" s="347" t="n"/>
      <c r="AM143" s="347" t="n"/>
      <c r="AN143" s="350" t="n"/>
      <c r="AO143" s="347" t="n"/>
      <c r="AP143" s="340" t="n"/>
      <c r="AQ143" s="347" t="n"/>
      <c r="AR143" s="313" t="n"/>
      <c r="AS143" s="347" t="n"/>
      <c r="AT143" s="736" t="n"/>
      <c r="AU143" s="736" t="n"/>
      <c r="AV143" s="731">
        <f>IF(AT143="","",S143-AT143-AU143)</f>
        <v/>
      </c>
      <c r="AW143" s="331">
        <f>IFERROR(IF(tbl_DCFC[[#This Row],[F Montant HT]]="","",tbl_DCFC[[#This Row],[Marge]]/tbl_DCFC[[#This Row],[F Montant HT]]),"")</f>
        <v/>
      </c>
    </row>
    <row r="144" ht="15" customHeight="1" s="701">
      <c r="A144" s="744" t="n"/>
      <c r="B144" s="347" t="n"/>
      <c r="C144" s="315" t="n"/>
      <c r="D144" s="744" t="n"/>
      <c r="E144" s="350" t="n"/>
      <c r="F144" s="350" t="n"/>
      <c r="G144" s="350" t="n"/>
      <c r="H144" s="350" t="n"/>
      <c r="I144" s="745" t="n"/>
      <c r="J144" s="350" t="n"/>
      <c r="K144" s="350" t="n"/>
      <c r="L144" s="337" t="n"/>
      <c r="M144" s="347" t="n"/>
      <c r="N144">
        <f>IF(Q144&lt;&gt;"","S"&amp;TEXT(WEEKNUM(Q144,21),"00"),"")</f>
        <v/>
      </c>
      <c r="O144">
        <f>IF(Data!$Q144="","",YEAR(Data!$Q144))</f>
        <v/>
      </c>
      <c r="P144">
        <f>IF(Data!$Q144="","",MONTH(Data!$Q144))</f>
        <v/>
      </c>
      <c r="V144" s="347" t="n"/>
      <c r="W144" s="163" t="n"/>
      <c r="X144">
        <f>IF(AC144&lt;&gt;"","S"&amp;TEXT(WEEKNUM(AC144,21),"00"),"")</f>
        <v/>
      </c>
      <c r="Y144">
        <f>IF(Data!$AC144="","",YEAR(Data!$AC144))</f>
        <v/>
      </c>
      <c r="Z144">
        <f>IF(Data!$AC144="","",MONTH(Data!$AC144))</f>
        <v/>
      </c>
      <c r="AA144" s="163" t="n"/>
      <c r="AD144" s="709" t="n"/>
      <c r="AE144" s="163" t="n"/>
      <c r="AF144" s="302" t="n"/>
      <c r="AH144" s="347" t="n"/>
      <c r="AI144" s="340" t="n"/>
      <c r="AJ144" s="340" t="n"/>
      <c r="AK144" s="347" t="n"/>
      <c r="AM144" s="347" t="n"/>
      <c r="AN144" s="350" t="n"/>
      <c r="AO144" s="347" t="n"/>
      <c r="AP144" s="340" t="n"/>
      <c r="AQ144" s="347" t="n"/>
      <c r="AR144" s="313" t="n"/>
      <c r="AS144" s="347" t="n"/>
      <c r="AT144" s="736" t="n"/>
      <c r="AU144" s="736" t="n"/>
      <c r="AV144" s="731">
        <f>IF(AT144="","",S144-AT144-AU144)</f>
        <v/>
      </c>
      <c r="AW144" s="331">
        <f>IFERROR(IF(tbl_DCFC[[#This Row],[F Montant HT]]="","",tbl_DCFC[[#This Row],[Marge]]/tbl_DCFC[[#This Row],[F Montant HT]]),"")</f>
        <v/>
      </c>
    </row>
    <row r="145" ht="15" customHeight="1" s="701">
      <c r="A145" s="744" t="n"/>
      <c r="B145" s="347" t="n"/>
      <c r="C145" s="315" t="n"/>
      <c r="D145" s="744" t="n"/>
      <c r="E145" s="350" t="n"/>
      <c r="F145" s="350" t="n"/>
      <c r="G145" s="350" t="n"/>
      <c r="H145" s="350" t="n"/>
      <c r="I145" s="745" t="n"/>
      <c r="J145" s="350" t="n"/>
      <c r="K145" s="350" t="n"/>
      <c r="L145" s="337" t="n"/>
      <c r="M145" s="347" t="n"/>
      <c r="N145">
        <f>IF(Q145&lt;&gt;"","S"&amp;TEXT(WEEKNUM(Q145,21),"00"),"")</f>
        <v/>
      </c>
      <c r="O145">
        <f>IF(Data!$Q145="","",YEAR(Data!$Q145))</f>
        <v/>
      </c>
      <c r="P145">
        <f>IF(Data!$Q145="","",MONTH(Data!$Q145))</f>
        <v/>
      </c>
      <c r="V145" s="347" t="n"/>
      <c r="W145" s="163" t="n"/>
      <c r="X145">
        <f>IF(AC145&lt;&gt;"","S"&amp;TEXT(WEEKNUM(AC145,21),"00"),"")</f>
        <v/>
      </c>
      <c r="Y145">
        <f>IF(Data!$AC145="","",YEAR(Data!$AC145))</f>
        <v/>
      </c>
      <c r="Z145">
        <f>IF(Data!$AC145="","",MONTH(Data!$AC145))</f>
        <v/>
      </c>
      <c r="AA145" s="163" t="n"/>
      <c r="AD145" s="709" t="n"/>
      <c r="AE145" s="163" t="n"/>
      <c r="AF145" s="302" t="n"/>
      <c r="AH145" s="347" t="n"/>
      <c r="AI145" s="340" t="n"/>
      <c r="AJ145" s="340" t="n"/>
      <c r="AK145" s="347" t="n"/>
      <c r="AM145" s="347" t="n"/>
      <c r="AN145" s="350" t="n"/>
      <c r="AO145" s="347" t="n"/>
      <c r="AP145" s="340" t="n"/>
      <c r="AQ145" s="347" t="n"/>
      <c r="AR145" s="313" t="n"/>
      <c r="AS145" s="347" t="n"/>
      <c r="AT145" s="736" t="n"/>
      <c r="AU145" s="736" t="n"/>
      <c r="AV145" s="731">
        <f>IF(AT145="","",S145-AT145-AU145)</f>
        <v/>
      </c>
      <c r="AW145" s="331">
        <f>IFERROR(IF(tbl_DCFC[[#This Row],[F Montant HT]]="","",tbl_DCFC[[#This Row],[Marge]]/tbl_DCFC[[#This Row],[F Montant HT]]),"")</f>
        <v/>
      </c>
    </row>
    <row r="146" ht="15" customHeight="1" s="701">
      <c r="A146" s="744" t="n"/>
      <c r="B146" s="347">
        <f>IFERROR(INDEX(Tabelle2[BU],MATCH(tbl_DCFC[[#This Row],[Categorie]],CAT,0)),"")</f>
        <v/>
      </c>
      <c r="C146" s="315">
        <f>IF(D146&lt;&gt;"","S"&amp;TEXT(WEEKNUM(D146,21),"00"),"")</f>
        <v/>
      </c>
      <c r="D146" s="744" t="n"/>
      <c r="E146" s="350" t="n"/>
      <c r="F146" s="350" t="n"/>
      <c r="G146" s="350" t="n"/>
      <c r="H146" s="350" t="n"/>
      <c r="I146" s="745" t="n"/>
      <c r="J146" s="350" t="n"/>
      <c r="K146" s="350" t="n"/>
      <c r="L146" s="337" t="n"/>
      <c r="M146" s="347" t="n"/>
      <c r="N146">
        <f>IF(Q146&lt;&gt;"","S"&amp;TEXT(WEEKNUM(Q146,21),"00"),"")</f>
        <v/>
      </c>
      <c r="O146">
        <f>IF(Data!$Q146="","",YEAR(Data!$Q146))</f>
        <v/>
      </c>
      <c r="P146">
        <f>IF(Data!$Q146="","",MONTH(Data!$Q146))</f>
        <v/>
      </c>
      <c r="V146" s="347" t="n"/>
      <c r="W146" s="163" t="n"/>
      <c r="X146">
        <f>IF(AC146&lt;&gt;"","S"&amp;TEXT(WEEKNUM(AC146,21),"00"),"")</f>
        <v/>
      </c>
      <c r="Y146">
        <f>IF(Data!$AC146="","",YEAR(Data!$AC146))</f>
        <v/>
      </c>
      <c r="Z146">
        <f>IF(Data!$AC146="","",MONTH(Data!$AC146))</f>
        <v/>
      </c>
      <c r="AA146" s="163" t="n"/>
      <c r="AD146" s="709" t="n"/>
      <c r="AE146" s="163" t="n"/>
      <c r="AF146" s="302" t="n"/>
      <c r="AH146" s="347" t="n"/>
      <c r="AI146" s="340" t="n"/>
      <c r="AJ146" s="340" t="n"/>
      <c r="AK146" s="347" t="n"/>
      <c r="AM146" s="347" t="n"/>
      <c r="AN146" s="350" t="n"/>
      <c r="AO146" s="347" t="n"/>
      <c r="AP146" s="340" t="n"/>
      <c r="AQ146" s="347" t="n"/>
      <c r="AR146" s="313" t="n"/>
      <c r="AS146" s="347" t="n"/>
      <c r="AT146" s="736" t="n"/>
      <c r="AU146" s="736" t="n"/>
      <c r="AV146" s="731">
        <f>IF(AT146="","",S146-AT146-AU146)</f>
        <v/>
      </c>
      <c r="AW146" s="331">
        <f>IFERROR(IF(tbl_DCFC[[#This Row],[F Montant HT]]="","",tbl_DCFC[[#This Row],[Marge]]/tbl_DCFC[[#This Row],[F Montant HT]]),"")</f>
        <v/>
      </c>
    </row>
    <row r="147" ht="15" customHeight="1" s="701">
      <c r="A147" s="744" t="n"/>
      <c r="B147" s="347">
        <f>IFERROR(INDEX(Tabelle2[BU],MATCH(tbl_DCFC[[#This Row],[Categorie]],CAT,0)),"")</f>
        <v/>
      </c>
      <c r="C147" s="315">
        <f>IF(D147&lt;&gt;"","S"&amp;TEXT(WEEKNUM(D147,21),"00"),"")</f>
        <v/>
      </c>
      <c r="D147" s="744" t="n"/>
      <c r="E147" s="350" t="n"/>
      <c r="F147" s="350" t="n"/>
      <c r="G147" s="350" t="n"/>
      <c r="H147" s="350" t="n"/>
      <c r="I147" s="745" t="n"/>
      <c r="J147" s="350" t="n"/>
      <c r="K147" s="350" t="n"/>
      <c r="L147" s="337" t="n"/>
      <c r="M147" s="347" t="n"/>
      <c r="N147">
        <f>IF(Q147&lt;&gt;"","S"&amp;TEXT(WEEKNUM(Q147,21),"00"),"")</f>
        <v/>
      </c>
      <c r="O147">
        <f>IF(Data!$Q147="","",YEAR(Data!$Q147))</f>
        <v/>
      </c>
      <c r="P147">
        <f>IF(Data!$Q147="","",MONTH(Data!$Q147))</f>
        <v/>
      </c>
      <c r="V147" s="347" t="n"/>
      <c r="W147" s="163" t="n"/>
      <c r="X147">
        <f>IF(AC147&lt;&gt;"","S"&amp;TEXT(WEEKNUM(AC147,21),"00"),"")</f>
        <v/>
      </c>
      <c r="Y147">
        <f>IF(Data!$AC147="","",YEAR(Data!$AC147))</f>
        <v/>
      </c>
      <c r="Z147">
        <f>IF(Data!$AC147="","",MONTH(Data!$AC147))</f>
        <v/>
      </c>
      <c r="AA147" s="163" t="n"/>
      <c r="AD147" s="709" t="n"/>
      <c r="AE147" s="163" t="n"/>
      <c r="AF147" s="302" t="n"/>
      <c r="AH147" s="347" t="n"/>
      <c r="AI147" s="340" t="n"/>
      <c r="AJ147" s="340" t="n"/>
      <c r="AK147" s="347" t="n"/>
      <c r="AM147" s="347" t="n"/>
      <c r="AN147" s="350" t="n"/>
      <c r="AO147" s="347" t="n"/>
      <c r="AP147" s="340" t="n"/>
      <c r="AQ147" s="347" t="n"/>
      <c r="AR147" s="313" t="n"/>
      <c r="AS147" s="347" t="n"/>
      <c r="AT147" s="736" t="n"/>
      <c r="AU147" s="736" t="n"/>
      <c r="AV147" s="731">
        <f>IF(AT147="","",S147-AT147-AU147)</f>
        <v/>
      </c>
      <c r="AW147" s="331">
        <f>IFERROR(IF(tbl_DCFC[[#This Row],[F Montant HT]]="","",tbl_DCFC[[#This Row],[Marge]]/tbl_DCFC[[#This Row],[F Montant HT]]),"")</f>
        <v/>
      </c>
    </row>
    <row r="148" ht="15" customHeight="1" s="701">
      <c r="A148" s="744" t="n"/>
      <c r="B148" s="347">
        <f>IFERROR(INDEX(Tabelle2[BU],MATCH(tbl_DCFC[[#This Row],[Categorie]],CAT,0)),"")</f>
        <v/>
      </c>
      <c r="C148" s="315">
        <f>IF(D148&lt;&gt;"","S"&amp;TEXT(WEEKNUM(D148,21),"00"),"")</f>
        <v/>
      </c>
      <c r="D148" s="744" t="n"/>
      <c r="E148" s="350" t="n"/>
      <c r="F148" s="350" t="n"/>
      <c r="G148" s="350" t="n"/>
      <c r="H148" s="350" t="n"/>
      <c r="I148" s="745" t="n"/>
      <c r="J148" s="350" t="n"/>
      <c r="K148" s="350" t="n"/>
      <c r="L148" s="337" t="n"/>
      <c r="M148" s="347" t="n"/>
      <c r="N148">
        <f>IF(Q148&lt;&gt;"","S"&amp;TEXT(WEEKNUM(Q148,21),"00"),"")</f>
        <v/>
      </c>
      <c r="O148">
        <f>IF(Data!$Q148="","",YEAR(Data!$Q148))</f>
        <v/>
      </c>
      <c r="P148">
        <f>IF(Data!$Q148="","",MONTH(Data!$Q148))</f>
        <v/>
      </c>
      <c r="V148" s="347" t="n"/>
      <c r="W148" s="163" t="n"/>
      <c r="X148">
        <f>IF(AC148&lt;&gt;"","S"&amp;TEXT(WEEKNUM(AC148,21),"00"),"")</f>
        <v/>
      </c>
      <c r="Y148">
        <f>IF(Data!$AC148="","",YEAR(Data!$AC148))</f>
        <v/>
      </c>
      <c r="Z148">
        <f>IF(Data!$AC148="","",MONTH(Data!$AC148))</f>
        <v/>
      </c>
      <c r="AA148" s="163" t="n"/>
      <c r="AD148" s="709" t="n"/>
      <c r="AE148" s="163" t="n"/>
      <c r="AF148" s="302" t="n"/>
      <c r="AH148" s="347" t="n"/>
      <c r="AI148" s="340" t="n"/>
      <c r="AJ148" s="340" t="n"/>
      <c r="AK148" s="347" t="n"/>
      <c r="AM148" s="347" t="n"/>
      <c r="AN148" s="350" t="n"/>
      <c r="AO148" s="347" t="n"/>
      <c r="AP148" s="340" t="n"/>
      <c r="AQ148" s="347" t="n"/>
      <c r="AR148" s="313" t="n"/>
      <c r="AS148" s="347" t="n"/>
      <c r="AT148" s="736" t="n"/>
      <c r="AU148" s="736" t="n"/>
      <c r="AV148" s="731">
        <f>IF(AT148="","",S148-AT148-AU148)</f>
        <v/>
      </c>
      <c r="AW148" s="331">
        <f>IFERROR(IF(tbl_DCFC[[#This Row],[F Montant HT]]="","",tbl_DCFC[[#This Row],[Marge]]/tbl_DCFC[[#This Row],[F Montant HT]]),"")</f>
        <v/>
      </c>
    </row>
    <row r="149" ht="15" customHeight="1" s="701">
      <c r="A149" s="744" t="n"/>
      <c r="B149" s="347">
        <f>IFERROR(INDEX(Tabelle2[BU],MATCH(tbl_DCFC[[#This Row],[Categorie]],CAT,0)),"")</f>
        <v/>
      </c>
      <c r="C149" s="315">
        <f>IF(D149&lt;&gt;"","S"&amp;TEXT(WEEKNUM(D149,21),"00"),"")</f>
        <v/>
      </c>
      <c r="D149" s="744" t="n"/>
      <c r="E149" s="350" t="n"/>
      <c r="F149" s="350" t="n"/>
      <c r="G149" s="350" t="n"/>
      <c r="H149" s="350" t="n"/>
      <c r="I149" s="745" t="n"/>
      <c r="J149" s="350" t="n"/>
      <c r="K149" s="350" t="n"/>
      <c r="L149" s="337" t="n"/>
      <c r="M149" s="347" t="n"/>
      <c r="N149">
        <f>IF(Q149&lt;&gt;"","S"&amp;TEXT(WEEKNUM(Q149,21),"00"),"")</f>
        <v/>
      </c>
      <c r="O149">
        <f>IF(Data!$Q149="","",YEAR(Data!$Q149))</f>
        <v/>
      </c>
      <c r="P149">
        <f>IF(Data!$Q149="","",MONTH(Data!$Q149))</f>
        <v/>
      </c>
      <c r="V149" s="347" t="n"/>
      <c r="W149" s="163" t="n"/>
      <c r="X149">
        <f>IF(AC149&lt;&gt;"","S"&amp;TEXT(WEEKNUM(AC149,21),"00"),"")</f>
        <v/>
      </c>
      <c r="Y149">
        <f>IF(Data!$AC149="","",YEAR(Data!$AC149))</f>
        <v/>
      </c>
      <c r="Z149">
        <f>IF(Data!$AC149="","",MONTH(Data!$AC149))</f>
        <v/>
      </c>
      <c r="AA149" s="163" t="n"/>
      <c r="AD149" s="709" t="n"/>
      <c r="AE149" s="163" t="n"/>
      <c r="AF149" s="302" t="n"/>
      <c r="AH149" s="347" t="n"/>
      <c r="AI149" s="340" t="n"/>
      <c r="AJ149" s="340" t="n"/>
      <c r="AK149" s="347" t="n"/>
      <c r="AM149" s="347" t="n"/>
      <c r="AN149" s="350" t="n"/>
      <c r="AO149" s="347" t="n"/>
      <c r="AP149" s="340" t="n"/>
      <c r="AQ149" s="347" t="n"/>
      <c r="AR149" s="313" t="n"/>
      <c r="AS149" s="347" t="n"/>
      <c r="AT149" s="736" t="n"/>
      <c r="AU149" s="736" t="n"/>
      <c r="AV149" s="731">
        <f>IF(AT149="","",S149-AT149-AU149)</f>
        <v/>
      </c>
      <c r="AW149" s="331">
        <f>IFERROR(IF(tbl_DCFC[[#This Row],[F Montant HT]]="","",tbl_DCFC[[#This Row],[Marge]]/tbl_DCFC[[#This Row],[F Montant HT]]),"")</f>
        <v/>
      </c>
    </row>
    <row r="150" ht="15" customHeight="1" s="701">
      <c r="A150" s="744" t="n"/>
      <c r="B150" s="347">
        <f>IFERROR(INDEX(Tabelle2[BU],MATCH(tbl_DCFC[[#This Row],[Categorie]],CAT,0)),"")</f>
        <v/>
      </c>
      <c r="C150" s="315">
        <f>IF(D150&lt;&gt;"","S"&amp;TEXT(WEEKNUM(D150,21),"00"),"")</f>
        <v/>
      </c>
      <c r="D150" s="744" t="n"/>
      <c r="E150" s="350" t="n"/>
      <c r="F150" s="350" t="n"/>
      <c r="G150" s="350" t="n"/>
      <c r="H150" s="350" t="n"/>
      <c r="I150" s="745" t="n"/>
      <c r="J150" s="350" t="n"/>
      <c r="K150" s="350" t="n"/>
      <c r="L150" s="337" t="n"/>
      <c r="M150" s="347" t="n"/>
      <c r="N150">
        <f>IF(Q150&lt;&gt;"","S"&amp;TEXT(WEEKNUM(Q150,21),"00"),"")</f>
        <v/>
      </c>
      <c r="O150">
        <f>IF(Data!$Q150="","",YEAR(Data!$Q150))</f>
        <v/>
      </c>
      <c r="P150">
        <f>IF(Data!$Q150="","",MONTH(Data!$Q150))</f>
        <v/>
      </c>
      <c r="V150" s="347" t="n"/>
      <c r="W150" s="163" t="n"/>
      <c r="X150">
        <f>IF(AC150&lt;&gt;"","S"&amp;TEXT(WEEKNUM(AC150,21),"00"),"")</f>
        <v/>
      </c>
      <c r="Y150">
        <f>IF(Data!$AC150="","",YEAR(Data!$AC150))</f>
        <v/>
      </c>
      <c r="Z150">
        <f>IF(Data!$AC150="","",MONTH(Data!$AC150))</f>
        <v/>
      </c>
      <c r="AA150" s="163" t="n"/>
      <c r="AD150" s="709" t="n"/>
      <c r="AE150" s="163" t="n"/>
      <c r="AF150" s="302" t="n"/>
      <c r="AH150" s="347" t="n"/>
      <c r="AI150" s="340" t="n"/>
      <c r="AJ150" s="340" t="n"/>
      <c r="AK150" s="347" t="n"/>
      <c r="AM150" s="347" t="n"/>
      <c r="AN150" s="350" t="n"/>
      <c r="AO150" s="347" t="n"/>
      <c r="AP150" s="340" t="n"/>
      <c r="AQ150" s="347" t="n"/>
      <c r="AR150" s="313" t="n"/>
      <c r="AS150" s="347" t="n"/>
      <c r="AT150" s="736" t="n"/>
      <c r="AU150" s="736" t="n"/>
      <c r="AV150" s="731">
        <f>IF(AT150="","",S150-AT150-AU150)</f>
        <v/>
      </c>
      <c r="AW150" s="331">
        <f>IFERROR(IF(tbl_DCFC[[#This Row],[F Montant HT]]="","",tbl_DCFC[[#This Row],[Marge]]/tbl_DCFC[[#This Row],[F Montant HT]]),"")</f>
        <v/>
      </c>
    </row>
    <row r="151" ht="15" customHeight="1" s="701">
      <c r="A151" s="744" t="n"/>
      <c r="B151" s="347">
        <f>IFERROR(INDEX(Tabelle2[BU],MATCH(tbl_DCFC[[#This Row],[Categorie]],CAT,0)),"")</f>
        <v/>
      </c>
      <c r="C151" s="315">
        <f>IF(D151&lt;&gt;"","S"&amp;TEXT(WEEKNUM(D151,21),"00"),"")</f>
        <v/>
      </c>
      <c r="D151" s="744" t="n"/>
      <c r="E151" s="350" t="n"/>
      <c r="F151" s="350" t="n"/>
      <c r="G151" s="350" t="n"/>
      <c r="H151" s="350" t="n"/>
      <c r="I151" s="745" t="n"/>
      <c r="J151" s="350" t="n"/>
      <c r="K151" s="350" t="n"/>
      <c r="L151" s="337" t="n"/>
      <c r="M151" s="347" t="n"/>
      <c r="N151">
        <f>IF(Q151&lt;&gt;"","S"&amp;TEXT(WEEKNUM(Q151,21),"00"),"")</f>
        <v/>
      </c>
      <c r="O151">
        <f>IF(Data!$Q151="","",YEAR(Data!$Q151))</f>
        <v/>
      </c>
      <c r="P151">
        <f>IF(Data!$Q151="","",MONTH(Data!$Q151))</f>
        <v/>
      </c>
      <c r="V151" s="347" t="n"/>
      <c r="W151" s="163" t="n"/>
      <c r="X151">
        <f>IF(AC151&lt;&gt;"","S"&amp;TEXT(WEEKNUM(AC151,21),"00"),"")</f>
        <v/>
      </c>
      <c r="Y151">
        <f>IF(Data!$AC151="","",YEAR(Data!$AC151))</f>
        <v/>
      </c>
      <c r="Z151">
        <f>IF(Data!$AC151="","",MONTH(Data!$AC151))</f>
        <v/>
      </c>
      <c r="AA151" s="163" t="n"/>
      <c r="AD151" s="709" t="n"/>
      <c r="AE151" s="163" t="n"/>
      <c r="AF151" s="302" t="n"/>
      <c r="AH151" s="347" t="n"/>
      <c r="AI151" s="340" t="n"/>
      <c r="AJ151" s="340" t="n"/>
      <c r="AK151" s="347" t="n"/>
      <c r="AM151" s="347" t="n"/>
      <c r="AN151" s="350" t="n"/>
      <c r="AO151" s="347" t="n"/>
      <c r="AP151" s="340" t="n"/>
      <c r="AQ151" s="347" t="n"/>
      <c r="AR151" s="313" t="n"/>
      <c r="AS151" s="347" t="n"/>
      <c r="AT151" s="736" t="n"/>
      <c r="AU151" s="736" t="n"/>
      <c r="AV151" s="731">
        <f>IF(AT151="","",S151-AT151-AU151)</f>
        <v/>
      </c>
      <c r="AW151" s="331">
        <f>IFERROR(IF(tbl_DCFC[[#This Row],[F Montant HT]]="","",tbl_DCFC[[#This Row],[Marge]]/tbl_DCFC[[#This Row],[F Montant HT]]),"")</f>
        <v/>
      </c>
    </row>
    <row r="152" ht="15" customHeight="1" s="701">
      <c r="A152" s="744" t="n"/>
      <c r="B152" s="347">
        <f>IFERROR(INDEX(Tabelle2[BU],MATCH(tbl_DCFC[[#This Row],[Categorie]],CAT,0)),"")</f>
        <v/>
      </c>
      <c r="C152" s="315">
        <f>IF(D152&lt;&gt;"","S"&amp;TEXT(WEEKNUM(D152,21),"00"),"")</f>
        <v/>
      </c>
      <c r="D152" s="744" t="n"/>
      <c r="E152" s="350" t="n"/>
      <c r="F152" s="350" t="n"/>
      <c r="G152" s="350" t="n"/>
      <c r="H152" s="350" t="n"/>
      <c r="I152" s="745" t="n"/>
      <c r="J152" s="350" t="n"/>
      <c r="K152" s="350" t="n"/>
      <c r="L152" s="337" t="n"/>
      <c r="M152" s="347" t="n"/>
      <c r="N152">
        <f>IF(Q152&lt;&gt;"","S"&amp;TEXT(WEEKNUM(Q152,21),"00"),"")</f>
        <v/>
      </c>
      <c r="O152">
        <f>IF(Data!$Q152="","",YEAR(Data!$Q152))</f>
        <v/>
      </c>
      <c r="P152">
        <f>IF(Data!$Q152="","",MONTH(Data!$Q152))</f>
        <v/>
      </c>
      <c r="V152" s="347" t="n"/>
      <c r="W152" s="163" t="n"/>
      <c r="X152">
        <f>IF(AC152&lt;&gt;"","S"&amp;TEXT(WEEKNUM(AC152,21),"00"),"")</f>
        <v/>
      </c>
      <c r="Y152">
        <f>IF(Data!$AC152="","",YEAR(Data!$AC152))</f>
        <v/>
      </c>
      <c r="Z152">
        <f>IF(Data!$AC152="","",MONTH(Data!$AC152))</f>
        <v/>
      </c>
      <c r="AA152" s="163" t="n"/>
      <c r="AD152" s="709" t="n"/>
      <c r="AE152" s="163" t="n"/>
      <c r="AF152" s="302" t="n"/>
      <c r="AH152" s="347" t="n"/>
      <c r="AI152" s="340" t="n"/>
      <c r="AJ152" s="340" t="n"/>
      <c r="AK152" s="347" t="n"/>
      <c r="AM152" s="347" t="n"/>
      <c r="AN152" s="350" t="n"/>
      <c r="AO152" s="347" t="n"/>
      <c r="AP152" s="340" t="n"/>
      <c r="AQ152" s="347" t="n"/>
      <c r="AR152" s="313" t="n"/>
      <c r="AS152" s="347" t="n"/>
      <c r="AT152" s="736" t="n"/>
      <c r="AU152" s="736" t="n"/>
      <c r="AV152" s="731">
        <f>IF(AT152="","",S152-AT152-AU152)</f>
        <v/>
      </c>
      <c r="AW152" s="331">
        <f>IFERROR(IF(tbl_DCFC[[#This Row],[F Montant HT]]="","",tbl_DCFC[[#This Row],[Marge]]/tbl_DCFC[[#This Row],[F Montant HT]]),"")</f>
        <v/>
      </c>
    </row>
    <row r="153" ht="15" customHeight="1" s="701">
      <c r="A153" s="744" t="n"/>
      <c r="B153" s="347">
        <f>IFERROR(INDEX(Tabelle2[BU],MATCH(tbl_DCFC[[#This Row],[Categorie]],CAT,0)),"")</f>
        <v/>
      </c>
      <c r="C153" s="315">
        <f>IF(D153&lt;&gt;"","S"&amp;TEXT(WEEKNUM(D153,21),"00"),"")</f>
        <v/>
      </c>
      <c r="D153" s="744" t="n"/>
      <c r="E153" s="350" t="n"/>
      <c r="F153" s="350" t="n"/>
      <c r="G153" s="350" t="n"/>
      <c r="H153" s="350" t="n"/>
      <c r="I153" s="745" t="n"/>
      <c r="J153" s="350" t="n"/>
      <c r="K153" s="350" t="n"/>
      <c r="L153" s="337" t="n"/>
      <c r="M153" s="347" t="n"/>
      <c r="N153">
        <f>IF(Q153&lt;&gt;"","S"&amp;TEXT(WEEKNUM(Q153,21),"00"),"")</f>
        <v/>
      </c>
      <c r="O153">
        <f>IF(Data!$Q153="","",YEAR(Data!$Q153))</f>
        <v/>
      </c>
      <c r="P153">
        <f>IF(Data!$Q153="","",MONTH(Data!$Q153))</f>
        <v/>
      </c>
      <c r="V153" s="347" t="n"/>
      <c r="W153" s="163" t="n"/>
      <c r="X153">
        <f>IF(AC153&lt;&gt;"","S"&amp;TEXT(WEEKNUM(AC153,21),"00"),"")</f>
        <v/>
      </c>
      <c r="Y153">
        <f>IF(Data!$AC153="","",YEAR(Data!$AC153))</f>
        <v/>
      </c>
      <c r="Z153">
        <f>IF(Data!$AC153="","",MONTH(Data!$AC153))</f>
        <v/>
      </c>
      <c r="AA153" s="163" t="n"/>
      <c r="AD153" s="709" t="n"/>
      <c r="AE153" s="163" t="n"/>
      <c r="AF153" s="302" t="n"/>
      <c r="AH153" s="347" t="n"/>
      <c r="AI153" s="340" t="n"/>
      <c r="AJ153" s="340" t="n"/>
      <c r="AK153" s="347" t="n"/>
      <c r="AM153" s="347" t="n"/>
      <c r="AN153" s="350" t="n"/>
      <c r="AO153" s="347" t="n"/>
      <c r="AP153" s="340" t="n"/>
      <c r="AQ153" s="347" t="n"/>
      <c r="AR153" s="313" t="n"/>
      <c r="AS153" s="347" t="n"/>
      <c r="AT153" s="736" t="n"/>
      <c r="AU153" s="736" t="n"/>
      <c r="AV153" s="731">
        <f>IF(AT153="","",S153-AT153-AU153)</f>
        <v/>
      </c>
      <c r="AW153" s="331">
        <f>IFERROR(IF(tbl_DCFC[[#This Row],[F Montant HT]]="","",tbl_DCFC[[#This Row],[Marge]]/tbl_DCFC[[#This Row],[F Montant HT]]),"")</f>
        <v/>
      </c>
    </row>
    <row r="154" ht="15" customHeight="1" s="701">
      <c r="A154" s="744" t="n"/>
      <c r="B154" s="347">
        <f>IFERROR(INDEX(Tabelle2[BU],MATCH(tbl_DCFC[[#This Row],[Categorie]],CAT,0)),"")</f>
        <v/>
      </c>
      <c r="C154" s="315">
        <f>IF(D154&lt;&gt;"","S"&amp;TEXT(WEEKNUM(D154,21),"00"),"")</f>
        <v/>
      </c>
      <c r="D154" s="744" t="n"/>
      <c r="E154" s="350" t="n"/>
      <c r="F154" s="350" t="n"/>
      <c r="G154" s="350" t="n"/>
      <c r="H154" s="350" t="n"/>
      <c r="I154" s="745" t="n"/>
      <c r="J154" s="350" t="n"/>
      <c r="K154" s="350" t="n"/>
      <c r="L154" s="337" t="n"/>
      <c r="M154" s="347" t="n"/>
      <c r="N154">
        <f>IF(Q154&lt;&gt;"","S"&amp;TEXT(WEEKNUM(Q154,21),"00"),"")</f>
        <v/>
      </c>
      <c r="O154">
        <f>IF(Data!$Q154="","",YEAR(Data!$Q154))</f>
        <v/>
      </c>
      <c r="P154">
        <f>IF(Data!$Q154="","",MONTH(Data!$Q154))</f>
        <v/>
      </c>
      <c r="V154" s="347" t="n"/>
      <c r="W154" s="163" t="n"/>
      <c r="X154">
        <f>IF(AC154&lt;&gt;"","S"&amp;TEXT(WEEKNUM(AC154,21),"00"),"")</f>
        <v/>
      </c>
      <c r="Y154">
        <f>IF(Data!$AC154="","",YEAR(Data!$AC154))</f>
        <v/>
      </c>
      <c r="Z154">
        <f>IF(Data!$AC154="","",MONTH(Data!$AC154))</f>
        <v/>
      </c>
      <c r="AA154" s="163" t="n"/>
      <c r="AD154" s="709" t="n"/>
      <c r="AE154" s="163" t="n"/>
      <c r="AF154" s="302" t="n"/>
      <c r="AH154" s="347" t="n"/>
      <c r="AI154" s="340" t="n"/>
      <c r="AJ154" s="340" t="n"/>
      <c r="AK154" s="347" t="n"/>
      <c r="AM154" s="347" t="n"/>
      <c r="AN154" s="350" t="n"/>
      <c r="AO154" s="347" t="n"/>
      <c r="AP154" s="340" t="n"/>
      <c r="AQ154" s="347" t="n"/>
      <c r="AR154" s="313" t="n"/>
      <c r="AS154" s="347" t="n"/>
      <c r="AT154" s="736" t="n"/>
      <c r="AU154" s="736" t="n"/>
      <c r="AV154" s="731">
        <f>IF(AT154="","",S154-AT154-AU154)</f>
        <v/>
      </c>
      <c r="AW154" s="331">
        <f>IFERROR(IF(tbl_DCFC[[#This Row],[F Montant HT]]="","",tbl_DCFC[[#This Row],[Marge]]/tbl_DCFC[[#This Row],[F Montant HT]]),"")</f>
        <v/>
      </c>
    </row>
    <row r="155" ht="15" customHeight="1" s="701">
      <c r="A155" s="744" t="n"/>
      <c r="B155" s="347">
        <f>IFERROR(INDEX(Tabelle2[BU],MATCH(tbl_DCFC[[#This Row],[Categorie]],CAT,0)),"")</f>
        <v/>
      </c>
      <c r="C155" s="315">
        <f>IF(D155&lt;&gt;"","S"&amp;TEXT(WEEKNUM(D155,21),"00"),"")</f>
        <v/>
      </c>
      <c r="D155" s="744" t="n"/>
      <c r="E155" s="350" t="n"/>
      <c r="F155" s="350" t="n"/>
      <c r="G155" s="350" t="n"/>
      <c r="H155" s="350" t="n"/>
      <c r="I155" s="745" t="n"/>
      <c r="J155" s="350" t="n"/>
      <c r="K155" s="350" t="n"/>
      <c r="L155" s="337" t="n"/>
      <c r="M155" s="347" t="n"/>
      <c r="N155">
        <f>IF(Q155&lt;&gt;"","S"&amp;TEXT(WEEKNUM(Q155,21),"00"),"")</f>
        <v/>
      </c>
      <c r="O155">
        <f>IF(Data!$Q155="","",YEAR(Data!$Q155))</f>
        <v/>
      </c>
      <c r="P155">
        <f>IF(Data!$Q155="","",MONTH(Data!$Q155))</f>
        <v/>
      </c>
      <c r="V155" s="347" t="n"/>
      <c r="W155" s="163" t="n"/>
      <c r="X155">
        <f>IF(AC155&lt;&gt;"","S"&amp;TEXT(WEEKNUM(AC155,21),"00"),"")</f>
        <v/>
      </c>
      <c r="Y155">
        <f>IF(Data!$AC155="","",YEAR(Data!$AC155))</f>
        <v/>
      </c>
      <c r="Z155">
        <f>IF(Data!$AC155="","",MONTH(Data!$AC155))</f>
        <v/>
      </c>
      <c r="AA155" s="163" t="n"/>
      <c r="AD155" s="709" t="n"/>
      <c r="AE155" s="163" t="n"/>
      <c r="AF155" s="302" t="n"/>
      <c r="AH155" s="347" t="n"/>
      <c r="AI155" s="340" t="n"/>
      <c r="AJ155" s="340" t="n"/>
      <c r="AK155" s="347" t="n"/>
      <c r="AM155" s="347" t="n"/>
      <c r="AN155" s="350" t="n"/>
      <c r="AO155" s="347" t="n"/>
      <c r="AP155" s="340" t="n"/>
      <c r="AQ155" s="347" t="n"/>
      <c r="AR155" s="313" t="n"/>
      <c r="AS155" s="347" t="n"/>
      <c r="AT155" s="736" t="n"/>
      <c r="AU155" s="736" t="n"/>
      <c r="AV155" s="731">
        <f>IF(AT155="","",S155-AT155-AU155)</f>
        <v/>
      </c>
      <c r="AW155" s="331">
        <f>IFERROR(IF(tbl_DCFC[[#This Row],[F Montant HT]]="","",tbl_DCFC[[#This Row],[Marge]]/tbl_DCFC[[#This Row],[F Montant HT]]),"")</f>
        <v/>
      </c>
    </row>
    <row r="156" ht="15" customHeight="1" s="701">
      <c r="A156" s="744" t="n"/>
      <c r="B156" s="347">
        <f>IFERROR(INDEX(Tabelle2[BU],MATCH(tbl_DCFC[[#This Row],[Categorie]],CAT,0)),"")</f>
        <v/>
      </c>
      <c r="C156" s="315">
        <f>IF(D156&lt;&gt;"","S"&amp;TEXT(WEEKNUM(D156,21),"00"),"")</f>
        <v/>
      </c>
      <c r="D156" s="744" t="n"/>
      <c r="E156" s="350" t="n"/>
      <c r="F156" s="350" t="n"/>
      <c r="G156" s="350" t="n"/>
      <c r="H156" s="350" t="n"/>
      <c r="I156" s="745" t="n"/>
      <c r="J156" s="350" t="n"/>
      <c r="K156" s="350" t="n"/>
      <c r="L156" s="337" t="n"/>
      <c r="M156" s="347" t="n"/>
      <c r="N156">
        <f>IF(Q156&lt;&gt;"","S"&amp;TEXT(WEEKNUM(Q156,21),"00"),"")</f>
        <v/>
      </c>
      <c r="O156">
        <f>IF(Data!$Q156="","",YEAR(Data!$Q156))</f>
        <v/>
      </c>
      <c r="P156">
        <f>IF(Data!$Q156="","",MONTH(Data!$Q156))</f>
        <v/>
      </c>
      <c r="V156" s="347" t="n"/>
      <c r="W156" s="163" t="n"/>
      <c r="X156">
        <f>IF(AC156&lt;&gt;"","S"&amp;TEXT(WEEKNUM(AC156,21),"00"),"")</f>
        <v/>
      </c>
      <c r="Y156">
        <f>IF(Data!$AC156="","",YEAR(Data!$AC156))</f>
        <v/>
      </c>
      <c r="Z156">
        <f>IF(Data!$AC156="","",MONTH(Data!$AC156))</f>
        <v/>
      </c>
      <c r="AA156" s="163" t="n"/>
      <c r="AD156" s="709" t="n"/>
      <c r="AE156" s="163" t="n"/>
      <c r="AF156" s="302" t="n"/>
      <c r="AH156" s="347" t="n"/>
      <c r="AI156" s="340" t="n"/>
      <c r="AJ156" s="340" t="n"/>
      <c r="AK156" s="347" t="n"/>
      <c r="AM156" s="347" t="n"/>
      <c r="AN156" s="350" t="n"/>
      <c r="AO156" s="347" t="n"/>
      <c r="AP156" s="340" t="n"/>
      <c r="AQ156" s="347" t="n"/>
      <c r="AR156" s="313" t="n"/>
      <c r="AS156" s="347" t="n"/>
      <c r="AT156" s="736" t="n"/>
      <c r="AU156" s="736" t="n"/>
      <c r="AV156" s="731">
        <f>IF(AT156="","",S156-AT156-AU156)</f>
        <v/>
      </c>
      <c r="AW156" s="331">
        <f>IFERROR(IF(tbl_DCFC[[#This Row],[F Montant HT]]="","",tbl_DCFC[[#This Row],[Marge]]/tbl_DCFC[[#This Row],[F Montant HT]]),"")</f>
        <v/>
      </c>
    </row>
    <row r="157" ht="15" customHeight="1" s="701">
      <c r="A157" s="744" t="n"/>
      <c r="B157" s="347">
        <f>IFERROR(INDEX(Tabelle2[BU],MATCH(tbl_DCFC[[#This Row],[Categorie]],CAT,0)),"")</f>
        <v/>
      </c>
      <c r="C157" s="315">
        <f>IF(D157&lt;&gt;"","S"&amp;TEXT(WEEKNUM(D157,21),"00"),"")</f>
        <v/>
      </c>
      <c r="D157" s="744" t="n"/>
      <c r="E157" s="350" t="n"/>
      <c r="F157" s="350" t="n"/>
      <c r="G157" s="350" t="n"/>
      <c r="H157" s="350" t="n"/>
      <c r="I157" s="745" t="n"/>
      <c r="J157" s="350" t="n"/>
      <c r="K157" s="350" t="n"/>
      <c r="L157" s="337" t="n"/>
      <c r="M157" s="347" t="n"/>
      <c r="N157">
        <f>IF(Q157&lt;&gt;"","S"&amp;TEXT(WEEKNUM(Q157,21),"00"),"")</f>
        <v/>
      </c>
      <c r="O157">
        <f>IF(Data!$Q157="","",YEAR(Data!$Q157))</f>
        <v/>
      </c>
      <c r="P157">
        <f>IF(Data!$Q157="","",MONTH(Data!$Q157))</f>
        <v/>
      </c>
      <c r="V157" s="347" t="n"/>
      <c r="W157" s="163" t="n"/>
      <c r="X157">
        <f>IF(AC157&lt;&gt;"","S"&amp;TEXT(WEEKNUM(AC157,21),"00"),"")</f>
        <v/>
      </c>
      <c r="Y157">
        <f>IF(Data!$AC157="","",YEAR(Data!$AC157))</f>
        <v/>
      </c>
      <c r="Z157">
        <f>IF(Data!$AC157="","",MONTH(Data!$AC157))</f>
        <v/>
      </c>
      <c r="AA157" s="163" t="n"/>
      <c r="AD157" s="709" t="n"/>
      <c r="AE157" s="163" t="n"/>
      <c r="AF157" s="302" t="n"/>
      <c r="AH157" s="347" t="n"/>
      <c r="AI157" s="340" t="n"/>
      <c r="AJ157" s="340" t="n"/>
      <c r="AK157" s="347" t="n"/>
      <c r="AM157" s="347" t="n"/>
      <c r="AN157" s="350" t="n"/>
      <c r="AO157" s="347" t="n"/>
      <c r="AP157" s="340" t="n"/>
      <c r="AQ157" s="347" t="n"/>
      <c r="AR157" s="313" t="n"/>
      <c r="AS157" s="347" t="n"/>
      <c r="AT157" s="736" t="n"/>
      <c r="AU157" s="736" t="n"/>
      <c r="AV157" s="731">
        <f>IF(AT157="","",S157-AT157-AU157)</f>
        <v/>
      </c>
      <c r="AW157" s="331">
        <f>IFERROR(IF(tbl_DCFC[[#This Row],[F Montant HT]]="","",tbl_DCFC[[#This Row],[Marge]]/tbl_DCFC[[#This Row],[F Montant HT]]),"")</f>
        <v/>
      </c>
    </row>
    <row r="158" ht="15" customHeight="1" s="701">
      <c r="A158" s="744" t="n"/>
      <c r="B158" s="347">
        <f>IFERROR(INDEX(Tabelle2[BU],MATCH(tbl_DCFC[[#This Row],[Categorie]],CAT,0)),"")</f>
        <v/>
      </c>
      <c r="C158" s="315">
        <f>IF(D158&lt;&gt;"","S"&amp;TEXT(WEEKNUM(D158,21),"00"),"")</f>
        <v/>
      </c>
      <c r="D158" s="744" t="n"/>
      <c r="E158" s="350" t="n"/>
      <c r="F158" s="350" t="n"/>
      <c r="G158" s="350" t="n"/>
      <c r="H158" s="350" t="n"/>
      <c r="I158" s="745" t="n"/>
      <c r="J158" s="350" t="n"/>
      <c r="K158" s="350" t="n"/>
      <c r="L158" s="337" t="n"/>
      <c r="M158" s="347" t="n"/>
      <c r="N158">
        <f>IF(Q158&lt;&gt;"","S"&amp;TEXT(WEEKNUM(Q158,21),"00"),"")</f>
        <v/>
      </c>
      <c r="O158">
        <f>IF(Data!$Q158="","",YEAR(Data!$Q158))</f>
        <v/>
      </c>
      <c r="P158">
        <f>IF(Data!$Q158="","",MONTH(Data!$Q158))</f>
        <v/>
      </c>
      <c r="V158" s="347" t="n"/>
      <c r="W158" s="163" t="n"/>
      <c r="X158">
        <f>IF(AC158&lt;&gt;"","S"&amp;TEXT(WEEKNUM(AC158,21),"00"),"")</f>
        <v/>
      </c>
      <c r="Y158">
        <f>IF(Data!$AC158="","",YEAR(Data!$AC158))</f>
        <v/>
      </c>
      <c r="Z158">
        <f>IF(Data!$AC158="","",MONTH(Data!$AC158))</f>
        <v/>
      </c>
      <c r="AA158" s="163" t="n"/>
      <c r="AD158" s="709" t="n"/>
      <c r="AE158" s="163" t="n"/>
      <c r="AF158" s="302" t="n"/>
      <c r="AH158" s="347" t="n"/>
      <c r="AI158" s="340" t="n"/>
      <c r="AJ158" s="340" t="n"/>
      <c r="AK158" s="347" t="n"/>
      <c r="AM158" s="347" t="n"/>
      <c r="AN158" s="350" t="n"/>
      <c r="AO158" s="347" t="n"/>
      <c r="AP158" s="340" t="n"/>
      <c r="AQ158" s="347" t="n"/>
      <c r="AR158" s="313" t="n"/>
      <c r="AS158" s="347" t="n"/>
      <c r="AT158" s="736" t="n"/>
      <c r="AU158" s="736" t="n"/>
      <c r="AV158" s="731">
        <f>IF(AT158="","",S158-AT158-AU158)</f>
        <v/>
      </c>
      <c r="AW158" s="331">
        <f>IFERROR(IF(tbl_DCFC[[#This Row],[F Montant HT]]="","",tbl_DCFC[[#This Row],[Marge]]/tbl_DCFC[[#This Row],[F Montant HT]]),"")</f>
        <v/>
      </c>
    </row>
    <row r="159" ht="15" customHeight="1" s="701">
      <c r="A159" s="744" t="n"/>
      <c r="B159" s="347">
        <f>IFERROR(INDEX(Tabelle2[BU],MATCH(tbl_DCFC[[#This Row],[Categorie]],CAT,0)),"")</f>
        <v/>
      </c>
      <c r="C159" s="315">
        <f>IF(D159&lt;&gt;"","S"&amp;TEXT(WEEKNUM(D159,21),"00"),"")</f>
        <v/>
      </c>
      <c r="D159" s="744" t="n"/>
      <c r="E159" s="350" t="n"/>
      <c r="F159" s="350" t="n"/>
      <c r="G159" s="350" t="n"/>
      <c r="H159" s="350" t="n"/>
      <c r="I159" s="745" t="n"/>
      <c r="J159" s="350" t="n"/>
      <c r="K159" s="350" t="n"/>
      <c r="L159" s="337" t="n"/>
      <c r="M159" s="347" t="n"/>
      <c r="N159">
        <f>IF(Q159&lt;&gt;"","S"&amp;TEXT(WEEKNUM(Q159,21),"00"),"")</f>
        <v/>
      </c>
      <c r="O159">
        <f>IF(Data!$Q159="","",YEAR(Data!$Q159))</f>
        <v/>
      </c>
      <c r="P159">
        <f>IF(Data!$Q159="","",MONTH(Data!$Q159))</f>
        <v/>
      </c>
      <c r="V159" s="347" t="n"/>
      <c r="W159" s="163" t="n"/>
      <c r="X159">
        <f>IF(AC159&lt;&gt;"","S"&amp;TEXT(WEEKNUM(AC159,21),"00"),"")</f>
        <v/>
      </c>
      <c r="Y159">
        <f>IF(Data!$AC159="","",YEAR(Data!$AC159))</f>
        <v/>
      </c>
      <c r="Z159">
        <f>IF(Data!$AC159="","",MONTH(Data!$AC159))</f>
        <v/>
      </c>
      <c r="AA159" s="163" t="n"/>
      <c r="AD159" s="709" t="n"/>
      <c r="AE159" s="163" t="n"/>
      <c r="AF159" s="302" t="n"/>
      <c r="AH159" s="347" t="n"/>
      <c r="AI159" s="340" t="n"/>
      <c r="AJ159" s="340" t="n"/>
      <c r="AK159" s="347" t="n"/>
      <c r="AM159" s="347" t="n"/>
      <c r="AN159" s="350" t="n"/>
      <c r="AO159" s="347" t="n"/>
      <c r="AP159" s="340" t="n"/>
      <c r="AQ159" s="347" t="n"/>
      <c r="AR159" s="313" t="n"/>
      <c r="AS159" s="347" t="n"/>
      <c r="AT159" s="736" t="n"/>
      <c r="AU159" s="736" t="n"/>
      <c r="AV159" s="731">
        <f>IF(AT159="","",S159-AT159-AU159)</f>
        <v/>
      </c>
      <c r="AW159" s="331">
        <f>IFERROR(IF(tbl_DCFC[[#This Row],[F Montant HT]]="","",tbl_DCFC[[#This Row],[Marge]]/tbl_DCFC[[#This Row],[F Montant HT]]),"")</f>
        <v/>
      </c>
    </row>
    <row r="160" ht="15" customHeight="1" s="701">
      <c r="A160" s="744" t="n"/>
      <c r="B160" s="347">
        <f>IFERROR(INDEX(Tabelle2[BU],MATCH(tbl_DCFC[[#This Row],[Categorie]],CAT,0)),"")</f>
        <v/>
      </c>
      <c r="C160" s="315">
        <f>IF(D160&lt;&gt;"","S"&amp;TEXT(WEEKNUM(D160,21),"00"),"")</f>
        <v/>
      </c>
      <c r="D160" s="744" t="n"/>
      <c r="E160" s="350" t="n"/>
      <c r="F160" s="350" t="n"/>
      <c r="G160" s="350" t="n"/>
      <c r="H160" s="350" t="n"/>
      <c r="I160" s="745" t="n"/>
      <c r="J160" s="350" t="n"/>
      <c r="K160" s="350" t="n"/>
      <c r="L160" s="337" t="n"/>
      <c r="M160" s="347" t="n"/>
      <c r="N160">
        <f>IF(Q160&lt;&gt;"","S"&amp;TEXT(WEEKNUM(Q160,21),"00"),"")</f>
        <v/>
      </c>
      <c r="O160">
        <f>IF(Data!$Q160="","",YEAR(Data!$Q160))</f>
        <v/>
      </c>
      <c r="P160">
        <f>IF(Data!$Q160="","",MONTH(Data!$Q160))</f>
        <v/>
      </c>
      <c r="V160" s="347" t="n"/>
      <c r="W160" s="163" t="n"/>
      <c r="X160">
        <f>IF(AC160&lt;&gt;"","S"&amp;TEXT(WEEKNUM(AC160,21),"00"),"")</f>
        <v/>
      </c>
      <c r="Y160">
        <f>IF(Data!$AC160="","",YEAR(Data!$AC160))</f>
        <v/>
      </c>
      <c r="Z160">
        <f>IF(Data!$AC160="","",MONTH(Data!$AC160))</f>
        <v/>
      </c>
      <c r="AA160" s="163" t="n"/>
      <c r="AD160" s="709" t="n"/>
      <c r="AE160" s="163" t="n"/>
      <c r="AF160" s="302" t="n"/>
      <c r="AH160" s="347" t="n"/>
      <c r="AI160" s="340" t="n"/>
      <c r="AJ160" s="340" t="n"/>
      <c r="AK160" s="347" t="n"/>
      <c r="AM160" s="347" t="n"/>
      <c r="AN160" s="350" t="n"/>
      <c r="AO160" s="347" t="n"/>
      <c r="AP160" s="340" t="n"/>
      <c r="AQ160" s="347" t="n"/>
      <c r="AR160" s="313" t="n"/>
      <c r="AS160" s="347" t="n"/>
      <c r="AT160" s="736" t="n"/>
      <c r="AU160" s="736" t="n"/>
      <c r="AV160" s="731">
        <f>IF(AT160="","",S160-AT160-AU160)</f>
        <v/>
      </c>
      <c r="AW160" s="331">
        <f>IFERROR(IF(tbl_DCFC[[#This Row],[F Montant HT]]="","",tbl_DCFC[[#This Row],[Marge]]/tbl_DCFC[[#This Row],[F Montant HT]]),"")</f>
        <v/>
      </c>
    </row>
    <row r="161" ht="15" customHeight="1" s="701">
      <c r="A161" s="744" t="n"/>
      <c r="B161" s="347">
        <f>IFERROR(INDEX(Tabelle2[BU],MATCH(tbl_DCFC[[#This Row],[Categorie]],CAT,0)),"")</f>
        <v/>
      </c>
      <c r="C161" s="315">
        <f>IF(D161&lt;&gt;"","S"&amp;TEXT(WEEKNUM(D161,21),"00"),"")</f>
        <v/>
      </c>
      <c r="D161" s="744" t="n"/>
      <c r="E161" s="350" t="n"/>
      <c r="F161" s="350" t="n"/>
      <c r="G161" s="350" t="n"/>
      <c r="H161" s="350" t="n"/>
      <c r="I161" s="745" t="n"/>
      <c r="J161" s="350" t="n"/>
      <c r="K161" s="350" t="n"/>
      <c r="L161" s="337" t="n"/>
      <c r="M161" s="347" t="n"/>
      <c r="N161">
        <f>IF(Q161&lt;&gt;"","S"&amp;TEXT(WEEKNUM(Q161,21),"00"),"")</f>
        <v/>
      </c>
      <c r="O161">
        <f>IF(Data!$Q161="","",YEAR(Data!$Q161))</f>
        <v/>
      </c>
      <c r="P161">
        <f>IF(Data!$Q161="","",MONTH(Data!$Q161))</f>
        <v/>
      </c>
      <c r="V161" s="347" t="n"/>
      <c r="W161" s="163" t="n"/>
      <c r="X161">
        <f>IF(AC161&lt;&gt;"","S"&amp;TEXT(WEEKNUM(AC161,21),"00"),"")</f>
        <v/>
      </c>
      <c r="Y161">
        <f>IF(Data!$AC161="","",YEAR(Data!$AC161))</f>
        <v/>
      </c>
      <c r="Z161">
        <f>IF(Data!$AC161="","",MONTH(Data!$AC161))</f>
        <v/>
      </c>
      <c r="AA161" s="163" t="n"/>
      <c r="AD161" s="709" t="n"/>
      <c r="AE161" s="163" t="n"/>
      <c r="AF161" s="302" t="n"/>
      <c r="AH161" s="347" t="n"/>
      <c r="AI161" s="340" t="n"/>
      <c r="AJ161" s="340" t="n"/>
      <c r="AK161" s="347" t="n"/>
      <c r="AM161" s="347" t="n"/>
      <c r="AN161" s="350" t="n"/>
      <c r="AO161" s="347" t="n"/>
      <c r="AP161" s="340" t="n"/>
      <c r="AQ161" s="347" t="n"/>
      <c r="AR161" s="313" t="n"/>
      <c r="AS161" s="347" t="n"/>
      <c r="AT161" s="736" t="n"/>
      <c r="AU161" s="736" t="n"/>
      <c r="AV161" s="731">
        <f>IF(AT161="","",S161-AT161-AU161)</f>
        <v/>
      </c>
      <c r="AW161" s="331">
        <f>IFERROR(IF(tbl_DCFC[[#This Row],[F Montant HT]]="","",tbl_DCFC[[#This Row],[Marge]]/tbl_DCFC[[#This Row],[F Montant HT]]),"")</f>
        <v/>
      </c>
    </row>
    <row r="162" ht="15" customHeight="1" s="701">
      <c r="A162" s="744" t="n"/>
      <c r="B162" s="347">
        <f>IFERROR(INDEX(Tabelle2[BU],MATCH(tbl_DCFC[[#This Row],[Categorie]],CAT,0)),"")</f>
        <v/>
      </c>
      <c r="C162" s="315">
        <f>IF(D162&lt;&gt;"","S"&amp;TEXT(WEEKNUM(D162,21),"00"),"")</f>
        <v/>
      </c>
      <c r="D162" s="744" t="n"/>
      <c r="E162" s="350" t="n"/>
      <c r="F162" s="350" t="n"/>
      <c r="G162" s="350" t="n"/>
      <c r="H162" s="350" t="n"/>
      <c r="I162" s="745" t="n"/>
      <c r="J162" s="350" t="n"/>
      <c r="K162" s="350" t="n"/>
      <c r="L162" s="337" t="n"/>
      <c r="M162" s="347" t="n"/>
      <c r="N162">
        <f>IF(Q162&lt;&gt;"","S"&amp;TEXT(WEEKNUM(Q162,21),"00"),"")</f>
        <v/>
      </c>
      <c r="O162">
        <f>IF(Data!$Q162="","",YEAR(Data!$Q162))</f>
        <v/>
      </c>
      <c r="P162">
        <f>IF(Data!$Q162="","",MONTH(Data!$Q162))</f>
        <v/>
      </c>
      <c r="V162" s="347" t="n"/>
      <c r="W162" s="163" t="n"/>
      <c r="X162">
        <f>IF(AC162&lt;&gt;"","S"&amp;TEXT(WEEKNUM(AC162,21),"00"),"")</f>
        <v/>
      </c>
      <c r="Y162">
        <f>IF(Data!$AC162="","",YEAR(Data!$AC162))</f>
        <v/>
      </c>
      <c r="Z162">
        <f>IF(Data!$AC162="","",MONTH(Data!$AC162))</f>
        <v/>
      </c>
      <c r="AA162" s="163" t="n"/>
      <c r="AD162" s="709" t="n"/>
      <c r="AE162" s="163" t="n"/>
      <c r="AF162" s="302" t="n"/>
      <c r="AH162" s="347" t="n"/>
      <c r="AI162" s="340" t="n"/>
      <c r="AJ162" s="340" t="n"/>
      <c r="AK162" s="347" t="n"/>
      <c r="AM162" s="347" t="n"/>
      <c r="AN162" s="350" t="n"/>
      <c r="AO162" s="347" t="n"/>
      <c r="AP162" s="340" t="n"/>
      <c r="AQ162" s="347" t="n"/>
      <c r="AR162" s="313" t="n"/>
      <c r="AS162" s="347" t="n"/>
      <c r="AT162" s="736" t="n"/>
      <c r="AU162" s="736" t="n"/>
      <c r="AV162" s="731">
        <f>IF(AT162="","",S162-AT162-AU162)</f>
        <v/>
      </c>
      <c r="AW162" s="331">
        <f>IFERROR(IF(tbl_DCFC[[#This Row],[F Montant HT]]="","",tbl_DCFC[[#This Row],[Marge]]/tbl_DCFC[[#This Row],[F Montant HT]]),"")</f>
        <v/>
      </c>
    </row>
    <row r="163" ht="15" customHeight="1" s="701">
      <c r="A163" s="744" t="n"/>
      <c r="B163" s="347">
        <f>IFERROR(INDEX(Tabelle2[BU],MATCH(tbl_DCFC[[#This Row],[Categorie]],CAT,0)),"")</f>
        <v/>
      </c>
      <c r="C163" s="315">
        <f>IF(D163&lt;&gt;"","S"&amp;TEXT(WEEKNUM(D163,21),"00"),"")</f>
        <v/>
      </c>
      <c r="D163" s="744" t="n"/>
      <c r="E163" s="350" t="n"/>
      <c r="F163" s="350" t="n"/>
      <c r="G163" s="350" t="n"/>
      <c r="H163" s="350" t="n"/>
      <c r="I163" s="745" t="n"/>
      <c r="J163" s="350" t="n"/>
      <c r="K163" s="350" t="n"/>
      <c r="L163" s="337" t="n"/>
      <c r="M163" s="347" t="n"/>
      <c r="N163">
        <f>IF(Q163&lt;&gt;"","S"&amp;TEXT(WEEKNUM(Q163,21),"00"),"")</f>
        <v/>
      </c>
      <c r="O163">
        <f>IF(Data!$Q163="","",YEAR(Data!$Q163))</f>
        <v/>
      </c>
      <c r="P163">
        <f>IF(Data!$Q163="","",MONTH(Data!$Q163))</f>
        <v/>
      </c>
      <c r="V163" s="347" t="n"/>
      <c r="W163" s="163" t="n"/>
      <c r="X163">
        <f>IF(AC163&lt;&gt;"","S"&amp;TEXT(WEEKNUM(AC163,21),"00"),"")</f>
        <v/>
      </c>
      <c r="Y163">
        <f>IF(Data!$AC163="","",YEAR(Data!$AC163))</f>
        <v/>
      </c>
      <c r="Z163">
        <f>IF(Data!$AC163="","",MONTH(Data!$AC163))</f>
        <v/>
      </c>
      <c r="AA163" s="163" t="n"/>
      <c r="AD163" s="709" t="n"/>
      <c r="AE163" s="163" t="n"/>
      <c r="AF163" s="302" t="n"/>
      <c r="AH163" s="347" t="n"/>
      <c r="AI163" s="340" t="n"/>
      <c r="AJ163" s="340" t="n"/>
      <c r="AK163" s="347" t="n"/>
      <c r="AM163" s="347" t="n"/>
      <c r="AN163" s="350" t="n"/>
      <c r="AO163" s="347" t="n"/>
      <c r="AP163" s="340" t="n"/>
      <c r="AQ163" s="347" t="n"/>
      <c r="AR163" s="313" t="n"/>
      <c r="AS163" s="347" t="n"/>
      <c r="AT163" s="736" t="n"/>
      <c r="AU163" s="736" t="n"/>
      <c r="AV163" s="731">
        <f>IF(AT163="","",S163-AT163-AU163)</f>
        <v/>
      </c>
      <c r="AW163" s="331">
        <f>IFERROR(IF(tbl_DCFC[[#This Row],[F Montant HT]]="","",tbl_DCFC[[#This Row],[Marge]]/tbl_DCFC[[#This Row],[F Montant HT]]),"")</f>
        <v/>
      </c>
    </row>
    <row r="164" ht="15" customHeight="1" s="701">
      <c r="A164" s="744" t="n"/>
      <c r="B164" s="347">
        <f>IFERROR(INDEX(Tabelle2[BU],MATCH(tbl_DCFC[[#This Row],[Categorie]],CAT,0)),"")</f>
        <v/>
      </c>
      <c r="C164" s="315">
        <f>IF(D164&lt;&gt;"","S"&amp;TEXT(WEEKNUM(D164,21),"00"),"")</f>
        <v/>
      </c>
      <c r="D164" s="744" t="n"/>
      <c r="E164" s="350" t="n"/>
      <c r="F164" s="350" t="n"/>
      <c r="G164" s="350" t="n"/>
      <c r="H164" s="350" t="n"/>
      <c r="I164" s="745" t="n"/>
      <c r="J164" s="350" t="n"/>
      <c r="K164" s="350" t="n"/>
      <c r="L164" s="337" t="n"/>
      <c r="M164" s="347" t="n"/>
      <c r="N164">
        <f>IF(Q164&lt;&gt;"","S"&amp;TEXT(WEEKNUM(Q164,21),"00"),"")</f>
        <v/>
      </c>
      <c r="O164">
        <f>IF(Data!$Q164="","",YEAR(Data!$Q164))</f>
        <v/>
      </c>
      <c r="P164">
        <f>IF(Data!$Q164="","",MONTH(Data!$Q164))</f>
        <v/>
      </c>
      <c r="V164" s="347" t="n"/>
      <c r="W164" s="163" t="n"/>
      <c r="X164">
        <f>IF(AC164&lt;&gt;"","S"&amp;TEXT(WEEKNUM(AC164,21),"00"),"")</f>
        <v/>
      </c>
      <c r="Y164">
        <f>IF(Data!$AC164="","",YEAR(Data!$AC164))</f>
        <v/>
      </c>
      <c r="Z164">
        <f>IF(Data!$AC164="","",MONTH(Data!$AC164))</f>
        <v/>
      </c>
      <c r="AA164" s="163" t="n"/>
      <c r="AD164" s="709" t="n"/>
      <c r="AE164" s="163" t="n"/>
      <c r="AF164" s="302" t="n"/>
      <c r="AH164" s="347" t="n"/>
      <c r="AI164" s="340" t="n"/>
      <c r="AJ164" s="340" t="n"/>
      <c r="AK164" s="347" t="n"/>
      <c r="AM164" s="347" t="n"/>
      <c r="AN164" s="350" t="n"/>
      <c r="AO164" s="347" t="n"/>
      <c r="AP164" s="340" t="n"/>
      <c r="AQ164" s="347" t="n"/>
      <c r="AR164" s="313" t="n"/>
      <c r="AS164" s="347" t="n"/>
      <c r="AT164" s="736" t="n"/>
      <c r="AU164" s="736" t="n"/>
      <c r="AV164" s="731">
        <f>IF(AT164="","",S164-AT164-AU164)</f>
        <v/>
      </c>
      <c r="AW164" s="331">
        <f>IFERROR(IF(tbl_DCFC[[#This Row],[F Montant HT]]="","",tbl_DCFC[[#This Row],[Marge]]/tbl_DCFC[[#This Row],[F Montant HT]]),"")</f>
        <v/>
      </c>
    </row>
    <row r="165" ht="15" customHeight="1" s="701">
      <c r="A165" s="744" t="n"/>
      <c r="B165" s="347">
        <f>IFERROR(INDEX(Tabelle2[BU],MATCH(tbl_DCFC[[#This Row],[Categorie]],CAT,0)),"")</f>
        <v/>
      </c>
      <c r="C165" s="315">
        <f>IF(D165&lt;&gt;"","S"&amp;TEXT(WEEKNUM(D165,21),"00"),"")</f>
        <v/>
      </c>
      <c r="D165" s="744" t="n"/>
      <c r="E165" s="350" t="n"/>
      <c r="F165" s="350" t="n"/>
      <c r="G165" s="350" t="n"/>
      <c r="H165" s="350" t="n"/>
      <c r="I165" s="745" t="n"/>
      <c r="J165" s="350" t="n"/>
      <c r="K165" s="350" t="n"/>
      <c r="L165" s="337" t="n"/>
      <c r="M165" s="347" t="n"/>
      <c r="N165">
        <f>IF(Q165&lt;&gt;"","S"&amp;TEXT(WEEKNUM(Q165,21),"00"),"")</f>
        <v/>
      </c>
      <c r="O165">
        <f>IF(Data!$Q165="","",YEAR(Data!$Q165))</f>
        <v/>
      </c>
      <c r="P165">
        <f>IF(Data!$Q165="","",MONTH(Data!$Q165))</f>
        <v/>
      </c>
      <c r="V165" s="347" t="n"/>
      <c r="W165" s="163" t="n"/>
      <c r="X165">
        <f>IF(AC165&lt;&gt;"","S"&amp;TEXT(WEEKNUM(AC165,21),"00"),"")</f>
        <v/>
      </c>
      <c r="Y165">
        <f>IF(Data!$AC165="","",YEAR(Data!$AC165))</f>
        <v/>
      </c>
      <c r="Z165">
        <f>IF(Data!$AC165="","",MONTH(Data!$AC165))</f>
        <v/>
      </c>
      <c r="AA165" s="163" t="n"/>
      <c r="AD165" s="709" t="n"/>
      <c r="AE165" s="163" t="n"/>
      <c r="AF165" s="302" t="n"/>
      <c r="AH165" s="347" t="n"/>
      <c r="AI165" s="340" t="n"/>
      <c r="AJ165" s="340" t="n"/>
      <c r="AK165" s="347" t="n"/>
      <c r="AM165" s="347" t="n"/>
      <c r="AN165" s="350" t="n"/>
      <c r="AO165" s="347" t="n"/>
      <c r="AP165" s="340" t="n"/>
      <c r="AQ165" s="347" t="n"/>
      <c r="AR165" s="313" t="n"/>
      <c r="AS165" s="347" t="n"/>
      <c r="AT165" s="736" t="n"/>
      <c r="AU165" s="736" t="n"/>
      <c r="AV165" s="731">
        <f>IF(AT165="","",S165-AT165-AU165)</f>
        <v/>
      </c>
      <c r="AW165" s="331">
        <f>IFERROR(IF(tbl_DCFC[[#This Row],[F Montant HT]]="","",tbl_DCFC[[#This Row],[Marge]]/tbl_DCFC[[#This Row],[F Montant HT]]),"")</f>
        <v/>
      </c>
    </row>
    <row r="166" ht="15" customHeight="1" s="701">
      <c r="A166" s="744" t="n"/>
      <c r="B166" s="347">
        <f>IFERROR(INDEX(Tabelle2[BU],MATCH(tbl_DCFC[[#This Row],[Categorie]],CAT,0)),"")</f>
        <v/>
      </c>
      <c r="C166" s="315">
        <f>IF(D166&lt;&gt;"","S"&amp;TEXT(WEEKNUM(D166,21),"00"),"")</f>
        <v/>
      </c>
      <c r="D166" s="744" t="n"/>
      <c r="E166" s="350" t="n"/>
      <c r="F166" s="350" t="n"/>
      <c r="G166" s="350" t="n"/>
      <c r="H166" s="350" t="n"/>
      <c r="I166" s="745" t="n"/>
      <c r="J166" s="350" t="n"/>
      <c r="K166" s="350" t="n"/>
      <c r="L166" s="337" t="n"/>
      <c r="M166" s="347" t="n"/>
      <c r="N166">
        <f>IF(Q166&lt;&gt;"","S"&amp;TEXT(WEEKNUM(Q166,21),"00"),"")</f>
        <v/>
      </c>
      <c r="O166">
        <f>IF(Data!$Q166="","",YEAR(Data!$Q166))</f>
        <v/>
      </c>
      <c r="P166">
        <f>IF(Data!$Q166="","",MONTH(Data!$Q166))</f>
        <v/>
      </c>
      <c r="V166" s="347" t="n"/>
      <c r="W166" s="163" t="n"/>
      <c r="X166">
        <f>IF(AC166&lt;&gt;"","S"&amp;TEXT(WEEKNUM(AC166,21),"00"),"")</f>
        <v/>
      </c>
      <c r="Y166">
        <f>IF(Data!$AC166="","",YEAR(Data!$AC166))</f>
        <v/>
      </c>
      <c r="Z166">
        <f>IF(Data!$AC166="","",MONTH(Data!$AC166))</f>
        <v/>
      </c>
      <c r="AA166" s="163" t="n"/>
      <c r="AD166" s="709" t="n"/>
      <c r="AE166" s="163" t="n"/>
      <c r="AF166" s="302" t="n"/>
      <c r="AH166" s="347" t="n"/>
      <c r="AI166" s="340" t="n"/>
      <c r="AJ166" s="340" t="n"/>
      <c r="AK166" s="347" t="n"/>
      <c r="AM166" s="347" t="n"/>
      <c r="AN166" s="350" t="n"/>
      <c r="AO166" s="347" t="n"/>
      <c r="AP166" s="340" t="n"/>
      <c r="AQ166" s="347" t="n"/>
      <c r="AR166" s="313" t="n"/>
      <c r="AS166" s="347" t="n"/>
      <c r="AT166" s="736" t="n"/>
      <c r="AU166" s="736" t="n"/>
      <c r="AV166" s="731">
        <f>IF(AT166="","",S166-AT166-AU166)</f>
        <v/>
      </c>
      <c r="AW166" s="331">
        <f>IFERROR(IF(tbl_DCFC[[#This Row],[F Montant HT]]="","",tbl_DCFC[[#This Row],[Marge]]/tbl_DCFC[[#This Row],[F Montant HT]]),"")</f>
        <v/>
      </c>
    </row>
    <row r="167" ht="15" customHeight="1" s="701">
      <c r="A167" s="744" t="n"/>
      <c r="B167" s="347">
        <f>IFERROR(INDEX(Tabelle2[BU],MATCH(tbl_DCFC[[#This Row],[Categorie]],CAT,0)),"")</f>
        <v/>
      </c>
      <c r="C167" s="315">
        <f>IF(D167&lt;&gt;"","S"&amp;TEXT(WEEKNUM(D167,21),"00"),"")</f>
        <v/>
      </c>
      <c r="D167" s="744" t="n"/>
      <c r="E167" s="350" t="n"/>
      <c r="F167" s="350" t="n"/>
      <c r="G167" s="350" t="n"/>
      <c r="H167" s="350" t="n"/>
      <c r="I167" s="745" t="n"/>
      <c r="J167" s="350" t="n"/>
      <c r="K167" s="350" t="n"/>
      <c r="L167" s="337" t="n"/>
      <c r="M167" s="347" t="n"/>
      <c r="N167">
        <f>IF(Q167&lt;&gt;"","S"&amp;TEXT(WEEKNUM(Q167,21),"00"),"")</f>
        <v/>
      </c>
      <c r="O167">
        <f>IF(Data!$Q167="","",YEAR(Data!$Q167))</f>
        <v/>
      </c>
      <c r="P167">
        <f>IF(Data!$Q167="","",MONTH(Data!$Q167))</f>
        <v/>
      </c>
      <c r="V167" s="347" t="n"/>
      <c r="W167" s="163" t="n"/>
      <c r="X167">
        <f>IF(AC167&lt;&gt;"","S"&amp;TEXT(WEEKNUM(AC167,21),"00"),"")</f>
        <v/>
      </c>
      <c r="Y167">
        <f>IF(Data!$AC167="","",YEAR(Data!$AC167))</f>
        <v/>
      </c>
      <c r="Z167">
        <f>IF(Data!$AC167="","",MONTH(Data!$AC167))</f>
        <v/>
      </c>
      <c r="AA167" s="163" t="n"/>
      <c r="AD167" s="709" t="n"/>
      <c r="AE167" s="163" t="n"/>
      <c r="AF167" s="302" t="n"/>
      <c r="AH167" s="347" t="n"/>
      <c r="AI167" s="340" t="n"/>
      <c r="AJ167" s="340" t="n"/>
      <c r="AK167" s="347" t="n"/>
      <c r="AM167" s="347" t="n"/>
      <c r="AN167" s="350" t="n"/>
      <c r="AO167" s="347" t="n"/>
      <c r="AP167" s="340" t="n"/>
      <c r="AQ167" s="347" t="n"/>
      <c r="AR167" s="313" t="n"/>
      <c r="AS167" s="347" t="n"/>
      <c r="AT167" s="736" t="n"/>
      <c r="AU167" s="736" t="n"/>
      <c r="AV167" s="731">
        <f>IF(AT167="","",S167-AT167-AU167)</f>
        <v/>
      </c>
      <c r="AW167" s="331">
        <f>IFERROR(IF(tbl_DCFC[[#This Row],[F Montant HT]]="","",tbl_DCFC[[#This Row],[Marge]]/tbl_DCFC[[#This Row],[F Montant HT]]),"")</f>
        <v/>
      </c>
    </row>
    <row r="168" ht="15" customHeight="1" s="701">
      <c r="A168" s="744" t="n"/>
      <c r="B168" s="347">
        <f>IFERROR(INDEX(Tabelle2[BU],MATCH(tbl_DCFC[[#This Row],[Categorie]],CAT,0)),"")</f>
        <v/>
      </c>
      <c r="C168" s="315">
        <f>IF(D168&lt;&gt;"","S"&amp;TEXT(WEEKNUM(D168,21),"00"),"")</f>
        <v/>
      </c>
      <c r="D168" s="744" t="n"/>
      <c r="E168" s="350" t="n"/>
      <c r="F168" s="350" t="n"/>
      <c r="G168" s="350" t="n"/>
      <c r="H168" s="350" t="n"/>
      <c r="I168" s="745" t="n"/>
      <c r="J168" s="350" t="n"/>
      <c r="K168" s="350" t="n"/>
      <c r="L168" s="337" t="n"/>
      <c r="M168" s="347" t="n"/>
      <c r="N168">
        <f>IF(Q168&lt;&gt;"","S"&amp;TEXT(WEEKNUM(Q168,21),"00"),"")</f>
        <v/>
      </c>
      <c r="O168">
        <f>IF(Data!$Q168="","",YEAR(Data!$Q168))</f>
        <v/>
      </c>
      <c r="P168">
        <f>IF(Data!$Q168="","",MONTH(Data!$Q168))</f>
        <v/>
      </c>
      <c r="V168" s="347" t="n"/>
      <c r="W168" s="163" t="n"/>
      <c r="X168">
        <f>IF(AC168&lt;&gt;"","S"&amp;TEXT(WEEKNUM(AC168,21),"00"),"")</f>
        <v/>
      </c>
      <c r="Y168">
        <f>IF(Data!$AC168="","",YEAR(Data!$AC168))</f>
        <v/>
      </c>
      <c r="Z168">
        <f>IF(Data!$AC168="","",MONTH(Data!$AC168))</f>
        <v/>
      </c>
      <c r="AA168" s="163" t="n"/>
      <c r="AD168" s="709" t="n"/>
      <c r="AE168" s="163" t="n"/>
      <c r="AF168" s="302" t="n"/>
      <c r="AH168" s="347" t="n"/>
      <c r="AI168" s="340" t="n"/>
      <c r="AJ168" s="340" t="n"/>
      <c r="AK168" s="347" t="n"/>
      <c r="AM168" s="347" t="n"/>
      <c r="AN168" s="350" t="n"/>
      <c r="AO168" s="347" t="n"/>
      <c r="AP168" s="340" t="n"/>
      <c r="AQ168" s="347" t="n"/>
      <c r="AR168" s="313" t="n"/>
      <c r="AS168" s="347" t="n"/>
      <c r="AT168" s="736" t="n"/>
      <c r="AU168" s="736" t="n"/>
      <c r="AV168" s="731">
        <f>IF(AT168="","",S168-AT168-AU168)</f>
        <v/>
      </c>
      <c r="AW168" s="331">
        <f>IFERROR(IF(tbl_DCFC[[#This Row],[F Montant HT]]="","",tbl_DCFC[[#This Row],[Marge]]/tbl_DCFC[[#This Row],[F Montant HT]]),"")</f>
        <v/>
      </c>
    </row>
    <row r="169" ht="15" customHeight="1" s="701">
      <c r="A169" s="744" t="n"/>
      <c r="B169" s="347">
        <f>IFERROR(INDEX(Tabelle2[BU],MATCH(tbl_DCFC[[#This Row],[Categorie]],CAT,0)),"")</f>
        <v/>
      </c>
      <c r="C169" s="315">
        <f>IF(D169&lt;&gt;"","S"&amp;TEXT(WEEKNUM(D169,21),"00"),"")</f>
        <v/>
      </c>
      <c r="D169" s="744" t="n"/>
      <c r="E169" s="350" t="n"/>
      <c r="F169" s="350" t="n"/>
      <c r="G169" s="350" t="n"/>
      <c r="H169" s="350" t="n"/>
      <c r="I169" s="745" t="n"/>
      <c r="J169" s="350" t="n"/>
      <c r="K169" s="350" t="n"/>
      <c r="L169" s="337" t="n"/>
      <c r="M169" s="347" t="n"/>
      <c r="N169">
        <f>IF(Q169&lt;&gt;"","S"&amp;TEXT(WEEKNUM(Q169,21),"00"),"")</f>
        <v/>
      </c>
      <c r="O169">
        <f>IF(Data!$Q169="","",YEAR(Data!$Q169))</f>
        <v/>
      </c>
      <c r="P169">
        <f>IF(Data!$Q169="","",MONTH(Data!$Q169))</f>
        <v/>
      </c>
      <c r="V169" s="347" t="n"/>
      <c r="W169" s="163" t="n"/>
      <c r="X169">
        <f>IF(AC169&lt;&gt;"","S"&amp;TEXT(WEEKNUM(AC169,21),"00"),"")</f>
        <v/>
      </c>
      <c r="Y169">
        <f>IF(Data!$AC169="","",YEAR(Data!$AC169))</f>
        <v/>
      </c>
      <c r="Z169">
        <f>IF(Data!$AC169="","",MONTH(Data!$AC169))</f>
        <v/>
      </c>
      <c r="AA169" s="163" t="n"/>
      <c r="AD169" s="709" t="n"/>
      <c r="AE169" s="163" t="n"/>
      <c r="AF169" s="302" t="n"/>
      <c r="AH169" s="347" t="n"/>
      <c r="AI169" s="340" t="n"/>
      <c r="AJ169" s="340" t="n"/>
      <c r="AK169" s="347" t="n"/>
      <c r="AM169" s="347" t="n"/>
      <c r="AN169" s="350" t="n"/>
      <c r="AO169" s="347" t="n"/>
      <c r="AP169" s="340" t="n"/>
      <c r="AQ169" s="347" t="n"/>
      <c r="AR169" s="313" t="n"/>
      <c r="AS169" s="347" t="n"/>
      <c r="AT169" s="736" t="n"/>
      <c r="AU169" s="736" t="n"/>
      <c r="AV169" s="731">
        <f>IF(AT169="","",S169-AT169-AU169)</f>
        <v/>
      </c>
      <c r="AW169" s="331">
        <f>IFERROR(IF(tbl_DCFC[[#This Row],[F Montant HT]]="","",tbl_DCFC[[#This Row],[Marge]]/tbl_DCFC[[#This Row],[F Montant HT]]),"")</f>
        <v/>
      </c>
    </row>
    <row r="170" ht="15" customHeight="1" s="701">
      <c r="A170" s="744" t="n"/>
      <c r="B170" s="347">
        <f>IFERROR(INDEX(Tabelle2[BU],MATCH(tbl_DCFC[[#This Row],[Categorie]],CAT,0)),"")</f>
        <v/>
      </c>
      <c r="C170" s="315">
        <f>IF(D170&lt;&gt;"","S"&amp;TEXT(WEEKNUM(D170,21),"00"),"")</f>
        <v/>
      </c>
      <c r="D170" s="744" t="n"/>
      <c r="E170" s="350" t="n"/>
      <c r="F170" s="350" t="n"/>
      <c r="G170" s="350" t="n"/>
      <c r="H170" s="350" t="n"/>
      <c r="I170" s="745" t="n"/>
      <c r="J170" s="350" t="n"/>
      <c r="K170" s="350" t="n"/>
      <c r="L170" s="337" t="n"/>
      <c r="M170" s="347" t="n"/>
      <c r="N170">
        <f>IF(Q170&lt;&gt;"","S"&amp;TEXT(WEEKNUM(Q170,21),"00"),"")</f>
        <v/>
      </c>
      <c r="O170">
        <f>IF(Data!$Q170="","",YEAR(Data!$Q170))</f>
        <v/>
      </c>
      <c r="P170">
        <f>IF(Data!$Q170="","",MONTH(Data!$Q170))</f>
        <v/>
      </c>
      <c r="V170" s="347" t="n"/>
      <c r="W170" s="163" t="n"/>
      <c r="X170">
        <f>IF(AC170&lt;&gt;"","S"&amp;TEXT(WEEKNUM(AC170,21),"00"),"")</f>
        <v/>
      </c>
      <c r="Y170">
        <f>IF(Data!$AC170="","",YEAR(Data!$AC170))</f>
        <v/>
      </c>
      <c r="Z170">
        <f>IF(Data!$AC170="","",MONTH(Data!$AC170))</f>
        <v/>
      </c>
      <c r="AA170" s="163" t="n"/>
      <c r="AD170" s="709" t="n"/>
      <c r="AE170" s="163" t="n"/>
      <c r="AF170" s="302" t="n"/>
      <c r="AH170" s="347" t="n"/>
      <c r="AI170" s="340" t="n"/>
      <c r="AJ170" s="340" t="n"/>
      <c r="AK170" s="347" t="n"/>
      <c r="AM170" s="347" t="n"/>
      <c r="AN170" s="350" t="n"/>
      <c r="AO170" s="347" t="n"/>
      <c r="AP170" s="340" t="n"/>
      <c r="AQ170" s="347" t="n"/>
      <c r="AR170" s="313" t="n"/>
      <c r="AS170" s="347" t="n"/>
      <c r="AT170" s="736" t="n"/>
      <c r="AU170" s="736" t="n"/>
      <c r="AV170" s="731">
        <f>IF(AT170="","",S170-AT170-AU170)</f>
        <v/>
      </c>
      <c r="AW170" s="331">
        <f>IFERROR(IF(tbl_DCFC[[#This Row],[F Montant HT]]="","",tbl_DCFC[[#This Row],[Marge]]/tbl_DCFC[[#This Row],[F Montant HT]]),"")</f>
        <v/>
      </c>
    </row>
    <row r="171" ht="15" customHeight="1" s="701">
      <c r="A171" s="744" t="n"/>
      <c r="B171" s="347">
        <f>IFERROR(INDEX(Tabelle2[BU],MATCH(tbl_DCFC[[#This Row],[Categorie]],CAT,0)),"")</f>
        <v/>
      </c>
      <c r="C171" s="315">
        <f>IF(D171&lt;&gt;"","S"&amp;TEXT(WEEKNUM(D171,21),"00"),"")</f>
        <v/>
      </c>
      <c r="D171" s="744" t="n"/>
      <c r="E171" s="350" t="n"/>
      <c r="F171" s="350" t="n"/>
      <c r="G171" s="350" t="n"/>
      <c r="H171" s="350" t="n"/>
      <c r="I171" s="745" t="n"/>
      <c r="J171" s="350" t="n"/>
      <c r="K171" s="350" t="n"/>
      <c r="L171" s="337" t="n"/>
      <c r="M171" s="347" t="n"/>
      <c r="N171">
        <f>IF(Q171&lt;&gt;"","S"&amp;TEXT(WEEKNUM(Q171,21),"00"),"")</f>
        <v/>
      </c>
      <c r="O171">
        <f>IF(Data!$Q171="","",YEAR(Data!$Q171))</f>
        <v/>
      </c>
      <c r="P171">
        <f>IF(Data!$Q171="","",MONTH(Data!$Q171))</f>
        <v/>
      </c>
      <c r="V171" s="347" t="n"/>
      <c r="W171" s="163" t="n"/>
      <c r="X171">
        <f>IF(AC171&lt;&gt;"","S"&amp;TEXT(WEEKNUM(AC171,21),"00"),"")</f>
        <v/>
      </c>
      <c r="Y171">
        <f>IF(Data!$AC171="","",YEAR(Data!$AC171))</f>
        <v/>
      </c>
      <c r="Z171">
        <f>IF(Data!$AC171="","",MONTH(Data!$AC171))</f>
        <v/>
      </c>
      <c r="AA171" s="163" t="n"/>
      <c r="AD171" s="709" t="n"/>
      <c r="AE171" s="163" t="n"/>
      <c r="AF171" s="302" t="n"/>
      <c r="AH171" s="347" t="n"/>
      <c r="AI171" s="340" t="n"/>
      <c r="AJ171" s="340" t="n"/>
      <c r="AK171" s="347" t="n"/>
      <c r="AM171" s="347" t="n"/>
      <c r="AN171" s="350" t="n"/>
      <c r="AO171" s="347" t="n"/>
      <c r="AP171" s="340" t="n"/>
      <c r="AQ171" s="347" t="n"/>
      <c r="AR171" s="313" t="n"/>
      <c r="AS171" s="347" t="n"/>
      <c r="AT171" s="736" t="n"/>
      <c r="AU171" s="736" t="n"/>
      <c r="AV171" s="731">
        <f>IF(AT171="","",S171-AT171-AU171)</f>
        <v/>
      </c>
      <c r="AW171" s="331">
        <f>IFERROR(IF(tbl_DCFC[[#This Row],[F Montant HT]]="","",tbl_DCFC[[#This Row],[Marge]]/tbl_DCFC[[#This Row],[F Montant HT]]),"")</f>
        <v/>
      </c>
    </row>
    <row r="172" ht="15" customHeight="1" s="701">
      <c r="A172" s="744" t="n"/>
      <c r="B172" s="347">
        <f>IFERROR(INDEX(Tabelle2[BU],MATCH(tbl_DCFC[[#This Row],[Categorie]],CAT,0)),"")</f>
        <v/>
      </c>
      <c r="C172" s="315">
        <f>IF(D172&lt;&gt;"","S"&amp;TEXT(WEEKNUM(D172,21),"00"),"")</f>
        <v/>
      </c>
      <c r="D172" s="744" t="n"/>
      <c r="E172" s="350" t="n"/>
      <c r="F172" s="350" t="n"/>
      <c r="G172" s="350" t="n"/>
      <c r="H172" s="350" t="n"/>
      <c r="I172" s="745" t="n"/>
      <c r="J172" s="350" t="n"/>
      <c r="K172" s="350" t="n"/>
      <c r="L172" s="337" t="n"/>
      <c r="M172" s="347" t="n"/>
      <c r="N172">
        <f>IF(Q172&lt;&gt;"","S"&amp;TEXT(WEEKNUM(Q172,21),"00"),"")</f>
        <v/>
      </c>
      <c r="O172">
        <f>IF(Data!$Q172="","",YEAR(Data!$Q172))</f>
        <v/>
      </c>
      <c r="P172">
        <f>IF(Data!$Q172="","",MONTH(Data!$Q172))</f>
        <v/>
      </c>
      <c r="V172" s="347" t="n"/>
      <c r="W172" s="163" t="n"/>
      <c r="X172">
        <f>IF(AC172&lt;&gt;"","S"&amp;TEXT(WEEKNUM(AC172,21),"00"),"")</f>
        <v/>
      </c>
      <c r="Y172">
        <f>IF(Data!$AC172="","",YEAR(Data!$AC172))</f>
        <v/>
      </c>
      <c r="Z172">
        <f>IF(Data!$AC172="","",MONTH(Data!$AC172))</f>
        <v/>
      </c>
      <c r="AA172" s="163" t="n"/>
      <c r="AD172" s="709" t="n"/>
      <c r="AE172" s="163" t="n"/>
      <c r="AF172" s="302" t="n"/>
      <c r="AH172" s="347" t="n"/>
      <c r="AI172" s="340" t="n"/>
      <c r="AJ172" s="340" t="n"/>
      <c r="AK172" s="347" t="n"/>
      <c r="AM172" s="347" t="n"/>
      <c r="AN172" s="350" t="n"/>
      <c r="AO172" s="347" t="n"/>
      <c r="AP172" s="340" t="n"/>
      <c r="AQ172" s="347" t="n"/>
      <c r="AR172" s="313" t="n"/>
      <c r="AS172" s="347" t="n"/>
      <c r="AT172" s="736" t="n"/>
      <c r="AU172" s="736" t="n"/>
      <c r="AV172" s="731">
        <f>IF(AT172="","",S172-AT172-AU172)</f>
        <v/>
      </c>
      <c r="AW172" s="331">
        <f>IFERROR(IF(tbl_DCFC[[#This Row],[F Montant HT]]="","",tbl_DCFC[[#This Row],[Marge]]/tbl_DCFC[[#This Row],[F Montant HT]]),"")</f>
        <v/>
      </c>
    </row>
    <row r="173" ht="15" customHeight="1" s="701">
      <c r="A173" s="744" t="n"/>
      <c r="B173" s="347">
        <f>IFERROR(INDEX(Tabelle2[BU],MATCH(tbl_DCFC[[#This Row],[Categorie]],CAT,0)),"")</f>
        <v/>
      </c>
      <c r="C173" s="315">
        <f>IF(D173&lt;&gt;"","S"&amp;TEXT(WEEKNUM(D173,21),"00"),"")</f>
        <v/>
      </c>
      <c r="D173" s="744" t="n"/>
      <c r="E173" s="350" t="n"/>
      <c r="F173" s="350" t="n"/>
      <c r="G173" s="350" t="n"/>
      <c r="H173" s="350" t="n"/>
      <c r="I173" s="745" t="n"/>
      <c r="J173" s="350" t="n"/>
      <c r="K173" s="350" t="n"/>
      <c r="L173" s="337" t="n"/>
      <c r="M173" s="347" t="n"/>
      <c r="N173">
        <f>IF(Q173&lt;&gt;"","S"&amp;TEXT(WEEKNUM(Q173,21),"00"),"")</f>
        <v/>
      </c>
      <c r="O173">
        <f>IF(Data!$Q173="","",YEAR(Data!$Q173))</f>
        <v/>
      </c>
      <c r="P173">
        <f>IF(Data!$Q173="","",MONTH(Data!$Q173))</f>
        <v/>
      </c>
      <c r="V173" s="347" t="n"/>
      <c r="W173" s="163" t="n"/>
      <c r="X173">
        <f>IF(AC173&lt;&gt;"","S"&amp;TEXT(WEEKNUM(AC173,21),"00"),"")</f>
        <v/>
      </c>
      <c r="Y173">
        <f>IF(Data!$AC173="","",YEAR(Data!$AC173))</f>
        <v/>
      </c>
      <c r="Z173">
        <f>IF(Data!$AC173="","",MONTH(Data!$AC173))</f>
        <v/>
      </c>
      <c r="AA173" s="163" t="n"/>
      <c r="AD173" s="709" t="n"/>
      <c r="AE173" s="163" t="n"/>
      <c r="AF173" s="302" t="n"/>
      <c r="AH173" s="347" t="n"/>
      <c r="AI173" s="340" t="n"/>
      <c r="AJ173" s="340" t="n"/>
      <c r="AK173" s="347" t="n"/>
      <c r="AM173" s="347" t="n"/>
      <c r="AN173" s="350" t="n"/>
      <c r="AO173" s="347" t="n"/>
      <c r="AP173" s="340" t="n"/>
      <c r="AQ173" s="347" t="n"/>
      <c r="AR173" s="313" t="n"/>
      <c r="AS173" s="347" t="n"/>
      <c r="AT173" s="736" t="n"/>
      <c r="AU173" s="736" t="n"/>
      <c r="AV173" s="731">
        <f>IF(AT173="","",S173-AT173-AU173)</f>
        <v/>
      </c>
      <c r="AW173" s="331">
        <f>IFERROR(IF(tbl_DCFC[[#This Row],[F Montant HT]]="","",tbl_DCFC[[#This Row],[Marge]]/tbl_DCFC[[#This Row],[F Montant HT]]),"")</f>
        <v/>
      </c>
    </row>
    <row r="174" ht="15" customHeight="1" s="701">
      <c r="A174" s="744" t="n"/>
      <c r="B174" s="347">
        <f>IFERROR(INDEX(Tabelle2[BU],MATCH(tbl_DCFC[[#This Row],[Categorie]],CAT,0)),"")</f>
        <v/>
      </c>
      <c r="C174" s="315">
        <f>IF(D174&lt;&gt;"","S"&amp;TEXT(WEEKNUM(D174,21),"00"),"")</f>
        <v/>
      </c>
      <c r="D174" s="744" t="n"/>
      <c r="E174" s="350" t="n"/>
      <c r="F174" s="350" t="n"/>
      <c r="G174" s="350" t="n"/>
      <c r="H174" s="350" t="n"/>
      <c r="I174" s="745" t="n"/>
      <c r="J174" s="350" t="n"/>
      <c r="K174" s="350" t="n"/>
      <c r="L174" s="337" t="n"/>
      <c r="M174" s="347" t="n"/>
      <c r="N174">
        <f>IF(Q174&lt;&gt;"","S"&amp;TEXT(WEEKNUM(Q174,21),"00"),"")</f>
        <v/>
      </c>
      <c r="O174">
        <f>IF(Data!$Q174="","",YEAR(Data!$Q174))</f>
        <v/>
      </c>
      <c r="P174">
        <f>IF(Data!$Q174="","",MONTH(Data!$Q174))</f>
        <v/>
      </c>
      <c r="V174" s="347" t="n"/>
      <c r="W174" s="163" t="n"/>
      <c r="X174">
        <f>IF(AC174&lt;&gt;"","S"&amp;TEXT(WEEKNUM(AC174,21),"00"),"")</f>
        <v/>
      </c>
      <c r="Y174">
        <f>IF(Data!$AC174="","",YEAR(Data!$AC174))</f>
        <v/>
      </c>
      <c r="Z174">
        <f>IF(Data!$AC174="","",MONTH(Data!$AC174))</f>
        <v/>
      </c>
      <c r="AA174" s="163" t="n"/>
      <c r="AD174" s="709" t="n"/>
      <c r="AE174" s="163" t="n"/>
      <c r="AF174" s="302" t="n"/>
      <c r="AH174" s="347" t="n"/>
      <c r="AI174" s="340" t="n"/>
      <c r="AJ174" s="340" t="n"/>
      <c r="AK174" s="347" t="n"/>
      <c r="AM174" s="347" t="n"/>
      <c r="AN174" s="350" t="n"/>
      <c r="AO174" s="347" t="n"/>
      <c r="AP174" s="340" t="n"/>
      <c r="AQ174" s="347" t="n"/>
      <c r="AR174" s="313" t="n"/>
      <c r="AS174" s="347" t="n"/>
      <c r="AT174" s="736" t="n"/>
      <c r="AU174" s="736" t="n"/>
      <c r="AV174" s="731">
        <f>IF(AT174="","",S174-AT174-AU174)</f>
        <v/>
      </c>
      <c r="AW174" s="331">
        <f>IFERROR(IF(tbl_DCFC[[#This Row],[F Montant HT]]="","",tbl_DCFC[[#This Row],[Marge]]/tbl_DCFC[[#This Row],[F Montant HT]]),"")</f>
        <v/>
      </c>
    </row>
    <row r="175" ht="15" customHeight="1" s="701">
      <c r="A175" s="744" t="n"/>
      <c r="B175" s="347">
        <f>IFERROR(INDEX(Tabelle2[BU],MATCH(tbl_DCFC[[#This Row],[Categorie]],CAT,0)),"")</f>
        <v/>
      </c>
      <c r="C175" s="315">
        <f>IF(D175&lt;&gt;"","S"&amp;TEXT(WEEKNUM(D175,21),"00"),"")</f>
        <v/>
      </c>
      <c r="D175" s="744" t="n"/>
      <c r="E175" s="350" t="n"/>
      <c r="F175" s="350" t="n"/>
      <c r="G175" s="350" t="n"/>
      <c r="H175" s="350" t="n"/>
      <c r="I175" s="745" t="n"/>
      <c r="J175" s="350" t="n"/>
      <c r="K175" s="350" t="n"/>
      <c r="L175" s="337" t="n"/>
      <c r="M175" s="347" t="n"/>
      <c r="N175">
        <f>IF(Q175&lt;&gt;"","S"&amp;TEXT(WEEKNUM(Q175,21),"00"),"")</f>
        <v/>
      </c>
      <c r="O175">
        <f>IF(Data!$Q175="","",YEAR(Data!$Q175))</f>
        <v/>
      </c>
      <c r="P175">
        <f>IF(Data!$Q175="","",MONTH(Data!$Q175))</f>
        <v/>
      </c>
      <c r="V175" s="347" t="n"/>
      <c r="W175" s="163" t="n"/>
      <c r="X175">
        <f>IF(AC175&lt;&gt;"","S"&amp;TEXT(WEEKNUM(AC175,21),"00"),"")</f>
        <v/>
      </c>
      <c r="Y175">
        <f>IF(Data!$AC175="","",YEAR(Data!$AC175))</f>
        <v/>
      </c>
      <c r="Z175">
        <f>IF(Data!$AC175="","",MONTH(Data!$AC175))</f>
        <v/>
      </c>
      <c r="AA175" s="163" t="n"/>
      <c r="AD175" s="709" t="n"/>
      <c r="AE175" s="163" t="n"/>
      <c r="AF175" s="302" t="n"/>
      <c r="AH175" s="347" t="n"/>
      <c r="AI175" s="340" t="n"/>
      <c r="AJ175" s="340" t="n"/>
      <c r="AK175" s="347" t="n"/>
      <c r="AM175" s="347" t="n"/>
      <c r="AN175" s="350" t="n"/>
      <c r="AO175" s="347" t="n"/>
      <c r="AP175" s="340" t="n"/>
      <c r="AQ175" s="347" t="n"/>
      <c r="AR175" s="313" t="n"/>
      <c r="AS175" s="347" t="n"/>
      <c r="AT175" s="736" t="n"/>
      <c r="AU175" s="736" t="n"/>
      <c r="AV175" s="731">
        <f>IF(AT175="","",S175-AT175-AU175)</f>
        <v/>
      </c>
      <c r="AW175" s="331">
        <f>IFERROR(IF(tbl_DCFC[[#This Row],[F Montant HT]]="","",tbl_DCFC[[#This Row],[Marge]]/tbl_DCFC[[#This Row],[F Montant HT]]),"")</f>
        <v/>
      </c>
    </row>
    <row r="176" ht="15" customHeight="1" s="701">
      <c r="A176" s="744" t="n"/>
      <c r="B176" s="347">
        <f>IFERROR(INDEX(Tabelle2[BU],MATCH(tbl_DCFC[[#This Row],[Categorie]],CAT,0)),"")</f>
        <v/>
      </c>
      <c r="C176" s="315">
        <f>IF(D176&lt;&gt;"","S"&amp;TEXT(WEEKNUM(D176,21),"00"),"")</f>
        <v/>
      </c>
      <c r="D176" s="744" t="n"/>
      <c r="E176" s="350" t="n"/>
      <c r="F176" s="350" t="n"/>
      <c r="G176" s="350" t="n"/>
      <c r="H176" s="350" t="n"/>
      <c r="I176" s="745" t="n"/>
      <c r="J176" s="350" t="n"/>
      <c r="K176" s="350" t="n"/>
      <c r="L176" s="337" t="n"/>
      <c r="M176" s="347" t="n"/>
      <c r="N176">
        <f>IF(Q176&lt;&gt;"","S"&amp;TEXT(WEEKNUM(Q176,21),"00"),"")</f>
        <v/>
      </c>
      <c r="O176">
        <f>IF(Data!$Q176="","",YEAR(Data!$Q176))</f>
        <v/>
      </c>
      <c r="P176">
        <f>IF(Data!$Q176="","",MONTH(Data!$Q176))</f>
        <v/>
      </c>
      <c r="V176" s="347" t="n"/>
      <c r="W176" s="163" t="n"/>
      <c r="X176">
        <f>IF(AC176&lt;&gt;"","S"&amp;TEXT(WEEKNUM(AC176,21),"00"),"")</f>
        <v/>
      </c>
      <c r="Y176">
        <f>IF(Data!$AC176="","",YEAR(Data!$AC176))</f>
        <v/>
      </c>
      <c r="Z176">
        <f>IF(Data!$AC176="","",MONTH(Data!$AC176))</f>
        <v/>
      </c>
      <c r="AA176" s="163" t="n"/>
      <c r="AD176" s="709" t="n"/>
      <c r="AE176" s="163" t="n"/>
      <c r="AF176" s="302" t="n"/>
      <c r="AH176" s="347" t="n"/>
      <c r="AI176" s="340" t="n"/>
      <c r="AJ176" s="340" t="n"/>
      <c r="AK176" s="347" t="n"/>
      <c r="AM176" s="347" t="n"/>
      <c r="AN176" s="350" t="n"/>
      <c r="AO176" s="347" t="n"/>
      <c r="AP176" s="340" t="n"/>
      <c r="AQ176" s="347" t="n"/>
      <c r="AR176" s="313" t="n"/>
      <c r="AS176" s="347" t="n"/>
      <c r="AT176" s="736" t="n"/>
      <c r="AU176" s="736" t="n"/>
      <c r="AV176" s="731">
        <f>IF(AT176="","",S176-AT176-AU176)</f>
        <v/>
      </c>
      <c r="AW176" s="331">
        <f>IFERROR(IF(tbl_DCFC[[#This Row],[F Montant HT]]="","",tbl_DCFC[[#This Row],[Marge]]/tbl_DCFC[[#This Row],[F Montant HT]]),"")</f>
        <v/>
      </c>
    </row>
    <row r="177" ht="15" customHeight="1" s="701">
      <c r="A177" s="744" t="n"/>
      <c r="B177" s="347">
        <f>IFERROR(INDEX(Tabelle2[BU],MATCH(tbl_DCFC[[#This Row],[Categorie]],CAT,0)),"")</f>
        <v/>
      </c>
      <c r="C177" s="315">
        <f>IF(D177&lt;&gt;"","S"&amp;TEXT(WEEKNUM(D177,21),"00"),"")</f>
        <v/>
      </c>
      <c r="D177" s="744" t="n"/>
      <c r="E177" s="350" t="n"/>
      <c r="F177" s="350" t="n"/>
      <c r="G177" s="350" t="n"/>
      <c r="H177" s="350" t="n"/>
      <c r="I177" s="745" t="n"/>
      <c r="J177" s="350" t="n"/>
      <c r="K177" s="350" t="n"/>
      <c r="L177" s="337" t="n"/>
      <c r="M177" s="347" t="n"/>
      <c r="N177">
        <f>IF(Q177&lt;&gt;"","S"&amp;TEXT(WEEKNUM(Q177,21),"00"),"")</f>
        <v/>
      </c>
      <c r="O177">
        <f>IF(Data!$Q177="","",YEAR(Data!$Q177))</f>
        <v/>
      </c>
      <c r="P177">
        <f>IF(Data!$Q177="","",MONTH(Data!$Q177))</f>
        <v/>
      </c>
      <c r="V177" s="347" t="n"/>
      <c r="W177" s="163" t="n"/>
      <c r="X177">
        <f>IF(AC177&lt;&gt;"","S"&amp;TEXT(WEEKNUM(AC177,21),"00"),"")</f>
        <v/>
      </c>
      <c r="Y177">
        <f>IF(Data!$AC177="","",YEAR(Data!$AC177))</f>
        <v/>
      </c>
      <c r="Z177">
        <f>IF(Data!$AC177="","",MONTH(Data!$AC177))</f>
        <v/>
      </c>
      <c r="AA177" s="163" t="n"/>
      <c r="AD177" s="709" t="n"/>
      <c r="AE177" s="163" t="n"/>
      <c r="AF177" s="302" t="n"/>
      <c r="AH177" s="347" t="n"/>
      <c r="AI177" s="340" t="n"/>
      <c r="AJ177" s="340" t="n"/>
      <c r="AK177" s="347" t="n"/>
      <c r="AM177" s="347" t="n"/>
      <c r="AN177" s="350" t="n"/>
      <c r="AO177" s="347" t="n"/>
      <c r="AP177" s="340" t="n"/>
      <c r="AQ177" s="347" t="n"/>
      <c r="AR177" s="313" t="n"/>
      <c r="AS177" s="347" t="n"/>
      <c r="AT177" s="736" t="n"/>
      <c r="AU177" s="736" t="n"/>
      <c r="AV177" s="731">
        <f>IF(AT177="","",S177-AT177-AU177)</f>
        <v/>
      </c>
      <c r="AW177" s="331">
        <f>IFERROR(IF(tbl_DCFC[[#This Row],[F Montant HT]]="","",tbl_DCFC[[#This Row],[Marge]]/tbl_DCFC[[#This Row],[F Montant HT]]),"")</f>
        <v/>
      </c>
    </row>
    <row r="178" ht="15" customHeight="1" s="701">
      <c r="A178" s="744" t="n"/>
      <c r="B178" s="347">
        <f>IFERROR(INDEX(Tabelle2[BU],MATCH(tbl_DCFC[[#This Row],[Categorie]],CAT,0)),"")</f>
        <v/>
      </c>
      <c r="C178" s="315">
        <f>IF(D178&lt;&gt;"","S"&amp;TEXT(WEEKNUM(D178,21),"00"),"")</f>
        <v/>
      </c>
      <c r="D178" s="744" t="n"/>
      <c r="E178" s="350" t="n"/>
      <c r="F178" s="350" t="n"/>
      <c r="G178" s="350" t="n"/>
      <c r="H178" s="350" t="n"/>
      <c r="I178" s="745" t="n"/>
      <c r="J178" s="350" t="n"/>
      <c r="K178" s="350" t="n"/>
      <c r="L178" s="337" t="n"/>
      <c r="M178" s="347" t="n"/>
      <c r="N178">
        <f>IF(Q178&lt;&gt;"","S"&amp;TEXT(WEEKNUM(Q178,21),"00"),"")</f>
        <v/>
      </c>
      <c r="O178">
        <f>IF(Data!$Q178="","",YEAR(Data!$Q178))</f>
        <v/>
      </c>
      <c r="P178">
        <f>IF(Data!$Q178="","",MONTH(Data!$Q178))</f>
        <v/>
      </c>
      <c r="V178" s="347" t="n"/>
      <c r="W178" s="163" t="n"/>
      <c r="X178">
        <f>IF(AC178&lt;&gt;"","S"&amp;TEXT(WEEKNUM(AC178,21),"00"),"")</f>
        <v/>
      </c>
      <c r="Y178">
        <f>IF(Data!$AC178="","",YEAR(Data!$AC178))</f>
        <v/>
      </c>
      <c r="Z178">
        <f>IF(Data!$AC178="","",MONTH(Data!$AC178))</f>
        <v/>
      </c>
      <c r="AA178" s="163" t="n"/>
      <c r="AD178" s="709" t="n"/>
      <c r="AE178" s="163" t="n"/>
      <c r="AF178" s="302" t="n"/>
      <c r="AH178" s="347" t="n"/>
      <c r="AI178" s="340" t="n"/>
      <c r="AJ178" s="340" t="n"/>
      <c r="AK178" s="347" t="n"/>
      <c r="AM178" s="347" t="n"/>
      <c r="AN178" s="350" t="n"/>
      <c r="AO178" s="347" t="n"/>
      <c r="AP178" s="340" t="n"/>
      <c r="AQ178" s="347" t="n"/>
      <c r="AR178" s="313" t="n"/>
      <c r="AS178" s="347" t="n"/>
      <c r="AT178" s="736" t="n"/>
      <c r="AU178" s="736" t="n"/>
      <c r="AV178" s="731">
        <f>IF(AT178="","",S178-AT178-AU178)</f>
        <v/>
      </c>
      <c r="AW178" s="331">
        <f>IFERROR(IF(tbl_DCFC[[#This Row],[F Montant HT]]="","",tbl_DCFC[[#This Row],[Marge]]/tbl_DCFC[[#This Row],[F Montant HT]]),"")</f>
        <v/>
      </c>
    </row>
    <row r="179" ht="15" customHeight="1" s="701">
      <c r="A179" s="744" t="n"/>
      <c r="B179" s="347">
        <f>IFERROR(INDEX(Tabelle2[BU],MATCH(tbl_DCFC[[#This Row],[Categorie]],CAT,0)),"")</f>
        <v/>
      </c>
      <c r="C179" s="315">
        <f>IF(D179&lt;&gt;"","S"&amp;TEXT(WEEKNUM(D179,21),"00"),"")</f>
        <v/>
      </c>
      <c r="D179" s="744" t="n"/>
      <c r="E179" s="350" t="n"/>
      <c r="F179" s="350" t="n"/>
      <c r="G179" s="350" t="n"/>
      <c r="H179" s="350" t="n"/>
      <c r="I179" s="745" t="n"/>
      <c r="J179" s="350" t="n"/>
      <c r="K179" s="350" t="n"/>
      <c r="L179" s="337" t="n"/>
      <c r="M179" s="347" t="n"/>
      <c r="N179">
        <f>IF(Q179&lt;&gt;"","S"&amp;TEXT(WEEKNUM(Q179,21),"00"),"")</f>
        <v/>
      </c>
      <c r="O179">
        <f>IF(Data!$Q179="","",YEAR(Data!$Q179))</f>
        <v/>
      </c>
      <c r="P179">
        <f>IF(Data!$Q179="","",MONTH(Data!$Q179))</f>
        <v/>
      </c>
      <c r="V179" s="347" t="n"/>
      <c r="W179" s="163" t="n"/>
      <c r="X179">
        <f>IF(AC179&lt;&gt;"","S"&amp;TEXT(WEEKNUM(AC179,21),"00"),"")</f>
        <v/>
      </c>
      <c r="Y179">
        <f>IF(Data!$AC179="","",YEAR(Data!$AC179))</f>
        <v/>
      </c>
      <c r="Z179">
        <f>IF(Data!$AC179="","",MONTH(Data!$AC179))</f>
        <v/>
      </c>
      <c r="AA179" s="163" t="n"/>
      <c r="AD179" s="709" t="n"/>
      <c r="AE179" s="163" t="n"/>
      <c r="AF179" s="302" t="n"/>
      <c r="AH179" s="347" t="n"/>
      <c r="AI179" s="340" t="n"/>
      <c r="AJ179" s="340" t="n"/>
      <c r="AK179" s="347" t="n"/>
      <c r="AM179" s="347" t="n"/>
      <c r="AN179" s="350" t="n"/>
      <c r="AO179" s="347" t="n"/>
      <c r="AP179" s="340" t="n"/>
      <c r="AQ179" s="347" t="n"/>
      <c r="AR179" s="313" t="n"/>
      <c r="AS179" s="347" t="n"/>
      <c r="AT179" s="736" t="n"/>
      <c r="AU179" s="736" t="n"/>
      <c r="AV179" s="731">
        <f>IF(AT179="","",S179-AT179-AU179)</f>
        <v/>
      </c>
      <c r="AW179" s="331">
        <f>IFERROR(IF(tbl_DCFC[[#This Row],[F Montant HT]]="","",tbl_DCFC[[#This Row],[Marge]]/tbl_DCFC[[#This Row],[F Montant HT]]),"")</f>
        <v/>
      </c>
    </row>
    <row r="180" ht="15" customHeight="1" s="701">
      <c r="A180" s="744" t="n"/>
      <c r="B180" s="347">
        <f>IFERROR(INDEX(Tabelle2[BU],MATCH(tbl_DCFC[[#This Row],[Categorie]],CAT,0)),"")</f>
        <v/>
      </c>
      <c r="C180" s="315">
        <f>IF(D180&lt;&gt;"","S"&amp;TEXT(WEEKNUM(D180,21),"00"),"")</f>
        <v/>
      </c>
      <c r="D180" s="744" t="n"/>
      <c r="E180" s="350" t="n"/>
      <c r="F180" s="350" t="n"/>
      <c r="G180" s="350" t="n"/>
      <c r="H180" s="350" t="n"/>
      <c r="I180" s="745" t="n"/>
      <c r="J180" s="350" t="n"/>
      <c r="K180" s="350" t="n"/>
      <c r="L180" s="337" t="n"/>
      <c r="M180" s="347" t="n"/>
      <c r="N180">
        <f>IF(Q180&lt;&gt;"","S"&amp;TEXT(WEEKNUM(Q180,21),"00"),"")</f>
        <v/>
      </c>
      <c r="O180">
        <f>IF(Data!$Q180="","",YEAR(Data!$Q180))</f>
        <v/>
      </c>
      <c r="P180">
        <f>IF(Data!$Q180="","",MONTH(Data!$Q180))</f>
        <v/>
      </c>
      <c r="V180" s="347" t="n"/>
      <c r="W180" s="163" t="n"/>
      <c r="X180">
        <f>IF(AC180&lt;&gt;"","S"&amp;TEXT(WEEKNUM(AC180,21),"00"),"")</f>
        <v/>
      </c>
      <c r="Y180">
        <f>IF(Data!$AC180="","",YEAR(Data!$AC180))</f>
        <v/>
      </c>
      <c r="Z180">
        <f>IF(Data!$AC180="","",MONTH(Data!$AC180))</f>
        <v/>
      </c>
      <c r="AA180" s="163" t="n"/>
      <c r="AD180" s="709" t="n"/>
      <c r="AE180" s="163" t="n"/>
      <c r="AF180" s="302" t="n"/>
      <c r="AH180" s="347" t="n"/>
      <c r="AI180" s="340" t="n"/>
      <c r="AJ180" s="340" t="n"/>
      <c r="AK180" s="347" t="n"/>
      <c r="AM180" s="347" t="n"/>
      <c r="AN180" s="350" t="n"/>
      <c r="AO180" s="347" t="n"/>
      <c r="AP180" s="340" t="n"/>
      <c r="AQ180" s="347" t="n"/>
      <c r="AR180" s="313" t="n"/>
      <c r="AS180" s="347" t="n"/>
      <c r="AT180" s="736" t="n"/>
      <c r="AU180" s="736" t="n"/>
      <c r="AV180" s="731">
        <f>IF(AT180="","",S180-AT180-AU180)</f>
        <v/>
      </c>
      <c r="AW180" s="331">
        <f>IFERROR(IF(tbl_DCFC[[#This Row],[F Montant HT]]="","",tbl_DCFC[[#This Row],[Marge]]/tbl_DCFC[[#This Row],[F Montant HT]]),"")</f>
        <v/>
      </c>
    </row>
    <row r="181" ht="15" customHeight="1" s="701">
      <c r="A181" s="744" t="n"/>
      <c r="B181" s="347">
        <f>IFERROR(INDEX(Tabelle2[BU],MATCH(tbl_DCFC[[#This Row],[Categorie]],CAT,0)),"")</f>
        <v/>
      </c>
      <c r="C181" s="315">
        <f>IF(D181&lt;&gt;"","S"&amp;TEXT(WEEKNUM(D181,21),"00"),"")</f>
        <v/>
      </c>
      <c r="D181" s="744" t="n"/>
      <c r="E181" s="350" t="n"/>
      <c r="F181" s="350" t="n"/>
      <c r="G181" s="350" t="n"/>
      <c r="H181" s="350" t="n"/>
      <c r="I181" s="745" t="n"/>
      <c r="J181" s="350" t="n"/>
      <c r="K181" s="350" t="n"/>
      <c r="L181" s="337" t="n"/>
      <c r="M181" s="347" t="n"/>
      <c r="N181">
        <f>IF(Q181&lt;&gt;"","S"&amp;TEXT(WEEKNUM(Q181,21),"00"),"")</f>
        <v/>
      </c>
      <c r="O181">
        <f>IF(Data!$Q181="","",YEAR(Data!$Q181))</f>
        <v/>
      </c>
      <c r="P181">
        <f>IF(Data!$Q181="","",MONTH(Data!$Q181))</f>
        <v/>
      </c>
      <c r="V181" s="347" t="n"/>
      <c r="W181" s="163" t="n"/>
      <c r="X181">
        <f>IF(AC181&lt;&gt;"","S"&amp;TEXT(WEEKNUM(AC181,21),"00"),"")</f>
        <v/>
      </c>
      <c r="Y181">
        <f>IF(Data!$AC181="","",YEAR(Data!$AC181))</f>
        <v/>
      </c>
      <c r="Z181">
        <f>IF(Data!$AC181="","",MONTH(Data!$AC181))</f>
        <v/>
      </c>
      <c r="AA181" s="163" t="n"/>
      <c r="AD181" s="709" t="n"/>
      <c r="AE181" s="163" t="n"/>
      <c r="AF181" s="302" t="n"/>
      <c r="AH181" s="347" t="n"/>
      <c r="AI181" s="340" t="n"/>
      <c r="AJ181" s="340" t="n"/>
      <c r="AK181" s="347" t="n"/>
      <c r="AM181" s="347" t="n"/>
      <c r="AN181" s="350" t="n"/>
      <c r="AO181" s="347" t="n"/>
      <c r="AP181" s="340" t="n"/>
      <c r="AQ181" s="347" t="n"/>
      <c r="AR181" s="313" t="n"/>
      <c r="AS181" s="347" t="n"/>
      <c r="AT181" s="736" t="n"/>
      <c r="AU181" s="736" t="n"/>
      <c r="AV181" s="731">
        <f>IF(AT181="","",S181-AT181-AU181)</f>
        <v/>
      </c>
      <c r="AW181" s="331">
        <f>IFERROR(IF(tbl_DCFC[[#This Row],[F Montant HT]]="","",tbl_DCFC[[#This Row],[Marge]]/tbl_DCFC[[#This Row],[F Montant HT]]),"")</f>
        <v/>
      </c>
    </row>
    <row r="182" ht="15" customHeight="1" s="701">
      <c r="A182" s="744" t="n"/>
      <c r="B182" s="347">
        <f>IFERROR(INDEX(Tabelle2[BU],MATCH(tbl_DCFC[[#This Row],[Categorie]],CAT,0)),"")</f>
        <v/>
      </c>
      <c r="C182" s="315">
        <f>IF(D182&lt;&gt;"","S"&amp;TEXT(WEEKNUM(D182,21),"00"),"")</f>
        <v/>
      </c>
      <c r="D182" s="744" t="n"/>
      <c r="E182" s="350" t="n"/>
      <c r="F182" s="350" t="n"/>
      <c r="G182" s="350" t="n"/>
      <c r="H182" s="350" t="n"/>
      <c r="I182" s="745" t="n"/>
      <c r="J182" s="350" t="n"/>
      <c r="K182" s="350" t="n"/>
      <c r="L182" s="337" t="n"/>
      <c r="M182" s="347" t="n"/>
      <c r="N182">
        <f>IF(Q182&lt;&gt;"","S"&amp;TEXT(WEEKNUM(Q182,21),"00"),"")</f>
        <v/>
      </c>
      <c r="O182">
        <f>IF(Data!$Q182="","",YEAR(Data!$Q182))</f>
        <v/>
      </c>
      <c r="P182">
        <f>IF(Data!$Q182="","",MONTH(Data!$Q182))</f>
        <v/>
      </c>
      <c r="V182" s="347" t="n"/>
      <c r="W182" s="163" t="n"/>
      <c r="X182">
        <f>IF(AC182&lt;&gt;"","S"&amp;TEXT(WEEKNUM(AC182,21),"00"),"")</f>
        <v/>
      </c>
      <c r="Y182">
        <f>IF(Data!$AC182="","",YEAR(Data!$AC182))</f>
        <v/>
      </c>
      <c r="Z182">
        <f>IF(Data!$AC182="","",MONTH(Data!$AC182))</f>
        <v/>
      </c>
      <c r="AA182" s="163" t="n"/>
      <c r="AD182" s="709" t="n"/>
      <c r="AE182" s="163" t="n"/>
      <c r="AF182" s="302" t="n"/>
      <c r="AH182" s="347" t="n"/>
      <c r="AI182" s="340" t="n"/>
      <c r="AJ182" s="340" t="n"/>
      <c r="AK182" s="347" t="n"/>
      <c r="AM182" s="347" t="n"/>
      <c r="AN182" s="350" t="n"/>
      <c r="AO182" s="347" t="n"/>
      <c r="AP182" s="340" t="n"/>
      <c r="AQ182" s="347" t="n"/>
      <c r="AR182" s="313" t="n"/>
      <c r="AS182" s="347" t="n"/>
      <c r="AT182" s="736" t="n"/>
      <c r="AU182" s="736" t="n"/>
      <c r="AV182" s="731">
        <f>IF(AT182="","",S182-AT182-AU182)</f>
        <v/>
      </c>
      <c r="AW182" s="331">
        <f>IFERROR(IF(tbl_DCFC[[#This Row],[F Montant HT]]="","",tbl_DCFC[[#This Row],[Marge]]/tbl_DCFC[[#This Row],[F Montant HT]]),"")</f>
        <v/>
      </c>
    </row>
    <row r="183" ht="15" customHeight="1" s="701">
      <c r="A183" s="744" t="n"/>
      <c r="B183" s="347">
        <f>IFERROR(INDEX(Tabelle2[BU],MATCH(tbl_DCFC[[#This Row],[Categorie]],CAT,0)),"")</f>
        <v/>
      </c>
      <c r="C183" s="315">
        <f>IF(D183&lt;&gt;"","S"&amp;TEXT(WEEKNUM(D183,21),"00"),"")</f>
        <v/>
      </c>
      <c r="D183" s="744" t="n"/>
      <c r="E183" s="350" t="n"/>
      <c r="F183" s="350" t="n"/>
      <c r="G183" s="350" t="n"/>
      <c r="H183" s="350" t="n"/>
      <c r="I183" s="745" t="n"/>
      <c r="J183" s="350" t="n"/>
      <c r="K183" s="350" t="n"/>
      <c r="L183" s="337" t="n"/>
      <c r="M183" s="347" t="n"/>
      <c r="N183">
        <f>IF(Q183&lt;&gt;"","S"&amp;TEXT(WEEKNUM(Q183,21),"00"),"")</f>
        <v/>
      </c>
      <c r="O183">
        <f>IF(Data!$Q183="","",YEAR(Data!$Q183))</f>
        <v/>
      </c>
      <c r="P183">
        <f>IF(Data!$Q183="","",MONTH(Data!$Q183))</f>
        <v/>
      </c>
      <c r="V183" s="347" t="n"/>
      <c r="W183" s="163" t="n"/>
      <c r="X183">
        <f>IF(AC183&lt;&gt;"","S"&amp;TEXT(WEEKNUM(AC183,21),"00"),"")</f>
        <v/>
      </c>
      <c r="Y183">
        <f>IF(Data!$AC183="","",YEAR(Data!$AC183))</f>
        <v/>
      </c>
      <c r="Z183">
        <f>IF(Data!$AC183="","",MONTH(Data!$AC183))</f>
        <v/>
      </c>
      <c r="AA183" s="163" t="n"/>
      <c r="AD183" s="709" t="n"/>
      <c r="AE183" s="163" t="n"/>
      <c r="AF183" s="302" t="n"/>
      <c r="AH183" s="347" t="n"/>
      <c r="AI183" s="340" t="n"/>
      <c r="AJ183" s="340" t="n"/>
      <c r="AK183" s="347" t="n"/>
      <c r="AM183" s="347" t="n"/>
      <c r="AN183" s="350" t="n"/>
      <c r="AO183" s="347" t="n"/>
      <c r="AP183" s="340" t="n"/>
      <c r="AQ183" s="347" t="n"/>
      <c r="AR183" s="313" t="n"/>
      <c r="AS183" s="347" t="n"/>
      <c r="AT183" s="736" t="n"/>
      <c r="AU183" s="736" t="n"/>
      <c r="AV183" s="731">
        <f>IF(AT183="","",S183-AT183-AU183)</f>
        <v/>
      </c>
      <c r="AW183" s="331">
        <f>IFERROR(IF(tbl_DCFC[[#This Row],[F Montant HT]]="","",tbl_DCFC[[#This Row],[Marge]]/tbl_DCFC[[#This Row],[F Montant HT]]),"")</f>
        <v/>
      </c>
    </row>
    <row r="184" ht="15" customHeight="1" s="701">
      <c r="A184" s="744" t="n"/>
      <c r="B184" s="347">
        <f>IFERROR(INDEX(Tabelle2[BU],MATCH(tbl_DCFC[[#This Row],[Categorie]],CAT,0)),"")</f>
        <v/>
      </c>
      <c r="C184" s="315">
        <f>IF(D184&lt;&gt;"","S"&amp;TEXT(WEEKNUM(D184,21),"00"),"")</f>
        <v/>
      </c>
      <c r="D184" s="744" t="n"/>
      <c r="E184" s="350" t="n"/>
      <c r="F184" s="350" t="n"/>
      <c r="G184" s="350" t="n"/>
      <c r="H184" s="350" t="n"/>
      <c r="I184" s="745" t="n"/>
      <c r="J184" s="350" t="n"/>
      <c r="K184" s="350" t="n"/>
      <c r="L184" s="337" t="n"/>
      <c r="M184" s="347" t="n"/>
      <c r="N184">
        <f>IF(Q184&lt;&gt;"","S"&amp;TEXT(WEEKNUM(Q184,21),"00"),"")</f>
        <v/>
      </c>
      <c r="O184">
        <f>IF(Data!$Q184="","",YEAR(Data!$Q184))</f>
        <v/>
      </c>
      <c r="P184">
        <f>IF(Data!$Q184="","",MONTH(Data!$Q184))</f>
        <v/>
      </c>
      <c r="V184" s="347" t="n"/>
      <c r="W184" s="163" t="n"/>
      <c r="X184">
        <f>IF(AC184&lt;&gt;"","S"&amp;TEXT(WEEKNUM(AC184,21),"00"),"")</f>
        <v/>
      </c>
      <c r="Y184">
        <f>IF(Data!$AC184="","",YEAR(Data!$AC184))</f>
        <v/>
      </c>
      <c r="Z184">
        <f>IF(Data!$AC184="","",MONTH(Data!$AC184))</f>
        <v/>
      </c>
      <c r="AA184" s="163" t="n"/>
      <c r="AD184" s="709" t="n"/>
      <c r="AE184" s="163" t="n"/>
      <c r="AF184" s="302" t="n"/>
      <c r="AH184" s="347" t="n"/>
      <c r="AI184" s="340" t="n"/>
      <c r="AJ184" s="340" t="n"/>
      <c r="AK184" s="347" t="n"/>
      <c r="AM184" s="347" t="n"/>
      <c r="AN184" s="350" t="n"/>
      <c r="AO184" s="347" t="n"/>
      <c r="AP184" s="340" t="n"/>
      <c r="AQ184" s="347" t="n"/>
      <c r="AR184" s="313" t="n"/>
      <c r="AS184" s="347" t="n"/>
      <c r="AT184" s="736" t="n"/>
      <c r="AU184" s="736" t="n"/>
      <c r="AV184" s="731">
        <f>IF(AT184="","",S184-AT184-AU184)</f>
        <v/>
      </c>
      <c r="AW184" s="331">
        <f>IFERROR(IF(tbl_DCFC[[#This Row],[F Montant HT]]="","",tbl_DCFC[[#This Row],[Marge]]/tbl_DCFC[[#This Row],[F Montant HT]]),"")</f>
        <v/>
      </c>
    </row>
    <row r="185" ht="15" customHeight="1" s="701">
      <c r="A185" s="744" t="n"/>
      <c r="B185" s="347">
        <f>IFERROR(INDEX(Tabelle2[BU],MATCH(tbl_DCFC[[#This Row],[Categorie]],CAT,0)),"")</f>
        <v/>
      </c>
      <c r="C185" s="315">
        <f>IF(D185&lt;&gt;"","S"&amp;TEXT(WEEKNUM(D185,21),"00"),"")</f>
        <v/>
      </c>
      <c r="D185" s="744" t="n"/>
      <c r="E185" s="350" t="n"/>
      <c r="F185" s="350" t="n"/>
      <c r="G185" s="350" t="n"/>
      <c r="H185" s="350" t="n"/>
      <c r="I185" s="745" t="n"/>
      <c r="J185" s="350" t="n"/>
      <c r="K185" s="350" t="n"/>
      <c r="L185" s="337" t="n"/>
      <c r="M185" s="347" t="n"/>
      <c r="N185">
        <f>IF(Q185&lt;&gt;"","S"&amp;TEXT(WEEKNUM(Q185,21),"00"),"")</f>
        <v/>
      </c>
      <c r="O185">
        <f>IF(Data!$Q185="","",YEAR(Data!$Q185))</f>
        <v/>
      </c>
      <c r="P185">
        <f>IF(Data!$Q185="","",MONTH(Data!$Q185))</f>
        <v/>
      </c>
      <c r="V185" s="347" t="n"/>
      <c r="W185" s="163" t="n"/>
      <c r="X185">
        <f>IF(AC185&lt;&gt;"","S"&amp;TEXT(WEEKNUM(AC185,21),"00"),"")</f>
        <v/>
      </c>
      <c r="Y185">
        <f>IF(Data!$AC185="","",YEAR(Data!$AC185))</f>
        <v/>
      </c>
      <c r="Z185">
        <f>IF(Data!$AC185="","",MONTH(Data!$AC185))</f>
        <v/>
      </c>
      <c r="AA185" s="163" t="n"/>
      <c r="AD185" s="709" t="n"/>
      <c r="AE185" s="163" t="n"/>
      <c r="AF185" s="302" t="n"/>
      <c r="AH185" s="347" t="n"/>
      <c r="AI185" s="340" t="n"/>
      <c r="AJ185" s="340" t="n"/>
      <c r="AK185" s="347" t="n"/>
      <c r="AM185" s="347" t="n"/>
      <c r="AN185" s="350" t="n"/>
      <c r="AO185" s="347" t="n"/>
      <c r="AP185" s="340" t="n"/>
      <c r="AQ185" s="347" t="n"/>
      <c r="AR185" s="313" t="n"/>
      <c r="AS185" s="347" t="n"/>
      <c r="AT185" s="736" t="n"/>
      <c r="AU185" s="736" t="n"/>
      <c r="AV185" s="731">
        <f>IF(AT185="","",S185-AT185-AU185)</f>
        <v/>
      </c>
      <c r="AW185" s="331">
        <f>IFERROR(IF(tbl_DCFC[[#This Row],[F Montant HT]]="","",tbl_DCFC[[#This Row],[Marge]]/tbl_DCFC[[#This Row],[F Montant HT]]),"")</f>
        <v/>
      </c>
    </row>
    <row r="186" ht="15" customHeight="1" s="701">
      <c r="A186" s="744" t="n"/>
      <c r="B186" s="347">
        <f>IFERROR(INDEX(Tabelle2[BU],MATCH(tbl_DCFC[[#This Row],[Categorie]],CAT,0)),"")</f>
        <v/>
      </c>
      <c r="C186" s="315">
        <f>IF(D186&lt;&gt;"","S"&amp;TEXT(WEEKNUM(D186,21),"00"),"")</f>
        <v/>
      </c>
      <c r="D186" s="744" t="n"/>
      <c r="E186" s="350" t="n"/>
      <c r="F186" s="350" t="n"/>
      <c r="G186" s="350" t="n"/>
      <c r="H186" s="350" t="n"/>
      <c r="I186" s="745" t="n"/>
      <c r="J186" s="350" t="n"/>
      <c r="K186" s="350" t="n"/>
      <c r="L186" s="337" t="n"/>
      <c r="M186" s="347" t="n"/>
      <c r="N186">
        <f>IF(Q186&lt;&gt;"","S"&amp;TEXT(WEEKNUM(Q186,21),"00"),"")</f>
        <v/>
      </c>
      <c r="O186">
        <f>IF(Data!$Q186="","",YEAR(Data!$Q186))</f>
        <v/>
      </c>
      <c r="P186">
        <f>IF(Data!$Q186="","",MONTH(Data!$Q186))</f>
        <v/>
      </c>
      <c r="V186" s="347" t="n"/>
      <c r="W186" s="163" t="n"/>
      <c r="X186">
        <f>IF(AC186&lt;&gt;"","S"&amp;TEXT(WEEKNUM(AC186,21),"00"),"")</f>
        <v/>
      </c>
      <c r="Y186">
        <f>IF(Data!$AC186="","",YEAR(Data!$AC186))</f>
        <v/>
      </c>
      <c r="Z186">
        <f>IF(Data!$AC186="","",MONTH(Data!$AC186))</f>
        <v/>
      </c>
      <c r="AA186" s="163" t="n"/>
      <c r="AD186" s="709" t="n"/>
      <c r="AE186" s="163" t="n"/>
      <c r="AF186" s="302" t="n"/>
      <c r="AH186" s="347" t="n"/>
      <c r="AI186" s="340" t="n"/>
      <c r="AJ186" s="340" t="n"/>
      <c r="AK186" s="347" t="n"/>
      <c r="AM186" s="347" t="n"/>
      <c r="AN186" s="350" t="n"/>
      <c r="AO186" s="347" t="n"/>
      <c r="AP186" s="340" t="n"/>
      <c r="AQ186" s="347" t="n"/>
      <c r="AR186" s="313" t="n"/>
      <c r="AS186" s="347" t="n"/>
      <c r="AT186" s="736" t="n"/>
      <c r="AU186" s="736" t="n"/>
      <c r="AV186" s="731">
        <f>IF(AT186="","",S186-AT186-AU186)</f>
        <v/>
      </c>
      <c r="AW186" s="331">
        <f>IFERROR(IF(tbl_DCFC[[#This Row],[F Montant HT]]="","",tbl_DCFC[[#This Row],[Marge]]/tbl_DCFC[[#This Row],[F Montant HT]]),"")</f>
        <v/>
      </c>
    </row>
    <row r="187" ht="15" customHeight="1" s="701">
      <c r="A187" s="744" t="n"/>
      <c r="B187" s="347">
        <f>IFERROR(INDEX(Tabelle2[BU],MATCH(tbl_DCFC[[#This Row],[Categorie]],CAT,0)),"")</f>
        <v/>
      </c>
      <c r="C187" s="315">
        <f>IF(D187&lt;&gt;"","S"&amp;TEXT(WEEKNUM(D187,21),"00"),"")</f>
        <v/>
      </c>
      <c r="D187" s="744" t="n"/>
      <c r="E187" s="350" t="n"/>
      <c r="F187" s="350" t="n"/>
      <c r="G187" s="350" t="n"/>
      <c r="H187" s="350" t="n"/>
      <c r="I187" s="745" t="n"/>
      <c r="J187" s="350" t="n"/>
      <c r="K187" s="350" t="n"/>
      <c r="L187" s="337" t="n"/>
      <c r="M187" s="347" t="n"/>
      <c r="N187">
        <f>IF(Q187&lt;&gt;"","S"&amp;TEXT(WEEKNUM(Q187,21),"00"),"")</f>
        <v/>
      </c>
      <c r="O187">
        <f>IF(Data!$Q187="","",YEAR(Data!$Q187))</f>
        <v/>
      </c>
      <c r="P187">
        <f>IF(Data!$Q187="","",MONTH(Data!$Q187))</f>
        <v/>
      </c>
      <c r="V187" s="347" t="n"/>
      <c r="W187" s="163" t="n"/>
      <c r="X187">
        <f>IF(AC187&lt;&gt;"","S"&amp;TEXT(WEEKNUM(AC187,21),"00"),"")</f>
        <v/>
      </c>
      <c r="Y187">
        <f>IF(Data!$AC187="","",YEAR(Data!$AC187))</f>
        <v/>
      </c>
      <c r="Z187">
        <f>IF(Data!$AC187="","",MONTH(Data!$AC187))</f>
        <v/>
      </c>
      <c r="AA187" s="163" t="n"/>
      <c r="AD187" s="709" t="n"/>
      <c r="AE187" s="163" t="n"/>
      <c r="AF187" s="302" t="n"/>
      <c r="AH187" s="347" t="n"/>
      <c r="AI187" s="340" t="n"/>
      <c r="AJ187" s="340" t="n"/>
      <c r="AK187" s="347" t="n"/>
      <c r="AM187" s="347" t="n"/>
      <c r="AN187" s="350" t="n"/>
      <c r="AO187" s="347" t="n"/>
      <c r="AP187" s="340" t="n"/>
      <c r="AQ187" s="347" t="n"/>
      <c r="AR187" s="313" t="n"/>
      <c r="AS187" s="347" t="n"/>
      <c r="AT187" s="736" t="n"/>
      <c r="AU187" s="736" t="n"/>
      <c r="AV187" s="731">
        <f>IF(AT187="","",S187-AT187-AU187)</f>
        <v/>
      </c>
      <c r="AW187" s="331">
        <f>IFERROR(IF(tbl_DCFC[[#This Row],[F Montant HT]]="","",tbl_DCFC[[#This Row],[Marge]]/tbl_DCFC[[#This Row],[F Montant HT]]),"")</f>
        <v/>
      </c>
    </row>
    <row r="188" ht="15" customHeight="1" s="701">
      <c r="A188" s="744" t="n"/>
      <c r="B188" s="347">
        <f>IFERROR(INDEX(Tabelle2[BU],MATCH(tbl_DCFC[[#This Row],[Categorie]],CAT,0)),"")</f>
        <v/>
      </c>
      <c r="C188" s="315">
        <f>IF(D188&lt;&gt;"","S"&amp;TEXT(WEEKNUM(D188,21),"00"),"")</f>
        <v/>
      </c>
      <c r="D188" s="744" t="n"/>
      <c r="E188" s="350" t="n"/>
      <c r="F188" s="350" t="n"/>
      <c r="G188" s="350" t="n"/>
      <c r="H188" s="350" t="n"/>
      <c r="I188" s="745" t="n"/>
      <c r="J188" s="350" t="n"/>
      <c r="K188" s="350" t="n"/>
      <c r="L188" s="337" t="n"/>
      <c r="M188" s="347" t="n"/>
      <c r="N188">
        <f>IF(Q188&lt;&gt;"","S"&amp;TEXT(WEEKNUM(Q188,21),"00"),"")</f>
        <v/>
      </c>
      <c r="O188">
        <f>IF(Data!$Q188="","",YEAR(Data!$Q188))</f>
        <v/>
      </c>
      <c r="P188">
        <f>IF(Data!$Q188="","",MONTH(Data!$Q188))</f>
        <v/>
      </c>
      <c r="V188" s="347" t="n"/>
      <c r="W188" s="163" t="n"/>
      <c r="X188">
        <f>IF(AC188&lt;&gt;"","S"&amp;TEXT(WEEKNUM(AC188,21),"00"),"")</f>
        <v/>
      </c>
      <c r="Y188">
        <f>IF(Data!$AC188="","",YEAR(Data!$AC188))</f>
        <v/>
      </c>
      <c r="Z188">
        <f>IF(Data!$AC188="","",MONTH(Data!$AC188))</f>
        <v/>
      </c>
      <c r="AA188" s="163" t="n"/>
      <c r="AD188" s="709" t="n"/>
      <c r="AE188" s="163" t="n"/>
      <c r="AF188" s="302" t="n"/>
      <c r="AH188" s="347" t="n"/>
      <c r="AI188" s="340" t="n"/>
      <c r="AJ188" s="340" t="n"/>
      <c r="AK188" s="347" t="n"/>
      <c r="AM188" s="347" t="n"/>
      <c r="AN188" s="350" t="n"/>
      <c r="AO188" s="347" t="n"/>
      <c r="AP188" s="340" t="n"/>
      <c r="AQ188" s="347" t="n"/>
      <c r="AR188" s="313" t="n"/>
      <c r="AS188" s="347" t="n"/>
      <c r="AT188" s="736" t="n"/>
      <c r="AU188" s="736" t="n"/>
      <c r="AV188" s="731">
        <f>IF(AT188="","",S188-AT188-AU188)</f>
        <v/>
      </c>
      <c r="AW188" s="331">
        <f>IFERROR(IF(tbl_DCFC[[#This Row],[F Montant HT]]="","",tbl_DCFC[[#This Row],[Marge]]/tbl_DCFC[[#This Row],[F Montant HT]]),"")</f>
        <v/>
      </c>
    </row>
    <row r="189" ht="15" customHeight="1" s="701">
      <c r="A189" s="744" t="n"/>
      <c r="B189" s="347">
        <f>IFERROR(INDEX(Tabelle2[BU],MATCH(tbl_DCFC[[#This Row],[Categorie]],CAT,0)),"")</f>
        <v/>
      </c>
      <c r="C189" s="315">
        <f>IF(D189&lt;&gt;"","S"&amp;TEXT(WEEKNUM(D189,21),"00"),"")</f>
        <v/>
      </c>
      <c r="D189" s="744" t="n"/>
      <c r="E189" s="350" t="n"/>
      <c r="F189" s="350" t="n"/>
      <c r="G189" s="350" t="n"/>
      <c r="H189" s="350" t="n"/>
      <c r="I189" s="745" t="n"/>
      <c r="J189" s="350" t="n"/>
      <c r="K189" s="350" t="n"/>
      <c r="L189" s="337" t="n"/>
      <c r="M189" s="347" t="n"/>
      <c r="N189">
        <f>IF(Q189&lt;&gt;"","S"&amp;TEXT(WEEKNUM(Q189,21),"00"),"")</f>
        <v/>
      </c>
      <c r="O189">
        <f>IF(Data!$Q189="","",YEAR(Data!$Q189))</f>
        <v/>
      </c>
      <c r="P189">
        <f>IF(Data!$Q189="","",MONTH(Data!$Q189))</f>
        <v/>
      </c>
      <c r="V189" s="347" t="n"/>
      <c r="W189" s="163" t="n"/>
      <c r="X189">
        <f>IF(AC189&lt;&gt;"","S"&amp;TEXT(WEEKNUM(AC189,21),"00"),"")</f>
        <v/>
      </c>
      <c r="Y189">
        <f>IF(Data!$AC189="","",YEAR(Data!$AC189))</f>
        <v/>
      </c>
      <c r="Z189">
        <f>IF(Data!$AC189="","",MONTH(Data!$AC189))</f>
        <v/>
      </c>
      <c r="AA189" s="163" t="n"/>
      <c r="AD189" s="709" t="n"/>
      <c r="AE189" s="163" t="n"/>
      <c r="AF189" s="302" t="n"/>
      <c r="AH189" s="347" t="n"/>
      <c r="AI189" s="340" t="n"/>
      <c r="AJ189" s="340" t="n"/>
      <c r="AK189" s="347" t="n"/>
      <c r="AM189" s="347" t="n"/>
      <c r="AN189" s="350" t="n"/>
      <c r="AO189" s="347" t="n"/>
      <c r="AP189" s="340" t="n"/>
      <c r="AQ189" s="347" t="n"/>
      <c r="AR189" s="313" t="n"/>
      <c r="AS189" s="347" t="n"/>
      <c r="AT189" s="736" t="n"/>
      <c r="AU189" s="736" t="n"/>
      <c r="AV189" s="731">
        <f>IF(AT189="","",S189-AT189-AU189)</f>
        <v/>
      </c>
      <c r="AW189" s="331">
        <f>IFERROR(IF(tbl_DCFC[[#This Row],[F Montant HT]]="","",tbl_DCFC[[#This Row],[Marge]]/tbl_DCFC[[#This Row],[F Montant HT]]),"")</f>
        <v/>
      </c>
    </row>
    <row r="190" ht="15" customHeight="1" s="701">
      <c r="A190" s="744" t="n"/>
      <c r="B190" s="347">
        <f>IFERROR(INDEX(Tabelle2[BU],MATCH(tbl_DCFC[[#This Row],[Categorie]],CAT,0)),"")</f>
        <v/>
      </c>
      <c r="C190" s="315">
        <f>IF(D190&lt;&gt;"","S"&amp;TEXT(WEEKNUM(D190,21),"00"),"")</f>
        <v/>
      </c>
      <c r="D190" s="744" t="n"/>
      <c r="E190" s="350" t="n"/>
      <c r="F190" s="350" t="n"/>
      <c r="G190" s="350" t="n"/>
      <c r="H190" s="350" t="n"/>
      <c r="I190" s="745" t="n"/>
      <c r="J190" s="350" t="n"/>
      <c r="K190" s="350" t="n"/>
      <c r="L190" s="337" t="n"/>
      <c r="M190" s="347" t="n"/>
      <c r="N190">
        <f>IF(Q190&lt;&gt;"","S"&amp;TEXT(WEEKNUM(Q190,21),"00"),"")</f>
        <v/>
      </c>
      <c r="O190">
        <f>IF(Data!$Q190="","",YEAR(Data!$Q190))</f>
        <v/>
      </c>
      <c r="P190">
        <f>IF(Data!$Q190="","",MONTH(Data!$Q190))</f>
        <v/>
      </c>
      <c r="V190" s="347" t="n"/>
      <c r="W190" s="163" t="n"/>
      <c r="X190">
        <f>IF(AC190&lt;&gt;"","S"&amp;TEXT(WEEKNUM(AC190,21),"00"),"")</f>
        <v/>
      </c>
      <c r="Y190">
        <f>IF(Data!$AC190="","",YEAR(Data!$AC190))</f>
        <v/>
      </c>
      <c r="Z190">
        <f>IF(Data!$AC190="","",MONTH(Data!$AC190))</f>
        <v/>
      </c>
      <c r="AA190" s="163" t="n"/>
      <c r="AD190" s="709" t="n"/>
      <c r="AE190" s="163" t="n"/>
      <c r="AF190" s="302" t="n"/>
      <c r="AH190" s="347" t="n"/>
      <c r="AI190" s="340" t="n"/>
      <c r="AJ190" s="340" t="n"/>
      <c r="AK190" s="347" t="n"/>
      <c r="AM190" s="347" t="n"/>
      <c r="AN190" s="350" t="n"/>
      <c r="AO190" s="347" t="n"/>
      <c r="AP190" s="340" t="n"/>
      <c r="AQ190" s="347" t="n"/>
      <c r="AR190" s="313" t="n"/>
      <c r="AS190" s="347" t="n"/>
      <c r="AT190" s="736" t="n"/>
      <c r="AU190" s="736" t="n"/>
      <c r="AV190" s="731">
        <f>IF(AT190="","",S190-AT190-AU190)</f>
        <v/>
      </c>
      <c r="AW190" s="331">
        <f>IFERROR(IF(tbl_DCFC[[#This Row],[F Montant HT]]="","",tbl_DCFC[[#This Row],[Marge]]/tbl_DCFC[[#This Row],[F Montant HT]]),"")</f>
        <v/>
      </c>
    </row>
    <row r="191" ht="15" customHeight="1" s="701">
      <c r="A191" s="744" t="n"/>
      <c r="B191" s="347">
        <f>IFERROR(INDEX(Tabelle2[BU],MATCH(tbl_DCFC[[#This Row],[Categorie]],CAT,0)),"")</f>
        <v/>
      </c>
      <c r="C191" s="315">
        <f>IF(D191&lt;&gt;"","S"&amp;TEXT(WEEKNUM(D191,21),"00"),"")</f>
        <v/>
      </c>
      <c r="D191" s="744" t="n"/>
      <c r="E191" s="350" t="n"/>
      <c r="F191" s="350" t="n"/>
      <c r="G191" s="350" t="n"/>
      <c r="H191" s="350" t="n"/>
      <c r="I191" s="745" t="n"/>
      <c r="J191" s="350" t="n"/>
      <c r="K191" s="350" t="n"/>
      <c r="L191" s="337" t="n"/>
      <c r="M191" s="347" t="n"/>
      <c r="N191">
        <f>IF(Q191&lt;&gt;"","S"&amp;TEXT(WEEKNUM(Q191,21),"00"),"")</f>
        <v/>
      </c>
      <c r="O191">
        <f>IF(Data!$Q191="","",YEAR(Data!$Q191))</f>
        <v/>
      </c>
      <c r="P191">
        <f>IF(Data!$Q191="","",MONTH(Data!$Q191))</f>
        <v/>
      </c>
      <c r="V191" s="347" t="n"/>
      <c r="W191" s="163" t="n"/>
      <c r="X191">
        <f>IF(AC191&lt;&gt;"","S"&amp;TEXT(WEEKNUM(AC191,21),"00"),"")</f>
        <v/>
      </c>
      <c r="Y191">
        <f>IF(Data!$AC191="","",YEAR(Data!$AC191))</f>
        <v/>
      </c>
      <c r="Z191">
        <f>IF(Data!$AC191="","",MONTH(Data!$AC191))</f>
        <v/>
      </c>
      <c r="AA191" s="163" t="n"/>
      <c r="AD191" s="709" t="n"/>
      <c r="AE191" s="163" t="n"/>
      <c r="AF191" s="302" t="n"/>
      <c r="AH191" s="347" t="n"/>
      <c r="AI191" s="340" t="n"/>
      <c r="AJ191" s="340" t="n"/>
      <c r="AK191" s="347" t="n"/>
      <c r="AM191" s="347" t="n"/>
      <c r="AN191" s="350" t="n"/>
      <c r="AO191" s="347" t="n"/>
      <c r="AP191" s="340" t="n"/>
      <c r="AQ191" s="347" t="n"/>
      <c r="AR191" s="313" t="n"/>
      <c r="AS191" s="347" t="n"/>
      <c r="AT191" s="736" t="n"/>
      <c r="AU191" s="736" t="n"/>
      <c r="AV191" s="731">
        <f>IF(AT191="","",S191-AT191-AU191)</f>
        <v/>
      </c>
      <c r="AW191" s="331">
        <f>IFERROR(IF(tbl_DCFC[[#This Row],[F Montant HT]]="","",tbl_DCFC[[#This Row],[Marge]]/tbl_DCFC[[#This Row],[F Montant HT]]),"")</f>
        <v/>
      </c>
    </row>
    <row r="192" ht="15" customHeight="1" s="701">
      <c r="A192" s="744" t="n"/>
      <c r="B192" s="347">
        <f>IFERROR(INDEX(Tabelle2[BU],MATCH(tbl_DCFC[[#This Row],[Categorie]],CAT,0)),"")</f>
        <v/>
      </c>
      <c r="C192" s="315">
        <f>IF(D192&lt;&gt;"","S"&amp;TEXT(WEEKNUM(D192,21),"00"),"")</f>
        <v/>
      </c>
      <c r="D192" s="744" t="n"/>
      <c r="E192" s="350" t="n"/>
      <c r="F192" s="350" t="n"/>
      <c r="G192" s="350" t="n"/>
      <c r="H192" s="350" t="n"/>
      <c r="I192" s="745" t="n"/>
      <c r="J192" s="350" t="n"/>
      <c r="K192" s="350" t="n"/>
      <c r="L192" s="337" t="n"/>
      <c r="M192" s="347" t="n"/>
      <c r="N192">
        <f>IF(Q192&lt;&gt;"","S"&amp;TEXT(WEEKNUM(Q192,21),"00"),"")</f>
        <v/>
      </c>
      <c r="O192">
        <f>IF(Data!$Q192="","",YEAR(Data!$Q192))</f>
        <v/>
      </c>
      <c r="P192">
        <f>IF(Data!$Q192="","",MONTH(Data!$Q192))</f>
        <v/>
      </c>
      <c r="V192" s="347" t="n"/>
      <c r="W192" s="163" t="n"/>
      <c r="X192">
        <f>IF(AC192&lt;&gt;"","S"&amp;TEXT(WEEKNUM(AC192,21),"00"),"")</f>
        <v/>
      </c>
      <c r="Y192">
        <f>IF(Data!$AC192="","",YEAR(Data!$AC192))</f>
        <v/>
      </c>
      <c r="Z192">
        <f>IF(Data!$AC192="","",MONTH(Data!$AC192))</f>
        <v/>
      </c>
      <c r="AA192" s="163" t="n"/>
      <c r="AD192" s="709" t="n"/>
      <c r="AE192" s="163" t="n"/>
      <c r="AF192" s="302" t="n"/>
      <c r="AH192" s="347" t="n"/>
      <c r="AI192" s="340" t="n"/>
      <c r="AJ192" s="340" t="n"/>
      <c r="AK192" s="347" t="n"/>
      <c r="AM192" s="347" t="n"/>
      <c r="AN192" s="350" t="n"/>
      <c r="AO192" s="347" t="n"/>
      <c r="AP192" s="340" t="n"/>
      <c r="AQ192" s="347" t="n"/>
      <c r="AR192" s="313" t="n"/>
      <c r="AS192" s="347" t="n"/>
      <c r="AT192" s="736" t="n"/>
      <c r="AU192" s="736" t="n"/>
      <c r="AV192" s="731">
        <f>IF(AT192="","",S192-AT192-AU192)</f>
        <v/>
      </c>
      <c r="AW192" s="331">
        <f>IFERROR(IF(tbl_DCFC[[#This Row],[F Montant HT]]="","",tbl_DCFC[[#This Row],[Marge]]/tbl_DCFC[[#This Row],[F Montant HT]]),"")</f>
        <v/>
      </c>
    </row>
    <row r="193" ht="15" customHeight="1" s="701">
      <c r="A193" s="744" t="n"/>
      <c r="B193" s="347">
        <f>IFERROR(INDEX(Tabelle2[BU],MATCH(tbl_DCFC[[#This Row],[Categorie]],CAT,0)),"")</f>
        <v/>
      </c>
      <c r="C193" s="315">
        <f>IF(D193&lt;&gt;"","S"&amp;TEXT(WEEKNUM(D193,21),"00"),"")</f>
        <v/>
      </c>
      <c r="D193" s="744" t="n"/>
      <c r="E193" s="350" t="n"/>
      <c r="F193" s="350" t="n"/>
      <c r="G193" s="350" t="n"/>
      <c r="H193" s="350" t="n"/>
      <c r="I193" s="745" t="n"/>
      <c r="J193" s="350" t="n"/>
      <c r="K193" s="350" t="n"/>
      <c r="L193" s="337" t="n"/>
      <c r="M193" s="347" t="n"/>
      <c r="N193">
        <f>IF(Q193&lt;&gt;"","S"&amp;TEXT(WEEKNUM(Q193,21),"00"),"")</f>
        <v/>
      </c>
      <c r="O193">
        <f>IF(Data!$Q193="","",YEAR(Data!$Q193))</f>
        <v/>
      </c>
      <c r="P193">
        <f>IF(Data!$Q193="","",MONTH(Data!$Q193))</f>
        <v/>
      </c>
      <c r="V193" s="347" t="n"/>
      <c r="W193" s="163" t="n"/>
      <c r="X193">
        <f>IF(AC193&lt;&gt;"","S"&amp;TEXT(WEEKNUM(AC193,21),"00"),"")</f>
        <v/>
      </c>
      <c r="Y193">
        <f>IF(Data!$AC193="","",YEAR(Data!$AC193))</f>
        <v/>
      </c>
      <c r="Z193">
        <f>IF(Data!$AC193="","",MONTH(Data!$AC193))</f>
        <v/>
      </c>
      <c r="AA193" s="163" t="n"/>
      <c r="AD193" s="709" t="n"/>
      <c r="AE193" s="163" t="n"/>
      <c r="AF193" s="302" t="n"/>
      <c r="AH193" s="347" t="n"/>
      <c r="AI193" s="340" t="n"/>
      <c r="AJ193" s="340" t="n"/>
      <c r="AK193" s="347" t="n"/>
      <c r="AM193" s="347" t="n"/>
      <c r="AN193" s="350" t="n"/>
      <c r="AO193" s="347" t="n"/>
      <c r="AP193" s="340" t="n"/>
      <c r="AQ193" s="347" t="n"/>
      <c r="AR193" s="313" t="n"/>
      <c r="AS193" s="347" t="n"/>
      <c r="AT193" s="736" t="n"/>
      <c r="AU193" s="736" t="n"/>
      <c r="AV193" s="731">
        <f>IF(AT193="","",S193-AT193-AU193)</f>
        <v/>
      </c>
      <c r="AW193" s="331">
        <f>IFERROR(IF(tbl_DCFC[[#This Row],[F Montant HT]]="","",tbl_DCFC[[#This Row],[Marge]]/tbl_DCFC[[#This Row],[F Montant HT]]),"")</f>
        <v/>
      </c>
    </row>
    <row r="194" ht="15" customHeight="1" s="701">
      <c r="A194" s="744" t="n"/>
      <c r="B194" s="347">
        <f>IFERROR(INDEX(Tabelle2[BU],MATCH(tbl_DCFC[[#This Row],[Categorie]],CAT,0)),"")</f>
        <v/>
      </c>
      <c r="C194" s="315">
        <f>IF(D194&lt;&gt;"","S"&amp;TEXT(WEEKNUM(D194,21),"00"),"")</f>
        <v/>
      </c>
      <c r="D194" s="744" t="n"/>
      <c r="E194" s="350" t="n"/>
      <c r="F194" s="350" t="n"/>
      <c r="G194" s="350" t="n"/>
      <c r="H194" s="350" t="n"/>
      <c r="I194" s="745" t="n"/>
      <c r="J194" s="350" t="n"/>
      <c r="K194" s="350" t="n"/>
      <c r="L194" s="337" t="n"/>
      <c r="M194" s="347" t="n"/>
      <c r="N194">
        <f>IF(Q194&lt;&gt;"","S"&amp;TEXT(WEEKNUM(Q194,21),"00"),"")</f>
        <v/>
      </c>
      <c r="O194">
        <f>IF(Data!$Q194="","",YEAR(Data!$Q194))</f>
        <v/>
      </c>
      <c r="P194">
        <f>IF(Data!$Q194="","",MONTH(Data!$Q194))</f>
        <v/>
      </c>
      <c r="V194" s="347" t="n"/>
      <c r="W194" s="163" t="n"/>
      <c r="X194">
        <f>IF(AC194&lt;&gt;"","S"&amp;TEXT(WEEKNUM(AC194,21),"00"),"")</f>
        <v/>
      </c>
      <c r="Y194">
        <f>IF(Data!$AC194="","",YEAR(Data!$AC194))</f>
        <v/>
      </c>
      <c r="Z194">
        <f>IF(Data!$AC194="","",MONTH(Data!$AC194))</f>
        <v/>
      </c>
      <c r="AA194" s="163" t="n"/>
      <c r="AD194" s="709" t="n"/>
      <c r="AE194" s="163" t="n"/>
      <c r="AF194" s="302" t="n"/>
      <c r="AH194" s="347" t="n"/>
      <c r="AI194" s="340" t="n"/>
      <c r="AJ194" s="340" t="n"/>
      <c r="AK194" s="347" t="n"/>
      <c r="AM194" s="347" t="n"/>
      <c r="AN194" s="350" t="n"/>
      <c r="AO194" s="347" t="n"/>
      <c r="AP194" s="340" t="n"/>
      <c r="AQ194" s="347" t="n"/>
      <c r="AR194" s="313" t="n"/>
      <c r="AS194" s="347" t="n"/>
      <c r="AT194" s="736" t="n"/>
      <c r="AU194" s="736" t="n"/>
      <c r="AV194" s="731">
        <f>IF(AT194="","",S194-AT194-AU194)</f>
        <v/>
      </c>
      <c r="AW194" s="331">
        <f>IFERROR(IF(tbl_DCFC[[#This Row],[F Montant HT]]="","",tbl_DCFC[[#This Row],[Marge]]/tbl_DCFC[[#This Row],[F Montant HT]]),"")</f>
        <v/>
      </c>
    </row>
    <row r="195" ht="15" customHeight="1" s="701">
      <c r="A195" s="744" t="n"/>
      <c r="B195" s="347">
        <f>IFERROR(INDEX(Tabelle2[BU],MATCH(tbl_DCFC[[#This Row],[Categorie]],CAT,0)),"")</f>
        <v/>
      </c>
      <c r="C195" s="315">
        <f>IF(D195&lt;&gt;"","S"&amp;TEXT(WEEKNUM(D195,21),"00"),"")</f>
        <v/>
      </c>
      <c r="D195" s="744" t="n"/>
      <c r="E195" s="350" t="n"/>
      <c r="F195" s="350" t="n"/>
      <c r="G195" s="350" t="n"/>
      <c r="H195" s="350" t="n"/>
      <c r="I195" s="745" t="n"/>
      <c r="J195" s="350" t="n"/>
      <c r="K195" s="350" t="n"/>
      <c r="L195" s="337" t="n"/>
      <c r="M195" s="347" t="n"/>
      <c r="N195">
        <f>IF(Q195&lt;&gt;"","S"&amp;TEXT(WEEKNUM(Q195,21),"00"),"")</f>
        <v/>
      </c>
      <c r="O195">
        <f>IF(Data!$Q195="","",YEAR(Data!$Q195))</f>
        <v/>
      </c>
      <c r="P195">
        <f>IF(Data!$Q195="","",MONTH(Data!$Q195))</f>
        <v/>
      </c>
      <c r="V195" s="347" t="n"/>
      <c r="W195" s="163" t="n"/>
      <c r="X195">
        <f>IF(AC195&lt;&gt;"","S"&amp;TEXT(WEEKNUM(AC195,21),"00"),"")</f>
        <v/>
      </c>
      <c r="Y195">
        <f>IF(Data!$AC195="","",YEAR(Data!$AC195))</f>
        <v/>
      </c>
      <c r="Z195">
        <f>IF(Data!$AC195="","",MONTH(Data!$AC195))</f>
        <v/>
      </c>
      <c r="AA195" s="163" t="n"/>
      <c r="AD195" s="709" t="n"/>
      <c r="AE195" s="163" t="n"/>
      <c r="AF195" s="302" t="n"/>
      <c r="AH195" s="347" t="n"/>
      <c r="AI195" s="340" t="n"/>
      <c r="AJ195" s="340" t="n"/>
      <c r="AK195" s="347" t="n"/>
      <c r="AM195" s="347" t="n"/>
      <c r="AN195" s="350" t="n"/>
      <c r="AO195" s="347" t="n"/>
      <c r="AP195" s="340" t="n"/>
      <c r="AQ195" s="347" t="n"/>
      <c r="AR195" s="313" t="n"/>
      <c r="AS195" s="347" t="n"/>
      <c r="AT195" s="736" t="n"/>
      <c r="AU195" s="736" t="n"/>
      <c r="AV195" s="731">
        <f>IF(AT195="","",S195-AT195-AU195)</f>
        <v/>
      </c>
      <c r="AW195" s="331">
        <f>IFERROR(IF(tbl_DCFC[[#This Row],[F Montant HT]]="","",tbl_DCFC[[#This Row],[Marge]]/tbl_DCFC[[#This Row],[F Montant HT]]),"")</f>
        <v/>
      </c>
    </row>
    <row r="196" ht="15" customHeight="1" s="701">
      <c r="A196" s="744" t="n"/>
      <c r="B196" s="347">
        <f>IFERROR(INDEX(Tabelle2[BU],MATCH(tbl_DCFC[[#This Row],[Categorie]],CAT,0)),"")</f>
        <v/>
      </c>
      <c r="C196" s="315">
        <f>IF(D196&lt;&gt;"","S"&amp;TEXT(WEEKNUM(D196,21),"00"),"")</f>
        <v/>
      </c>
      <c r="D196" s="744" t="n"/>
      <c r="E196" s="350" t="n"/>
      <c r="F196" s="350" t="n"/>
      <c r="G196" s="350" t="n"/>
      <c r="H196" s="350" t="n"/>
      <c r="I196" s="745" t="n"/>
      <c r="J196" s="350" t="n"/>
      <c r="K196" s="350" t="n"/>
      <c r="L196" s="337" t="n"/>
      <c r="M196" s="347" t="n"/>
      <c r="N196">
        <f>IF(Q196&lt;&gt;"","S"&amp;TEXT(WEEKNUM(Q196,21),"00"),"")</f>
        <v/>
      </c>
      <c r="O196">
        <f>IF(Data!$Q196="","",YEAR(Data!$Q196))</f>
        <v/>
      </c>
      <c r="P196">
        <f>IF(Data!$Q196="","",MONTH(Data!$Q196))</f>
        <v/>
      </c>
      <c r="V196" s="347" t="n"/>
      <c r="W196" s="163" t="n"/>
      <c r="X196">
        <f>IF(AC196&lt;&gt;"","S"&amp;TEXT(WEEKNUM(AC196,21),"00"),"")</f>
        <v/>
      </c>
      <c r="Y196">
        <f>IF(Data!$AC196="","",YEAR(Data!$AC196))</f>
        <v/>
      </c>
      <c r="Z196">
        <f>IF(Data!$AC196="","",MONTH(Data!$AC196))</f>
        <v/>
      </c>
      <c r="AA196" s="163" t="n"/>
      <c r="AD196" s="709" t="n"/>
      <c r="AE196" s="163" t="n"/>
      <c r="AF196" s="302" t="n"/>
      <c r="AH196" s="347" t="n"/>
      <c r="AI196" s="340" t="n"/>
      <c r="AJ196" s="340" t="n"/>
      <c r="AK196" s="347" t="n"/>
      <c r="AM196" s="347" t="n"/>
      <c r="AN196" s="350" t="n"/>
      <c r="AO196" s="347" t="n"/>
      <c r="AP196" s="340" t="n"/>
      <c r="AQ196" s="347" t="n"/>
      <c r="AR196" s="313" t="n"/>
      <c r="AS196" s="347" t="n"/>
      <c r="AT196" s="736" t="n"/>
      <c r="AU196" s="736" t="n"/>
      <c r="AV196" s="731">
        <f>IF(AT196="","",S196-AT196-AU196)</f>
        <v/>
      </c>
      <c r="AW196" s="331">
        <f>IFERROR(IF(tbl_DCFC[[#This Row],[F Montant HT]]="","",tbl_DCFC[[#This Row],[Marge]]/tbl_DCFC[[#This Row],[F Montant HT]]),"")</f>
        <v/>
      </c>
    </row>
    <row r="197" ht="15" customHeight="1" s="701">
      <c r="A197" s="744" t="n"/>
      <c r="B197" s="347">
        <f>IFERROR(INDEX(Tabelle2[BU],MATCH(tbl_DCFC[[#This Row],[Categorie]],CAT,0)),"")</f>
        <v/>
      </c>
      <c r="C197" s="315">
        <f>IF(D197&lt;&gt;"","S"&amp;TEXT(WEEKNUM(D197,21),"00"),"")</f>
        <v/>
      </c>
      <c r="D197" s="744" t="n"/>
      <c r="E197" s="350" t="n"/>
      <c r="F197" s="350" t="n"/>
      <c r="G197" s="350" t="n"/>
      <c r="H197" s="350" t="n"/>
      <c r="I197" s="745" t="n"/>
      <c r="J197" s="350" t="n"/>
      <c r="K197" s="350" t="n"/>
      <c r="L197" s="337" t="n"/>
      <c r="M197" s="347" t="n"/>
      <c r="N197">
        <f>IF(Q197&lt;&gt;"","S"&amp;TEXT(WEEKNUM(Q197,21),"00"),"")</f>
        <v/>
      </c>
      <c r="O197">
        <f>IF(Data!$Q197="","",YEAR(Data!$Q197))</f>
        <v/>
      </c>
      <c r="P197">
        <f>IF(Data!$Q197="","",MONTH(Data!$Q197))</f>
        <v/>
      </c>
      <c r="V197" s="347" t="n"/>
      <c r="W197" s="163" t="n"/>
      <c r="X197">
        <f>IF(AC197&lt;&gt;"","S"&amp;TEXT(WEEKNUM(AC197,21),"00"),"")</f>
        <v/>
      </c>
      <c r="Y197">
        <f>IF(Data!$AC197="","",YEAR(Data!$AC197))</f>
        <v/>
      </c>
      <c r="Z197">
        <f>IF(Data!$AC197="","",MONTH(Data!$AC197))</f>
        <v/>
      </c>
      <c r="AA197" s="163" t="n"/>
      <c r="AD197" s="709" t="n"/>
      <c r="AE197" s="163" t="n"/>
      <c r="AF197" s="302" t="n"/>
      <c r="AH197" s="347" t="n"/>
      <c r="AI197" s="340" t="n"/>
      <c r="AJ197" s="340" t="n"/>
      <c r="AK197" s="347" t="n"/>
      <c r="AM197" s="347" t="n"/>
      <c r="AN197" s="350" t="n"/>
      <c r="AO197" s="347" t="n"/>
      <c r="AP197" s="340" t="n"/>
      <c r="AQ197" s="347" t="n"/>
      <c r="AR197" s="313" t="n"/>
      <c r="AS197" s="347" t="n"/>
      <c r="AT197" s="736" t="n"/>
      <c r="AU197" s="736" t="n"/>
      <c r="AV197" s="731">
        <f>IF(AT197="","",S197-AT197-AU197)</f>
        <v/>
      </c>
      <c r="AW197" s="331">
        <f>IFERROR(IF(tbl_DCFC[[#This Row],[F Montant HT]]="","",tbl_DCFC[[#This Row],[Marge]]/tbl_DCFC[[#This Row],[F Montant HT]]),"")</f>
        <v/>
      </c>
    </row>
    <row r="198" ht="15" customHeight="1" s="701">
      <c r="A198" s="744" t="n"/>
      <c r="B198" s="347">
        <f>IFERROR(INDEX(Tabelle2[BU],MATCH(tbl_DCFC[[#This Row],[Categorie]],CAT,0)),"")</f>
        <v/>
      </c>
      <c r="C198" s="315">
        <f>IF(D198&lt;&gt;"","S"&amp;TEXT(WEEKNUM(D198,21),"00"),"")</f>
        <v/>
      </c>
      <c r="D198" s="744" t="n"/>
      <c r="E198" s="350" t="n"/>
      <c r="F198" s="350" t="n"/>
      <c r="G198" s="350" t="n"/>
      <c r="H198" s="350" t="n"/>
      <c r="I198" s="745" t="n"/>
      <c r="J198" s="350" t="n"/>
      <c r="K198" s="350" t="n"/>
      <c r="L198" s="337" t="n"/>
      <c r="M198" s="347" t="n"/>
      <c r="N198">
        <f>IF(Q198&lt;&gt;"","S"&amp;TEXT(WEEKNUM(Q198,21),"00"),"")</f>
        <v/>
      </c>
      <c r="O198">
        <f>IF(Data!$Q198="","",YEAR(Data!$Q198))</f>
        <v/>
      </c>
      <c r="P198">
        <f>IF(Data!$Q198="","",MONTH(Data!$Q198))</f>
        <v/>
      </c>
      <c r="V198" s="347" t="n"/>
      <c r="W198" s="163" t="n"/>
      <c r="X198">
        <f>IF(AC198&lt;&gt;"","S"&amp;TEXT(WEEKNUM(AC198,21),"00"),"")</f>
        <v/>
      </c>
      <c r="Y198">
        <f>IF(Data!$AC198="","",YEAR(Data!$AC198))</f>
        <v/>
      </c>
      <c r="Z198">
        <f>IF(Data!$AC198="","",MONTH(Data!$AC198))</f>
        <v/>
      </c>
      <c r="AA198" s="163" t="n"/>
      <c r="AD198" s="709" t="n"/>
      <c r="AE198" s="163" t="n"/>
      <c r="AF198" s="302" t="n"/>
      <c r="AH198" s="347" t="n"/>
      <c r="AI198" s="340" t="n"/>
      <c r="AJ198" s="340" t="n"/>
      <c r="AK198" s="347" t="n"/>
      <c r="AM198" s="347" t="n"/>
      <c r="AN198" s="350" t="n"/>
      <c r="AO198" s="347" t="n"/>
      <c r="AP198" s="340" t="n"/>
      <c r="AQ198" s="347" t="n"/>
      <c r="AR198" s="313" t="n"/>
      <c r="AS198" s="347" t="n"/>
      <c r="AT198" s="736" t="n"/>
      <c r="AU198" s="736" t="n"/>
      <c r="AV198" s="731">
        <f>IF(AT198="","",S198-AT198-AU198)</f>
        <v/>
      </c>
      <c r="AW198" s="331">
        <f>IFERROR(IF(tbl_DCFC[[#This Row],[F Montant HT]]="","",tbl_DCFC[[#This Row],[Marge]]/tbl_DCFC[[#This Row],[F Montant HT]]),"")</f>
        <v/>
      </c>
    </row>
    <row r="199" ht="15" customHeight="1" s="701">
      <c r="A199" s="744" t="n"/>
      <c r="B199" s="347">
        <f>IFERROR(INDEX(Tabelle2[BU],MATCH(tbl_DCFC[[#This Row],[Categorie]],CAT,0)),"")</f>
        <v/>
      </c>
      <c r="C199" s="315">
        <f>IF(D199&lt;&gt;"","S"&amp;TEXT(WEEKNUM(D199,21),"00"),"")</f>
        <v/>
      </c>
      <c r="D199" s="744" t="n"/>
      <c r="E199" s="350" t="n"/>
      <c r="F199" s="350" t="n"/>
      <c r="G199" s="350" t="n"/>
      <c r="H199" s="350" t="n"/>
      <c r="I199" s="745" t="n"/>
      <c r="J199" s="350" t="n"/>
      <c r="K199" s="350" t="n"/>
      <c r="L199" s="337" t="n"/>
      <c r="M199" s="347" t="n"/>
      <c r="N199">
        <f>IF(Q199&lt;&gt;"","S"&amp;TEXT(WEEKNUM(Q199,21),"00"),"")</f>
        <v/>
      </c>
      <c r="O199">
        <f>IF(Data!$Q199="","",YEAR(Data!$Q199))</f>
        <v/>
      </c>
      <c r="P199">
        <f>IF(Data!$Q199="","",MONTH(Data!$Q199))</f>
        <v/>
      </c>
      <c r="V199" s="347" t="n"/>
      <c r="W199" s="163" t="n"/>
      <c r="X199">
        <f>IF(AC199&lt;&gt;"","S"&amp;TEXT(WEEKNUM(AC199,21),"00"),"")</f>
        <v/>
      </c>
      <c r="Y199">
        <f>IF(Data!$AC199="","",YEAR(Data!$AC199))</f>
        <v/>
      </c>
      <c r="Z199">
        <f>IF(Data!$AC199="","",MONTH(Data!$AC199))</f>
        <v/>
      </c>
      <c r="AA199" s="163" t="n"/>
      <c r="AD199" s="709" t="n"/>
      <c r="AE199" s="163" t="n"/>
      <c r="AF199" s="302" t="n"/>
      <c r="AH199" s="347" t="n"/>
      <c r="AI199" s="340" t="n"/>
      <c r="AJ199" s="340" t="n"/>
      <c r="AK199" s="347" t="n"/>
      <c r="AM199" s="347" t="n"/>
      <c r="AN199" s="350" t="n"/>
      <c r="AO199" s="347" t="n"/>
      <c r="AP199" s="340" t="n"/>
      <c r="AQ199" s="347" t="n"/>
      <c r="AR199" s="313" t="n"/>
      <c r="AS199" s="347" t="n"/>
      <c r="AT199" s="736" t="n"/>
      <c r="AU199" s="736" t="n"/>
      <c r="AV199" s="731">
        <f>IF(AT199="","",S199-AT199-AU199)</f>
        <v/>
      </c>
      <c r="AW199" s="331">
        <f>IFERROR(IF(tbl_DCFC[[#This Row],[F Montant HT]]="","",tbl_DCFC[[#This Row],[Marge]]/tbl_DCFC[[#This Row],[F Montant HT]]),"")</f>
        <v/>
      </c>
    </row>
    <row r="200" ht="15" customHeight="1" s="701">
      <c r="A200" s="744" t="n"/>
      <c r="B200" s="347">
        <f>IFERROR(INDEX(Tabelle2[BU],MATCH(tbl_DCFC[[#This Row],[Categorie]],CAT,0)),"")</f>
        <v/>
      </c>
      <c r="C200" s="315">
        <f>IF(D200&lt;&gt;"","S"&amp;TEXT(WEEKNUM(D200,21),"00"),"")</f>
        <v/>
      </c>
      <c r="D200" s="744" t="n"/>
      <c r="E200" s="350" t="n"/>
      <c r="F200" s="350" t="n"/>
      <c r="G200" s="350" t="n"/>
      <c r="H200" s="350" t="n"/>
      <c r="I200" s="745" t="n"/>
      <c r="J200" s="350" t="n"/>
      <c r="K200" s="350" t="n"/>
      <c r="L200" s="337" t="n"/>
      <c r="M200" s="347" t="n"/>
      <c r="N200">
        <f>IF(Q200&lt;&gt;"","S"&amp;TEXT(WEEKNUM(Q200,21),"00"),"")</f>
        <v/>
      </c>
      <c r="O200">
        <f>IF(Data!$Q200="","",YEAR(Data!$Q200))</f>
        <v/>
      </c>
      <c r="P200">
        <f>IF(Data!$Q200="","",MONTH(Data!$Q200))</f>
        <v/>
      </c>
      <c r="V200" s="347" t="n"/>
      <c r="W200" s="163" t="n"/>
      <c r="X200">
        <f>IF(AC200&lt;&gt;"","S"&amp;TEXT(WEEKNUM(AC200,21),"00"),"")</f>
        <v/>
      </c>
      <c r="Y200">
        <f>IF(Data!$AC200="","",YEAR(Data!$AC200))</f>
        <v/>
      </c>
      <c r="Z200">
        <f>IF(Data!$AC200="","",MONTH(Data!$AC200))</f>
        <v/>
      </c>
      <c r="AA200" s="163" t="n"/>
      <c r="AD200" s="709" t="n"/>
      <c r="AE200" s="163" t="n"/>
      <c r="AF200" s="302" t="n"/>
      <c r="AH200" s="347" t="n"/>
      <c r="AI200" s="340" t="n"/>
      <c r="AJ200" s="340" t="n"/>
      <c r="AK200" s="347" t="n"/>
      <c r="AM200" s="347" t="n"/>
      <c r="AN200" s="350" t="n"/>
      <c r="AO200" s="347" t="n"/>
      <c r="AP200" s="340" t="n"/>
      <c r="AQ200" s="347" t="n"/>
      <c r="AR200" s="313" t="n"/>
      <c r="AS200" s="347" t="n"/>
      <c r="AT200" s="736" t="n"/>
      <c r="AU200" s="736" t="n"/>
      <c r="AV200" s="731">
        <f>IF(AT200="","",S200-AT200-AU200)</f>
        <v/>
      </c>
      <c r="AW200" s="331">
        <f>IFERROR(IF(tbl_DCFC[[#This Row],[F Montant HT]]="","",tbl_DCFC[[#This Row],[Marge]]/tbl_DCFC[[#This Row],[F Montant HT]]),"")</f>
        <v/>
      </c>
    </row>
    <row r="201" ht="15" customHeight="1" s="701">
      <c r="A201" s="744" t="n"/>
      <c r="B201" s="347">
        <f>IFERROR(INDEX(Tabelle2[BU],MATCH(tbl_DCFC[[#This Row],[Categorie]],CAT,0)),"")</f>
        <v/>
      </c>
      <c r="C201" s="315">
        <f>IF(D201&lt;&gt;"","S"&amp;TEXT(WEEKNUM(D201,21),"00"),"")</f>
        <v/>
      </c>
      <c r="D201" s="744" t="n"/>
      <c r="E201" s="350" t="n"/>
      <c r="F201" s="350" t="n"/>
      <c r="G201" s="350" t="n"/>
      <c r="H201" s="350" t="n"/>
      <c r="I201" s="745" t="n"/>
      <c r="J201" s="350" t="n"/>
      <c r="K201" s="350" t="n"/>
      <c r="L201" s="337" t="n"/>
      <c r="M201" s="347" t="n"/>
      <c r="N201">
        <f>IF(Q201&lt;&gt;"","S"&amp;TEXT(WEEKNUM(Q201,21),"00"),"")</f>
        <v/>
      </c>
      <c r="O201">
        <f>IF(Data!$Q201="","",YEAR(Data!$Q201))</f>
        <v/>
      </c>
      <c r="P201">
        <f>IF(Data!$Q201="","",MONTH(Data!$Q201))</f>
        <v/>
      </c>
      <c r="V201" s="347" t="n"/>
      <c r="W201" s="163" t="n"/>
      <c r="X201">
        <f>IF(AC201&lt;&gt;"","S"&amp;TEXT(WEEKNUM(AC201,21),"00"),"")</f>
        <v/>
      </c>
      <c r="Y201">
        <f>IF(Data!$AC201="","",YEAR(Data!$AC201))</f>
        <v/>
      </c>
      <c r="Z201">
        <f>IF(Data!$AC201="","",MONTH(Data!$AC201))</f>
        <v/>
      </c>
      <c r="AA201" s="163" t="n"/>
      <c r="AD201" s="709" t="n"/>
      <c r="AE201" s="163" t="n"/>
      <c r="AF201" s="302" t="n"/>
      <c r="AH201" s="347" t="n"/>
      <c r="AI201" s="340" t="n"/>
      <c r="AJ201" s="340" t="n"/>
      <c r="AK201" s="347" t="n"/>
      <c r="AM201" s="347" t="n"/>
      <c r="AN201" s="350" t="n"/>
      <c r="AO201" s="347" t="n"/>
      <c r="AP201" s="340" t="n"/>
      <c r="AQ201" s="347" t="n"/>
      <c r="AR201" s="313" t="n"/>
      <c r="AS201" s="347" t="n"/>
      <c r="AT201" s="736" t="n"/>
      <c r="AU201" s="736" t="n"/>
      <c r="AV201" s="731">
        <f>IF(AT201="","",S201-AT201-AU201)</f>
        <v/>
      </c>
      <c r="AW201" s="331">
        <f>IFERROR(IF(tbl_DCFC[[#This Row],[F Montant HT]]="","",tbl_DCFC[[#This Row],[Marge]]/tbl_DCFC[[#This Row],[F Montant HT]]),"")</f>
        <v/>
      </c>
    </row>
    <row r="202" ht="15" customHeight="1" s="701">
      <c r="A202" s="744" t="n"/>
      <c r="B202" s="347">
        <f>IFERROR(INDEX(Tabelle2[BU],MATCH(tbl_DCFC[[#This Row],[Categorie]],CAT,0)),"")</f>
        <v/>
      </c>
      <c r="C202" s="315">
        <f>IF(D202&lt;&gt;"","S"&amp;TEXT(WEEKNUM(D202,21),"00"),"")</f>
        <v/>
      </c>
      <c r="D202" s="744" t="n"/>
      <c r="E202" s="350" t="n"/>
      <c r="F202" s="350" t="n"/>
      <c r="G202" s="350" t="n"/>
      <c r="H202" s="350" t="n"/>
      <c r="I202" s="745" t="n"/>
      <c r="J202" s="350" t="n"/>
      <c r="K202" s="350" t="n"/>
      <c r="L202" s="337" t="n"/>
      <c r="M202" s="347" t="n"/>
      <c r="N202">
        <f>IF(Q202&lt;&gt;"","S"&amp;TEXT(WEEKNUM(Q202,21),"00"),"")</f>
        <v/>
      </c>
      <c r="O202">
        <f>IF(Data!$Q202="","",YEAR(Data!$Q202))</f>
        <v/>
      </c>
      <c r="P202">
        <f>IF(Data!$Q202="","",MONTH(Data!$Q202))</f>
        <v/>
      </c>
      <c r="V202" s="347" t="n"/>
      <c r="W202" s="163" t="n"/>
      <c r="X202">
        <f>IF(AC202&lt;&gt;"","S"&amp;TEXT(WEEKNUM(AC202,21),"00"),"")</f>
        <v/>
      </c>
      <c r="Y202">
        <f>IF(Data!$AC202="","",YEAR(Data!$AC202))</f>
        <v/>
      </c>
      <c r="Z202">
        <f>IF(Data!$AC202="","",MONTH(Data!$AC202))</f>
        <v/>
      </c>
      <c r="AA202" s="163" t="n"/>
      <c r="AD202" s="709" t="n"/>
      <c r="AE202" s="163" t="n"/>
      <c r="AF202" s="302" t="n"/>
      <c r="AH202" s="347" t="n"/>
      <c r="AI202" s="340" t="n"/>
      <c r="AJ202" s="340" t="n"/>
      <c r="AK202" s="347" t="n"/>
      <c r="AM202" s="347" t="n"/>
      <c r="AN202" s="350" t="n"/>
      <c r="AO202" s="347" t="n"/>
      <c r="AP202" s="340" t="n"/>
      <c r="AQ202" s="347" t="n"/>
      <c r="AR202" s="313" t="n"/>
      <c r="AS202" s="347" t="n"/>
      <c r="AT202" s="736" t="n"/>
      <c r="AU202" s="736" t="n"/>
      <c r="AV202" s="731">
        <f>IF(AT202="","",S202-AT202-AU202)</f>
        <v/>
      </c>
      <c r="AW202" s="331">
        <f>IFERROR(IF(tbl_DCFC[[#This Row],[F Montant HT]]="","",tbl_DCFC[[#This Row],[Marge]]/tbl_DCFC[[#This Row],[F Montant HT]]),"")</f>
        <v/>
      </c>
    </row>
    <row r="203" ht="15" customHeight="1" s="701">
      <c r="A203" s="744" t="n"/>
      <c r="B203" s="347">
        <f>IFERROR(INDEX(Tabelle2[BU],MATCH(tbl_DCFC[[#This Row],[Categorie]],CAT,0)),"")</f>
        <v/>
      </c>
      <c r="C203" s="315">
        <f>IF(D203&lt;&gt;"","S"&amp;TEXT(WEEKNUM(D203,21),"00"),"")</f>
        <v/>
      </c>
      <c r="D203" s="744" t="n"/>
      <c r="E203" s="350" t="n"/>
      <c r="F203" s="350" t="n"/>
      <c r="G203" s="350" t="n"/>
      <c r="H203" s="350" t="n"/>
      <c r="I203" s="745" t="n"/>
      <c r="J203" s="350" t="n"/>
      <c r="K203" s="350" t="n"/>
      <c r="L203" s="337" t="n"/>
      <c r="M203" s="347" t="n"/>
      <c r="N203">
        <f>IF(Q203&lt;&gt;"","S"&amp;TEXT(WEEKNUM(Q203,21),"00"),"")</f>
        <v/>
      </c>
      <c r="O203">
        <f>IF(Data!$Q203="","",YEAR(Data!$Q203))</f>
        <v/>
      </c>
      <c r="P203">
        <f>IF(Data!$Q203="","",MONTH(Data!$Q203))</f>
        <v/>
      </c>
      <c r="V203" s="347" t="n"/>
      <c r="W203" s="163" t="n"/>
      <c r="X203">
        <f>IF(AC203&lt;&gt;"","S"&amp;TEXT(WEEKNUM(AC203,21),"00"),"")</f>
        <v/>
      </c>
      <c r="Y203">
        <f>IF(Data!$AC203="","",YEAR(Data!$AC203))</f>
        <v/>
      </c>
      <c r="Z203">
        <f>IF(Data!$AC203="","",MONTH(Data!$AC203))</f>
        <v/>
      </c>
      <c r="AA203" s="163" t="n"/>
      <c r="AD203" s="709" t="n"/>
      <c r="AE203" s="163" t="n"/>
      <c r="AF203" s="302" t="n"/>
      <c r="AH203" s="347" t="n"/>
      <c r="AI203" s="340" t="n"/>
      <c r="AJ203" s="340" t="n"/>
      <c r="AK203" s="347" t="n"/>
      <c r="AM203" s="347" t="n"/>
      <c r="AN203" s="350" t="n"/>
      <c r="AO203" s="347" t="n"/>
      <c r="AP203" s="340" t="n"/>
      <c r="AQ203" s="347" t="n"/>
      <c r="AR203" s="313" t="n"/>
      <c r="AS203" s="347" t="n"/>
      <c r="AT203" s="736" t="n"/>
      <c r="AU203" s="736" t="n"/>
      <c r="AV203" s="731">
        <f>IF(AT203="","",S203-AT203-AU203)</f>
        <v/>
      </c>
      <c r="AW203" s="331">
        <f>IFERROR(IF(tbl_DCFC[[#This Row],[F Montant HT]]="","",tbl_DCFC[[#This Row],[Marge]]/tbl_DCFC[[#This Row],[F Montant HT]]),"")</f>
        <v/>
      </c>
    </row>
    <row r="204" ht="15" customHeight="1" s="701">
      <c r="A204" s="744" t="n"/>
      <c r="B204" s="347">
        <f>IFERROR(INDEX(Tabelle2[BU],MATCH(tbl_DCFC[[#This Row],[Categorie]],CAT,0)),"")</f>
        <v/>
      </c>
      <c r="C204" s="315">
        <f>IF(D204&lt;&gt;"","S"&amp;TEXT(WEEKNUM(D204,21),"00"),"")</f>
        <v/>
      </c>
      <c r="D204" s="744" t="n"/>
      <c r="E204" s="350" t="n"/>
      <c r="F204" s="350" t="n"/>
      <c r="G204" s="350" t="n"/>
      <c r="H204" s="350" t="n"/>
      <c r="I204" s="745" t="n"/>
      <c r="J204" s="350" t="n"/>
      <c r="K204" s="350" t="n"/>
      <c r="L204" s="337" t="n"/>
      <c r="M204" s="347" t="n"/>
      <c r="N204">
        <f>IF(Q204&lt;&gt;"","S"&amp;TEXT(WEEKNUM(Q204,21),"00"),"")</f>
        <v/>
      </c>
      <c r="O204">
        <f>IF(Data!$Q204="","",YEAR(Data!$Q204))</f>
        <v/>
      </c>
      <c r="P204">
        <f>IF(Data!$Q204="","",MONTH(Data!$Q204))</f>
        <v/>
      </c>
      <c r="V204" s="347" t="n"/>
      <c r="W204" s="163" t="n"/>
      <c r="X204">
        <f>IF(AC204&lt;&gt;"","S"&amp;TEXT(WEEKNUM(AC204,21),"00"),"")</f>
        <v/>
      </c>
      <c r="Y204">
        <f>IF(Data!$AC204="","",YEAR(Data!$AC204))</f>
        <v/>
      </c>
      <c r="Z204">
        <f>IF(Data!$AC204="","",MONTH(Data!$AC204))</f>
        <v/>
      </c>
      <c r="AA204" s="163" t="n"/>
      <c r="AD204" s="709" t="n"/>
      <c r="AE204" s="163" t="n"/>
      <c r="AF204" s="302" t="n"/>
      <c r="AH204" s="347" t="n"/>
      <c r="AI204" s="340" t="n"/>
      <c r="AJ204" s="340" t="n"/>
      <c r="AK204" s="347" t="n"/>
      <c r="AM204" s="347" t="n"/>
      <c r="AN204" s="350" t="n"/>
      <c r="AO204" s="347" t="n"/>
      <c r="AP204" s="340" t="n"/>
      <c r="AQ204" s="347" t="n"/>
      <c r="AR204" s="313" t="n"/>
      <c r="AS204" s="347" t="n"/>
      <c r="AT204" s="736" t="n"/>
      <c r="AU204" s="736" t="n"/>
      <c r="AV204" s="731">
        <f>IF(AT204="","",S204-AT204-AU204)</f>
        <v/>
      </c>
      <c r="AW204" s="331">
        <f>IFERROR(IF(tbl_DCFC[[#This Row],[F Montant HT]]="","",tbl_DCFC[[#This Row],[Marge]]/tbl_DCFC[[#This Row],[F Montant HT]]),"")</f>
        <v/>
      </c>
    </row>
    <row r="205" ht="15" customHeight="1" s="701">
      <c r="A205" s="744" t="n"/>
      <c r="B205" s="347">
        <f>IFERROR(INDEX(Tabelle2[BU],MATCH(tbl_DCFC[[#This Row],[Categorie]],CAT,0)),"")</f>
        <v/>
      </c>
      <c r="C205" s="315">
        <f>IF(D205&lt;&gt;"","S"&amp;TEXT(WEEKNUM(D205,21),"00"),"")</f>
        <v/>
      </c>
      <c r="D205" s="744" t="n"/>
      <c r="E205" s="350" t="n"/>
      <c r="F205" s="350" t="n"/>
      <c r="G205" s="350" t="n"/>
      <c r="H205" s="350" t="n"/>
      <c r="I205" s="745" t="n"/>
      <c r="J205" s="350" t="n"/>
      <c r="K205" s="350" t="n"/>
      <c r="L205" s="337" t="n"/>
      <c r="M205" s="347" t="n"/>
      <c r="N205">
        <f>IF(Q205&lt;&gt;"","S"&amp;TEXT(WEEKNUM(Q205,21),"00"),"")</f>
        <v/>
      </c>
      <c r="O205">
        <f>IF(Data!$Q205="","",YEAR(Data!$Q205))</f>
        <v/>
      </c>
      <c r="P205">
        <f>IF(Data!$Q205="","",MONTH(Data!$Q205))</f>
        <v/>
      </c>
      <c r="V205" s="347" t="n"/>
      <c r="W205" s="163" t="n"/>
      <c r="X205">
        <f>IF(AC205&lt;&gt;"","S"&amp;TEXT(WEEKNUM(AC205,21),"00"),"")</f>
        <v/>
      </c>
      <c r="Y205">
        <f>IF(Data!$AC205="","",YEAR(Data!$AC205))</f>
        <v/>
      </c>
      <c r="Z205">
        <f>IF(Data!$AC205="","",MONTH(Data!$AC205))</f>
        <v/>
      </c>
      <c r="AA205" s="163" t="n"/>
      <c r="AD205" s="709" t="n"/>
      <c r="AE205" s="163" t="n"/>
      <c r="AF205" s="302" t="n"/>
      <c r="AH205" s="347" t="n"/>
      <c r="AI205" s="340" t="n"/>
      <c r="AJ205" s="340" t="n"/>
      <c r="AK205" s="347" t="n"/>
      <c r="AM205" s="347" t="n"/>
      <c r="AN205" s="350" t="n"/>
      <c r="AO205" s="347" t="n"/>
      <c r="AP205" s="340" t="n"/>
      <c r="AQ205" s="347" t="n"/>
      <c r="AR205" s="313" t="n"/>
      <c r="AS205" s="347" t="n"/>
      <c r="AT205" s="736" t="n"/>
      <c r="AU205" s="736" t="n"/>
      <c r="AV205" s="731">
        <f>IF(AT205="","",S205-AT205-AU205)</f>
        <v/>
      </c>
      <c r="AW205" s="331">
        <f>IFERROR(IF(tbl_DCFC[[#This Row],[F Montant HT]]="","",tbl_DCFC[[#This Row],[Marge]]/tbl_DCFC[[#This Row],[F Montant HT]]),"")</f>
        <v/>
      </c>
    </row>
    <row r="206" ht="15" customHeight="1" s="701">
      <c r="A206" s="744" t="n"/>
      <c r="B206" s="347">
        <f>IFERROR(INDEX(Tabelle2[BU],MATCH(tbl_DCFC[[#This Row],[Categorie]],CAT,0)),"")</f>
        <v/>
      </c>
      <c r="C206" s="315">
        <f>IF(D206&lt;&gt;"","S"&amp;TEXT(WEEKNUM(D206,21),"00"),"")</f>
        <v/>
      </c>
      <c r="D206" s="744" t="n"/>
      <c r="E206" s="350" t="n"/>
      <c r="F206" s="350" t="n"/>
      <c r="G206" s="350" t="n"/>
      <c r="H206" s="350" t="n"/>
      <c r="I206" s="745" t="n"/>
      <c r="J206" s="350" t="n"/>
      <c r="K206" s="350" t="n"/>
      <c r="L206" s="337" t="n"/>
      <c r="M206" s="347" t="n"/>
      <c r="N206">
        <f>IF(Q206&lt;&gt;"","S"&amp;TEXT(WEEKNUM(Q206,21),"00"),"")</f>
        <v/>
      </c>
      <c r="O206">
        <f>IF(Data!$Q206="","",YEAR(Data!$Q206))</f>
        <v/>
      </c>
      <c r="P206">
        <f>IF(Data!$Q206="","",MONTH(Data!$Q206))</f>
        <v/>
      </c>
      <c r="V206" s="347" t="n"/>
      <c r="W206" s="163" t="n"/>
      <c r="X206">
        <f>IF(AC206&lt;&gt;"","S"&amp;TEXT(WEEKNUM(AC206,21),"00"),"")</f>
        <v/>
      </c>
      <c r="Y206">
        <f>IF(Data!$AC206="","",YEAR(Data!$AC206))</f>
        <v/>
      </c>
      <c r="Z206">
        <f>IF(Data!$AC206="","",MONTH(Data!$AC206))</f>
        <v/>
      </c>
      <c r="AA206" s="163" t="n"/>
      <c r="AD206" s="709" t="n"/>
      <c r="AE206" s="163" t="n"/>
      <c r="AF206" s="302" t="n"/>
      <c r="AH206" s="347" t="n"/>
      <c r="AI206" s="340" t="n"/>
      <c r="AJ206" s="340" t="n"/>
      <c r="AK206" s="347" t="n"/>
      <c r="AM206" s="347" t="n"/>
      <c r="AN206" s="350" t="n"/>
      <c r="AO206" s="347" t="n"/>
      <c r="AP206" s="340" t="n"/>
      <c r="AQ206" s="347" t="n"/>
      <c r="AR206" s="313" t="n"/>
      <c r="AS206" s="347" t="n"/>
      <c r="AT206" s="736" t="n"/>
      <c r="AU206" s="736" t="n"/>
      <c r="AV206" s="731">
        <f>IF(AT206="","",S206-AT206-AU206)</f>
        <v/>
      </c>
      <c r="AW206" s="331">
        <f>IFERROR(IF(tbl_DCFC[[#This Row],[F Montant HT]]="","",tbl_DCFC[[#This Row],[Marge]]/tbl_DCFC[[#This Row],[F Montant HT]]),"")</f>
        <v/>
      </c>
    </row>
    <row r="207" ht="15" customHeight="1" s="701">
      <c r="A207" s="744" t="n"/>
      <c r="B207" s="347">
        <f>IFERROR(INDEX(Tabelle2[BU],MATCH(tbl_DCFC[[#This Row],[Categorie]],CAT,0)),"")</f>
        <v/>
      </c>
      <c r="C207" s="350">
        <f>IF(D207&lt;&gt;"","S"&amp;TEXT(WEEKNUM(D207,21),"00"),"")</f>
        <v/>
      </c>
      <c r="D207" s="744" t="n"/>
      <c r="E207" s="312" t="n"/>
      <c r="F207" s="350" t="n"/>
      <c r="G207" s="350" t="n"/>
      <c r="H207" s="350" t="n"/>
      <c r="I207" s="745" t="n"/>
      <c r="J207" s="350" t="n"/>
      <c r="K207" s="350" t="n"/>
      <c r="L207" s="350" t="n"/>
      <c r="M207" s="347" t="n"/>
      <c r="N207">
        <f>IF(Q207&lt;&gt;"","S"&amp;TEXT(WEEKNUM(Q207,21),"00"),"")</f>
        <v/>
      </c>
      <c r="O207" s="350">
        <f>IF(Data!$Q207="","",YEAR(Data!$Q207))</f>
        <v/>
      </c>
      <c r="P207" s="350">
        <f>IF(Data!$Q207="","",MONTH(Data!$Q207))</f>
        <v/>
      </c>
      <c r="Q207" s="310" t="n"/>
      <c r="S207" s="732" t="n"/>
      <c r="T207" s="733" t="n"/>
      <c r="U207" s="734" t="n"/>
      <c r="V207" s="347" t="n"/>
      <c r="W207" s="310" t="n"/>
      <c r="X207" s="350">
        <f>IF(AC207&lt;&gt;"","S"&amp;TEXT(WEEKNUM(AC207,21),"00"),"")</f>
        <v/>
      </c>
      <c r="Y207" s="350">
        <f>IF(Data!$AC207="","",YEAR(Data!$AC207))</f>
        <v/>
      </c>
      <c r="Z207" s="350">
        <f>IF(Data!$AC207="","",MONTH(Data!$AC207))</f>
        <v/>
      </c>
      <c r="AA207" s="310" t="n"/>
      <c r="AB207" s="312" t="n"/>
      <c r="AC207" s="310" t="n"/>
      <c r="AD207" s="732" t="n"/>
      <c r="AE207" s="310" t="n"/>
      <c r="AF207" s="302" t="n"/>
      <c r="AH207" s="347" t="n"/>
      <c r="AK207" s="347" t="n"/>
      <c r="AM207" s="347" t="n"/>
      <c r="AN207" s="350" t="n"/>
      <c r="AO207" s="347" t="n"/>
      <c r="AQ207" s="347" t="n"/>
      <c r="AS207" s="347" t="n"/>
      <c r="AV207" s="731">
        <f>IF(AT207="","",S207-AT207-AU207)</f>
        <v/>
      </c>
      <c r="AW207" s="331">
        <f>IFERROR(IF(tbl_DCFC[[#This Row],[F Montant HT]]="","",tbl_DCFC[[#This Row],[Marge]]/tbl_DCFC[[#This Row],[F Montant HT]]),"")</f>
        <v/>
      </c>
    </row>
    <row r="208" ht="15" customHeight="1" s="701">
      <c r="A208" s="744" t="n"/>
      <c r="B208" s="347">
        <f>IFERROR(INDEX(Tabelle2[BU],MATCH(tbl_DCFC[[#This Row],[Categorie]],CAT,0)),"")</f>
        <v/>
      </c>
      <c r="C208" s="350">
        <f>IF(D208&lt;&gt;"","S"&amp;TEXT(WEEKNUM(D208,21),"00"),"")</f>
        <v/>
      </c>
      <c r="D208" s="744" t="n"/>
      <c r="E208" s="312" t="n"/>
      <c r="F208" s="350" t="n"/>
      <c r="G208" s="350" t="n"/>
      <c r="H208" s="350" t="n"/>
      <c r="I208" s="745" t="n"/>
      <c r="J208" s="350" t="n"/>
      <c r="K208" s="350" t="n"/>
      <c r="L208" s="350" t="n"/>
      <c r="M208" s="347" t="n"/>
      <c r="N208">
        <f>IF(Q208&lt;&gt;"","S"&amp;TEXT(WEEKNUM(Q208,21),"00"),"")</f>
        <v/>
      </c>
      <c r="O208" s="350">
        <f>IF(Data!$Q208="","",YEAR(Data!$Q208))</f>
        <v/>
      </c>
      <c r="P208" s="350">
        <f>IF(Data!$Q208="","",MONTH(Data!$Q208))</f>
        <v/>
      </c>
      <c r="Q208" s="310" t="n"/>
      <c r="S208" s="732" t="n"/>
      <c r="T208" s="733" t="n"/>
      <c r="U208" s="734" t="n"/>
      <c r="V208" s="347" t="n"/>
      <c r="W208" s="310" t="n"/>
      <c r="X208" s="350">
        <f>IF(AC208&lt;&gt;"","S"&amp;TEXT(WEEKNUM(AC208,21),"00"),"")</f>
        <v/>
      </c>
      <c r="Y208" s="350">
        <f>IF(Data!$AC208="","",YEAR(Data!$AC208))</f>
        <v/>
      </c>
      <c r="Z208" s="350">
        <f>IF(Data!$AC208="","",MONTH(Data!$AC208))</f>
        <v/>
      </c>
      <c r="AA208" s="310" t="n"/>
      <c r="AB208" s="312" t="n"/>
      <c r="AC208" s="310" t="n"/>
      <c r="AD208" s="732" t="n"/>
      <c r="AE208" s="310" t="n"/>
      <c r="AF208" s="302" t="n"/>
      <c r="AH208" s="347" t="n"/>
      <c r="AK208" s="347" t="n"/>
      <c r="AM208" s="347" t="n"/>
      <c r="AN208" s="350" t="n"/>
      <c r="AO208" s="347" t="n"/>
      <c r="AQ208" s="347" t="n"/>
      <c r="AS208" s="347" t="n"/>
      <c r="AV208" s="731">
        <f>IF(AT208="","",S208-AT208-AU208)</f>
        <v/>
      </c>
      <c r="AW208" s="331">
        <f>IFERROR(IF(tbl_DCFC[[#This Row],[F Montant HT]]="","",tbl_DCFC[[#This Row],[Marge]]/tbl_DCFC[[#This Row],[F Montant HT]]),"")</f>
        <v/>
      </c>
    </row>
    <row r="209" ht="15" customHeight="1" s="701">
      <c r="A209" s="744" t="n"/>
      <c r="B209" s="347">
        <f>IFERROR(INDEX(Tabelle2[BU],MATCH(tbl_DCFC[[#This Row],[Categorie]],CAT,0)),"")</f>
        <v/>
      </c>
      <c r="C209" s="350">
        <f>IF(D209&lt;&gt;"","S"&amp;TEXT(WEEKNUM(D209,21),"00"),"")</f>
        <v/>
      </c>
      <c r="D209" s="744" t="n"/>
      <c r="E209" s="312" t="n"/>
      <c r="F209" s="350" t="n"/>
      <c r="G209" s="350" t="n"/>
      <c r="H209" s="350" t="n"/>
      <c r="I209" s="745" t="n"/>
      <c r="J209" s="350" t="n"/>
      <c r="K209" s="350" t="n"/>
      <c r="L209" s="350" t="n"/>
      <c r="M209" s="347" t="n"/>
      <c r="N209">
        <f>IF(Q209&lt;&gt;"","S"&amp;TEXT(WEEKNUM(Q209,21),"00"),"")</f>
        <v/>
      </c>
      <c r="O209" s="350">
        <f>IF(Data!$Q209="","",YEAR(Data!$Q209))</f>
        <v/>
      </c>
      <c r="P209" s="350">
        <f>IF(Data!$Q209="","",MONTH(Data!$Q209))</f>
        <v/>
      </c>
      <c r="Q209" s="310" t="n"/>
      <c r="S209" s="732" t="n"/>
      <c r="T209" s="733" t="n"/>
      <c r="U209" s="734" t="n"/>
      <c r="V209" s="347" t="n"/>
      <c r="W209" s="310" t="n"/>
      <c r="X209" s="350">
        <f>IF(AC209&lt;&gt;"","S"&amp;TEXT(WEEKNUM(AC209,21),"00"),"")</f>
        <v/>
      </c>
      <c r="Y209" s="350">
        <f>IF(Data!$AC209="","",YEAR(Data!$AC209))</f>
        <v/>
      </c>
      <c r="Z209" s="350">
        <f>IF(Data!$AC209="","",MONTH(Data!$AC209))</f>
        <v/>
      </c>
      <c r="AA209" s="310" t="n"/>
      <c r="AB209" s="312" t="n"/>
      <c r="AC209" s="310" t="n"/>
      <c r="AD209" s="732" t="n"/>
      <c r="AE209" s="310" t="n"/>
      <c r="AF209" s="302" t="n"/>
      <c r="AH209" s="347" t="n"/>
      <c r="AK209" s="347" t="n"/>
      <c r="AM209" s="347" t="n"/>
      <c r="AN209" s="350" t="n"/>
      <c r="AO209" s="347" t="n"/>
      <c r="AQ209" s="347" t="n"/>
      <c r="AS209" s="347" t="n"/>
      <c r="AV209" s="731">
        <f>IF(AT209="","",S209-AT209-AU209)</f>
        <v/>
      </c>
      <c r="AW209" s="331">
        <f>IFERROR(IF(tbl_DCFC[[#This Row],[F Montant HT]]="","",tbl_DCFC[[#This Row],[Marge]]/tbl_DCFC[[#This Row],[F Montant HT]]),"")</f>
        <v/>
      </c>
    </row>
    <row r="210" ht="15" customHeight="1" s="701">
      <c r="A210" s="744" t="n"/>
      <c r="B210" s="347">
        <f>IFERROR(INDEX(Tabelle2[BU],MATCH(tbl_DCFC[[#This Row],[Categorie]],CAT,0)),"")</f>
        <v/>
      </c>
      <c r="C210" s="350">
        <f>IF(D210&lt;&gt;"","S"&amp;TEXT(WEEKNUM(D210,21),"00"),"")</f>
        <v/>
      </c>
      <c r="D210" s="744" t="n"/>
      <c r="E210" s="312" t="n"/>
      <c r="F210" s="350" t="n"/>
      <c r="G210" s="350" t="n"/>
      <c r="H210" s="350" t="n"/>
      <c r="I210" s="745" t="n"/>
      <c r="J210" s="350" t="n"/>
      <c r="K210" s="350" t="n"/>
      <c r="L210" s="350" t="n"/>
      <c r="M210" s="347" t="n"/>
      <c r="N210">
        <f>IF(Q210&lt;&gt;"","S"&amp;TEXT(WEEKNUM(Q210,21),"00"),"")</f>
        <v/>
      </c>
      <c r="O210" s="350">
        <f>IF(Data!$Q210="","",YEAR(Data!$Q210))</f>
        <v/>
      </c>
      <c r="P210" s="350">
        <f>IF(Data!$Q210="","",MONTH(Data!$Q210))</f>
        <v/>
      </c>
      <c r="Q210" s="310" t="n"/>
      <c r="S210" s="732" t="n"/>
      <c r="T210" s="733" t="n"/>
      <c r="U210" s="734" t="n"/>
      <c r="V210" s="347" t="n"/>
      <c r="W210" s="310" t="n"/>
      <c r="X210" s="350">
        <f>IF(AC210&lt;&gt;"","S"&amp;TEXT(WEEKNUM(AC210,21),"00"),"")</f>
        <v/>
      </c>
      <c r="Y210" s="350">
        <f>IF(Data!$AC210="","",YEAR(Data!$AC210))</f>
        <v/>
      </c>
      <c r="Z210" s="350">
        <f>IF(Data!$AC210="","",MONTH(Data!$AC210))</f>
        <v/>
      </c>
      <c r="AA210" s="310" t="n"/>
      <c r="AB210" s="312" t="n"/>
      <c r="AC210" s="310" t="n"/>
      <c r="AD210" s="732" t="n"/>
      <c r="AE210" s="310" t="n"/>
      <c r="AF210" s="302" t="n"/>
      <c r="AH210" s="347" t="n"/>
      <c r="AK210" s="347" t="n"/>
      <c r="AM210" s="347" t="n"/>
      <c r="AN210" s="350" t="n"/>
      <c r="AO210" s="347" t="n"/>
      <c r="AQ210" s="347" t="n"/>
      <c r="AS210" s="347" t="n"/>
      <c r="AV210" s="731">
        <f>IF(AT210="","",S210-AT210-AU210)</f>
        <v/>
      </c>
      <c r="AW210" s="331">
        <f>IFERROR(IF(tbl_DCFC[[#This Row],[F Montant HT]]="","",tbl_DCFC[[#This Row],[Marge]]/tbl_DCFC[[#This Row],[F Montant HT]]),"")</f>
        <v/>
      </c>
    </row>
    <row r="211" ht="15" customHeight="1" s="701">
      <c r="A211" s="744" t="n"/>
      <c r="B211" s="347">
        <f>IFERROR(INDEX(Tabelle2[BU],MATCH(tbl_DCFC[[#This Row],[Categorie]],CAT,0)),"")</f>
        <v/>
      </c>
      <c r="C211" s="350">
        <f>IF(D211&lt;&gt;"","S"&amp;TEXT(WEEKNUM(D211,21),"00"),"")</f>
        <v/>
      </c>
      <c r="D211" s="744" t="n"/>
      <c r="E211" s="312" t="n"/>
      <c r="F211" s="350" t="n"/>
      <c r="G211" s="350" t="n"/>
      <c r="H211" s="350" t="n"/>
      <c r="I211" s="745" t="n"/>
      <c r="J211" s="350" t="n"/>
      <c r="K211" s="350" t="n"/>
      <c r="L211" s="350" t="n"/>
      <c r="M211" s="347" t="n"/>
      <c r="N211">
        <f>IF(Q211&lt;&gt;"","S"&amp;TEXT(WEEKNUM(Q211,21),"00"),"")</f>
        <v/>
      </c>
      <c r="O211" s="350">
        <f>IF(Data!$Q211="","",YEAR(Data!$Q211))</f>
        <v/>
      </c>
      <c r="P211" s="350">
        <f>IF(Data!$Q211="","",MONTH(Data!$Q211))</f>
        <v/>
      </c>
      <c r="Q211" s="310" t="n"/>
      <c r="S211" s="732" t="n"/>
      <c r="T211" s="733" t="n"/>
      <c r="U211" s="734" t="n"/>
      <c r="V211" s="347" t="n"/>
      <c r="W211" s="310" t="n"/>
      <c r="X211" s="350">
        <f>IF(AC211&lt;&gt;"","S"&amp;TEXT(WEEKNUM(AC211,21),"00"),"")</f>
        <v/>
      </c>
      <c r="Y211" s="350">
        <f>IF(Data!$AC211="","",YEAR(Data!$AC211))</f>
        <v/>
      </c>
      <c r="Z211" s="350">
        <f>IF(Data!$AC211="","",MONTH(Data!$AC211))</f>
        <v/>
      </c>
      <c r="AA211" s="310" t="n"/>
      <c r="AB211" s="312" t="n"/>
      <c r="AC211" s="310" t="n"/>
      <c r="AD211" s="732" t="n"/>
      <c r="AE211" s="310" t="n"/>
      <c r="AF211" s="302" t="n"/>
      <c r="AH211" s="347" t="n"/>
      <c r="AK211" s="347" t="n"/>
      <c r="AM211" s="347" t="n"/>
      <c r="AN211" s="350" t="n"/>
      <c r="AO211" s="347" t="n"/>
      <c r="AQ211" s="347" t="n"/>
      <c r="AS211" s="347" t="n"/>
      <c r="AV211" s="731">
        <f>IF(AT211="","",S211-AT211-AU211)</f>
        <v/>
      </c>
      <c r="AW211" s="331">
        <f>IFERROR(IF(tbl_DCFC[[#This Row],[F Montant HT]]="","",tbl_DCFC[[#This Row],[Marge]]/tbl_DCFC[[#This Row],[F Montant HT]]),"")</f>
        <v/>
      </c>
    </row>
    <row r="212" ht="15" customHeight="1" s="701">
      <c r="A212" s="744" t="n"/>
      <c r="B212" s="347">
        <f>IFERROR(INDEX(Tabelle2[BU],MATCH(tbl_DCFC[[#This Row],[Categorie]],CAT,0)),"")</f>
        <v/>
      </c>
      <c r="C212" s="350">
        <f>IF(D212&lt;&gt;"","S"&amp;TEXT(WEEKNUM(D212,21),"00"),"")</f>
        <v/>
      </c>
      <c r="D212" s="744" t="n"/>
      <c r="E212" s="312" t="n"/>
      <c r="F212" s="350" t="n"/>
      <c r="G212" s="350" t="n"/>
      <c r="H212" s="350" t="n"/>
      <c r="I212" s="745" t="n"/>
      <c r="J212" s="350" t="n"/>
      <c r="K212" s="350" t="n"/>
      <c r="L212" s="350" t="n"/>
      <c r="M212" s="347" t="n"/>
      <c r="N212">
        <f>IF(Q212&lt;&gt;"","S"&amp;TEXT(WEEKNUM(Q212,21),"00"),"")</f>
        <v/>
      </c>
      <c r="O212" s="350">
        <f>IF(Data!$Q212="","",YEAR(Data!$Q212))</f>
        <v/>
      </c>
      <c r="P212" s="350">
        <f>IF(Data!$Q212="","",MONTH(Data!$Q212))</f>
        <v/>
      </c>
      <c r="Q212" s="310" t="n"/>
      <c r="S212" s="732" t="n"/>
      <c r="T212" s="733" t="n"/>
      <c r="U212" s="734" t="n"/>
      <c r="V212" s="347" t="n"/>
      <c r="W212" s="310" t="n"/>
      <c r="X212" s="350">
        <f>IF(AC212&lt;&gt;"","S"&amp;TEXT(WEEKNUM(AC212,21),"00"),"")</f>
        <v/>
      </c>
      <c r="Y212" s="350">
        <f>IF(Data!$AC212="","",YEAR(Data!$AC212))</f>
        <v/>
      </c>
      <c r="Z212" s="350">
        <f>IF(Data!$AC212="","",MONTH(Data!$AC212))</f>
        <v/>
      </c>
      <c r="AA212" s="310" t="n"/>
      <c r="AB212" s="312" t="n"/>
      <c r="AC212" s="310" t="n"/>
      <c r="AD212" s="732" t="n"/>
      <c r="AE212" s="310" t="n"/>
      <c r="AF212" s="302" t="n"/>
      <c r="AH212" s="347" t="n"/>
      <c r="AK212" s="347" t="n"/>
      <c r="AM212" s="347" t="n"/>
      <c r="AN212" s="350" t="n"/>
      <c r="AO212" s="347" t="n"/>
      <c r="AQ212" s="347" t="n"/>
      <c r="AS212" s="347" t="n"/>
      <c r="AV212" s="731">
        <f>IF(AT212="","",S212-AT212-AU212)</f>
        <v/>
      </c>
      <c r="AW212" s="331">
        <f>IFERROR(IF(tbl_DCFC[[#This Row],[F Montant HT]]="","",tbl_DCFC[[#This Row],[Marge]]/tbl_DCFC[[#This Row],[F Montant HT]]),"")</f>
        <v/>
      </c>
    </row>
    <row r="213" ht="15" customHeight="1" s="701">
      <c r="A213" s="744" t="n"/>
      <c r="B213" s="347">
        <f>IFERROR(INDEX(Tabelle2[BU],MATCH(tbl_DCFC[[#This Row],[Categorie]],CAT,0)),"")</f>
        <v/>
      </c>
      <c r="C213" s="350">
        <f>IF(D213&lt;&gt;"","S"&amp;TEXT(WEEKNUM(D213,21),"00"),"")</f>
        <v/>
      </c>
      <c r="D213" s="744" t="n"/>
      <c r="E213" s="312" t="n"/>
      <c r="F213" s="350" t="n"/>
      <c r="G213" s="350" t="n"/>
      <c r="H213" s="350" t="n"/>
      <c r="I213" s="745" t="n"/>
      <c r="J213" s="350" t="n"/>
      <c r="K213" s="350" t="n"/>
      <c r="L213" s="350" t="n"/>
      <c r="M213" s="347" t="n"/>
      <c r="N213">
        <f>IF(Q213&lt;&gt;"","S"&amp;TEXT(WEEKNUM(Q213,21),"00"),"")</f>
        <v/>
      </c>
      <c r="O213" s="350">
        <f>IF(Data!$Q213="","",YEAR(Data!$Q213))</f>
        <v/>
      </c>
      <c r="P213" s="350">
        <f>IF(Data!$Q213="","",MONTH(Data!$Q213))</f>
        <v/>
      </c>
      <c r="Q213" s="310" t="n"/>
      <c r="S213" s="732" t="n"/>
      <c r="T213" s="733" t="n"/>
      <c r="U213" s="734" t="n"/>
      <c r="V213" s="347" t="n"/>
      <c r="W213" s="310" t="n"/>
      <c r="X213" s="350">
        <f>IF(AC213&lt;&gt;"","S"&amp;TEXT(WEEKNUM(AC213,21),"00"),"")</f>
        <v/>
      </c>
      <c r="Y213" s="350">
        <f>IF(Data!$AC213="","",YEAR(Data!$AC213))</f>
        <v/>
      </c>
      <c r="Z213" s="350">
        <f>IF(Data!$AC213="","",MONTH(Data!$AC213))</f>
        <v/>
      </c>
      <c r="AA213" s="310" t="n"/>
      <c r="AB213" s="312" t="n"/>
      <c r="AC213" s="310" t="n"/>
      <c r="AD213" s="732" t="n"/>
      <c r="AE213" s="310" t="n"/>
      <c r="AF213" s="302" t="n"/>
      <c r="AH213" s="347" t="n"/>
      <c r="AK213" s="347" t="n"/>
      <c r="AM213" s="347" t="n"/>
      <c r="AN213" s="350" t="n"/>
      <c r="AO213" s="347" t="n"/>
      <c r="AQ213" s="347" t="n"/>
      <c r="AS213" s="347" t="n"/>
      <c r="AV213" s="731">
        <f>IF(AT213="","",S213-AT213-AU213)</f>
        <v/>
      </c>
      <c r="AW213" s="331">
        <f>IFERROR(IF(tbl_DCFC[[#This Row],[F Montant HT]]="","",tbl_DCFC[[#This Row],[Marge]]/tbl_DCFC[[#This Row],[F Montant HT]]),"")</f>
        <v/>
      </c>
    </row>
    <row r="214" ht="15" customHeight="1" s="701">
      <c r="A214" s="744" t="n"/>
      <c r="B214" s="347">
        <f>IFERROR(INDEX(Tabelle2[BU],MATCH(tbl_DCFC[[#This Row],[Categorie]],CAT,0)),"")</f>
        <v/>
      </c>
      <c r="C214" s="350">
        <f>IF(D214&lt;&gt;"","S"&amp;TEXT(WEEKNUM(D214,21),"00"),"")</f>
        <v/>
      </c>
      <c r="D214" s="744" t="n"/>
      <c r="E214" s="312" t="n"/>
      <c r="F214" s="350" t="n"/>
      <c r="G214" s="350" t="n"/>
      <c r="H214" s="350" t="n"/>
      <c r="I214" s="745" t="n"/>
      <c r="J214" s="350" t="n"/>
      <c r="K214" s="350" t="n"/>
      <c r="L214" s="350" t="n"/>
      <c r="M214" s="347" t="n"/>
      <c r="N214">
        <f>IF(Q214&lt;&gt;"","S"&amp;TEXT(WEEKNUM(Q214,21),"00"),"")</f>
        <v/>
      </c>
      <c r="O214" s="350">
        <f>IF(Data!$Q214="","",YEAR(Data!$Q214))</f>
        <v/>
      </c>
      <c r="P214" s="350">
        <f>IF(Data!$Q214="","",MONTH(Data!$Q214))</f>
        <v/>
      </c>
      <c r="Q214" s="310" t="n"/>
      <c r="S214" s="732" t="n"/>
      <c r="T214" s="733" t="n"/>
      <c r="U214" s="734" t="n"/>
      <c r="V214" s="347" t="n"/>
      <c r="W214" s="310" t="n"/>
      <c r="X214" s="350">
        <f>IF(AC214&lt;&gt;"","S"&amp;TEXT(WEEKNUM(AC214,21),"00"),"")</f>
        <v/>
      </c>
      <c r="Y214" s="350">
        <f>IF(Data!$AC214="","",YEAR(Data!$AC214))</f>
        <v/>
      </c>
      <c r="Z214" s="350">
        <f>IF(Data!$AC214="","",MONTH(Data!$AC214))</f>
        <v/>
      </c>
      <c r="AA214" s="310" t="n"/>
      <c r="AB214" s="312" t="n"/>
      <c r="AC214" s="310" t="n"/>
      <c r="AD214" s="732" t="n"/>
      <c r="AE214" s="310" t="n"/>
      <c r="AF214" s="302" t="n"/>
      <c r="AH214" s="347" t="n"/>
      <c r="AK214" s="347" t="n"/>
      <c r="AM214" s="347" t="n"/>
      <c r="AN214" s="350" t="n"/>
      <c r="AO214" s="347" t="n"/>
      <c r="AQ214" s="347" t="n"/>
      <c r="AS214" s="347" t="n"/>
      <c r="AV214" s="731">
        <f>IF(AT214="","",S214-AT214-AU214)</f>
        <v/>
      </c>
      <c r="AW214" s="331">
        <f>IFERROR(IF(tbl_DCFC[[#This Row],[F Montant HT]]="","",tbl_DCFC[[#This Row],[Marge]]/tbl_DCFC[[#This Row],[F Montant HT]]),"")</f>
        <v/>
      </c>
    </row>
    <row r="215" ht="14.4" customHeight="1" s="701">
      <c r="A215" s="744" t="n"/>
      <c r="B215" s="347">
        <f>IFERROR(INDEX(Tabelle2[BU],MATCH(tbl_DCFC[[#This Row],[Categorie]],CAT,0)),"")</f>
        <v/>
      </c>
      <c r="C215" s="350">
        <f>IF(D215&lt;&gt;"","S"&amp;TEXT(WEEKNUM(D215,21),"00"),"")</f>
        <v/>
      </c>
      <c r="D215" s="744" t="n"/>
      <c r="E215" s="312" t="n"/>
      <c r="F215" s="350" t="n"/>
      <c r="G215" s="350" t="n"/>
      <c r="H215" s="350" t="n"/>
      <c r="I215" s="745" t="n"/>
      <c r="J215" s="350" t="n"/>
      <c r="K215" s="350" t="n"/>
      <c r="L215" s="350" t="n"/>
      <c r="M215" s="347" t="n"/>
      <c r="N215">
        <f>IF(Q215&lt;&gt;"","S"&amp;TEXT(WEEKNUM(Q215,21),"00"),"")</f>
        <v/>
      </c>
      <c r="O215" s="350">
        <f>IF(Data!$Q215="","",YEAR(Data!$Q215))</f>
        <v/>
      </c>
      <c r="P215" s="350">
        <f>IF(Data!$Q215="","",MONTH(Data!$Q215))</f>
        <v/>
      </c>
      <c r="Q215" s="310" t="n"/>
      <c r="S215" s="732" t="n"/>
      <c r="T215" s="733" t="n"/>
      <c r="U215" s="734" t="n"/>
      <c r="V215" s="347" t="n"/>
      <c r="W215" s="310" t="n"/>
      <c r="X215" s="350">
        <f>IF(AC215&lt;&gt;"","S"&amp;TEXT(WEEKNUM(AC215,21),"00"),"")</f>
        <v/>
      </c>
      <c r="Y215" s="350">
        <f>IF(Data!$AC215="","",YEAR(Data!$AC215))</f>
        <v/>
      </c>
      <c r="Z215" s="350">
        <f>IF(Data!$AC215="","",MONTH(Data!$AC215))</f>
        <v/>
      </c>
      <c r="AA215" s="310" t="n"/>
      <c r="AB215" s="312" t="n"/>
      <c r="AC215" s="310" t="n"/>
      <c r="AD215" s="732" t="n"/>
      <c r="AE215" s="310" t="n"/>
      <c r="AF215" s="302" t="n"/>
      <c r="AH215" s="347" t="n"/>
      <c r="AK215" s="347" t="n"/>
      <c r="AM215" s="347" t="n"/>
      <c r="AN215" s="350" t="n"/>
      <c r="AO215" s="347" t="n"/>
      <c r="AQ215" s="347" t="n"/>
      <c r="AS215" s="347" t="n"/>
      <c r="AV215" s="731">
        <f>IF(AT215="","",S215-AT215-AU215)</f>
        <v/>
      </c>
      <c r="AW215" s="331">
        <f>IFERROR(IF(tbl_DCFC[[#This Row],[F Montant HT]]="","",tbl_DCFC[[#This Row],[Marge]]/tbl_DCFC[[#This Row],[F Montant HT]]),"")</f>
        <v/>
      </c>
    </row>
    <row r="216" ht="14.4" customHeight="1" s="701">
      <c r="A216" s="744" t="n"/>
      <c r="B216" s="347">
        <f>IFERROR(INDEX(Tabelle2[BU],MATCH(tbl_DCFC[[#This Row],[Categorie]],CAT,0)),"")</f>
        <v/>
      </c>
      <c r="C216" s="350">
        <f>IF(D216&lt;&gt;"","S"&amp;TEXT(WEEKNUM(D216,21),"00"),"")</f>
        <v/>
      </c>
      <c r="D216" s="744" t="n"/>
      <c r="E216" s="312" t="n"/>
      <c r="F216" s="350" t="n"/>
      <c r="G216" s="350" t="n"/>
      <c r="H216" s="350" t="n"/>
      <c r="I216" s="745" t="n"/>
      <c r="J216" s="350" t="n"/>
      <c r="K216" s="350" t="n"/>
      <c r="L216" s="350" t="n"/>
      <c r="M216" s="347" t="n"/>
      <c r="N216">
        <f>IF(Q216&lt;&gt;"","S"&amp;TEXT(WEEKNUM(Q216,21),"00"),"")</f>
        <v/>
      </c>
      <c r="O216" s="350">
        <f>IF(Data!$Q216="","",YEAR(Data!$Q216))</f>
        <v/>
      </c>
      <c r="P216" s="350">
        <f>IF(Data!$Q216="","",MONTH(Data!$Q216))</f>
        <v/>
      </c>
      <c r="Q216" s="310" t="n"/>
      <c r="S216" s="732" t="n"/>
      <c r="T216" s="733" t="n"/>
      <c r="U216" s="734" t="n"/>
      <c r="V216" s="347" t="n"/>
      <c r="W216" s="310" t="n"/>
      <c r="X216" s="350">
        <f>IF(AC216&lt;&gt;"","S"&amp;TEXT(WEEKNUM(AC216,21),"00"),"")</f>
        <v/>
      </c>
      <c r="Y216" s="350">
        <f>IF(Data!$AC216="","",YEAR(Data!$AC216))</f>
        <v/>
      </c>
      <c r="Z216" s="350">
        <f>IF(Data!$AC216="","",MONTH(Data!$AC216))</f>
        <v/>
      </c>
      <c r="AA216" s="310" t="n"/>
      <c r="AB216" s="312" t="n"/>
      <c r="AC216" s="310" t="n"/>
      <c r="AD216" s="732" t="n"/>
      <c r="AE216" s="310" t="n"/>
      <c r="AF216" s="302" t="n"/>
      <c r="AH216" s="347" t="n"/>
      <c r="AK216" s="347" t="n"/>
      <c r="AM216" s="347" t="n"/>
      <c r="AN216" s="350" t="n"/>
      <c r="AO216" s="347" t="n"/>
      <c r="AQ216" s="347" t="n"/>
      <c r="AS216" s="347" t="n"/>
      <c r="AV216" s="731">
        <f>IF(AT216="","",S216-AT216-AU216)</f>
        <v/>
      </c>
      <c r="AW216" s="331">
        <f>IFERROR(IF(tbl_DCFC[[#This Row],[F Montant HT]]="","",tbl_DCFC[[#This Row],[Marge]]/tbl_DCFC[[#This Row],[F Montant HT]]),"")</f>
        <v/>
      </c>
    </row>
    <row r="217" ht="15" customHeight="1" s="701">
      <c r="A217" s="744" t="n"/>
      <c r="B217" s="347">
        <f>IFERROR(INDEX(Tabelle2[BU],MATCH(tbl_DCFC[[#This Row],[Categorie]],CAT,0)),"")</f>
        <v/>
      </c>
      <c r="C217" s="350">
        <f>IF(D217&lt;&gt;"","S"&amp;TEXT(WEEKNUM(D217,21),"00"),"")</f>
        <v/>
      </c>
      <c r="D217" s="744" t="n"/>
      <c r="E217" s="312" t="n"/>
      <c r="F217" s="350" t="n"/>
      <c r="G217" s="350" t="n"/>
      <c r="H217" s="350" t="n"/>
      <c r="I217" s="745" t="n"/>
      <c r="J217" s="350" t="n"/>
      <c r="K217" s="350" t="n"/>
      <c r="L217" s="350" t="n"/>
      <c r="M217" s="347" t="n"/>
      <c r="N217">
        <f>IF(Q217&lt;&gt;"","S"&amp;TEXT(WEEKNUM(Q217,21),"00"),"")</f>
        <v/>
      </c>
      <c r="O217" s="350">
        <f>IF(Data!$Q217="","",YEAR(Data!$Q217))</f>
        <v/>
      </c>
      <c r="P217" s="350">
        <f>IF(Data!$Q217="","",MONTH(Data!$Q217))</f>
        <v/>
      </c>
      <c r="Q217" s="310" t="n"/>
      <c r="S217" s="732" t="n"/>
      <c r="T217" s="733" t="n"/>
      <c r="U217" s="734" t="n"/>
      <c r="V217" s="347" t="n"/>
      <c r="W217" s="310" t="n"/>
      <c r="X217" s="350">
        <f>IF(AC217&lt;&gt;"","S"&amp;TEXT(WEEKNUM(AC217,21),"00"),"")</f>
        <v/>
      </c>
      <c r="Y217" s="350">
        <f>IF(Data!$AC217="","",YEAR(Data!$AC217))</f>
        <v/>
      </c>
      <c r="Z217" s="350">
        <f>IF(Data!$AC217="","",MONTH(Data!$AC217))</f>
        <v/>
      </c>
      <c r="AA217" s="310" t="n"/>
      <c r="AB217" s="312" t="n"/>
      <c r="AC217" s="310" t="n"/>
      <c r="AD217" s="732" t="n"/>
      <c r="AE217" s="310" t="n"/>
      <c r="AF217" s="302" t="n"/>
      <c r="AH217" s="347" t="n"/>
      <c r="AK217" s="347" t="n"/>
      <c r="AM217" s="347" t="n"/>
      <c r="AN217" s="350" t="n"/>
      <c r="AO217" s="347" t="n"/>
      <c r="AQ217" s="347" t="n"/>
      <c r="AS217" s="347" t="n"/>
      <c r="AV217" s="731">
        <f>IF(AT217="","",S217-AT217-AU217)</f>
        <v/>
      </c>
      <c r="AW217" s="331">
        <f>IFERROR(IF(tbl_DCFC[[#This Row],[F Montant HT]]="","",tbl_DCFC[[#This Row],[Marge]]/tbl_DCFC[[#This Row],[F Montant HT]]),"")</f>
        <v/>
      </c>
    </row>
    <row r="218" ht="15" customHeight="1" s="701">
      <c r="A218" s="744" t="n"/>
      <c r="B218" s="347">
        <f>IFERROR(INDEX(Tabelle2[BU],MATCH(tbl_DCFC[[#This Row],[Categorie]],CAT,0)),"")</f>
        <v/>
      </c>
      <c r="C218" s="350">
        <f>IF(D218&lt;&gt;"","S"&amp;TEXT(WEEKNUM(D218,21),"00"),"")</f>
        <v/>
      </c>
      <c r="D218" s="744" t="n"/>
      <c r="E218" s="312" t="n"/>
      <c r="F218" s="350" t="n"/>
      <c r="G218" s="350" t="n"/>
      <c r="H218" s="350" t="n"/>
      <c r="I218" s="745" t="n"/>
      <c r="J218" s="350" t="n"/>
      <c r="K218" s="350" t="n"/>
      <c r="L218" s="350" t="n"/>
      <c r="M218" s="347" t="n"/>
      <c r="N218">
        <f>IF(Q218&lt;&gt;"","S"&amp;TEXT(WEEKNUM(Q218,21),"00"),"")</f>
        <v/>
      </c>
      <c r="O218" s="350">
        <f>IF(Data!$Q218="","",YEAR(Data!$Q218))</f>
        <v/>
      </c>
      <c r="P218" s="350">
        <f>IF(Data!$Q218="","",MONTH(Data!$Q218))</f>
        <v/>
      </c>
      <c r="Q218" s="310" t="n"/>
      <c r="S218" s="732" t="n"/>
      <c r="T218" s="733" t="n"/>
      <c r="U218" s="734" t="n"/>
      <c r="V218" s="347" t="n"/>
      <c r="W218" s="310" t="n"/>
      <c r="X218" s="350">
        <f>IF(AC218&lt;&gt;"","S"&amp;TEXT(WEEKNUM(AC218,21),"00"),"")</f>
        <v/>
      </c>
      <c r="Y218" s="350">
        <f>IF(Data!$AC218="","",YEAR(Data!$AC218))</f>
        <v/>
      </c>
      <c r="Z218" s="350">
        <f>IF(Data!$AC218="","",MONTH(Data!$AC218))</f>
        <v/>
      </c>
      <c r="AA218" s="310" t="n"/>
      <c r="AB218" s="312" t="n"/>
      <c r="AC218" s="310" t="n"/>
      <c r="AD218" s="732" t="n"/>
      <c r="AE218" s="310" t="n"/>
      <c r="AF218" s="302" t="n"/>
      <c r="AH218" s="347" t="n"/>
      <c r="AK218" s="347" t="n"/>
      <c r="AM218" s="347" t="n"/>
      <c r="AN218" s="350" t="n"/>
      <c r="AO218" s="347" t="n"/>
      <c r="AQ218" s="347" t="n"/>
      <c r="AS218" s="347" t="n"/>
      <c r="AV218" s="731">
        <f>IF(AT218="","",S218-AT218-AU218)</f>
        <v/>
      </c>
      <c r="AW218" s="331">
        <f>IFERROR(IF(tbl_DCFC[[#This Row],[F Montant HT]]="","",tbl_DCFC[[#This Row],[Marge]]/tbl_DCFC[[#This Row],[F Montant HT]]),"")</f>
        <v/>
      </c>
    </row>
    <row r="219" ht="15" customHeight="1" s="701">
      <c r="A219" s="744" t="n"/>
      <c r="B219" s="347">
        <f>IFERROR(INDEX(Tabelle2[BU],MATCH(tbl_DCFC[[#This Row],[Categorie]],CAT,0)),"")</f>
        <v/>
      </c>
      <c r="C219" s="350">
        <f>IF(D219&lt;&gt;"","S"&amp;TEXT(WEEKNUM(D219,21),"00"),"")</f>
        <v/>
      </c>
      <c r="D219" s="744" t="n"/>
      <c r="E219" s="312" t="n"/>
      <c r="F219" s="350" t="n"/>
      <c r="G219" s="350" t="n"/>
      <c r="H219" s="350" t="n"/>
      <c r="I219" s="745" t="n"/>
      <c r="J219" s="350" t="n"/>
      <c r="K219" s="350" t="n"/>
      <c r="L219" s="350" t="n"/>
      <c r="M219" s="347" t="n"/>
      <c r="N219">
        <f>IF(Q219&lt;&gt;"","S"&amp;TEXT(WEEKNUM(Q219,21),"00"),"")</f>
        <v/>
      </c>
      <c r="O219" s="350">
        <f>IF(Data!$Q219="","",YEAR(Data!$Q219))</f>
        <v/>
      </c>
      <c r="P219" s="350">
        <f>IF(Data!$Q219="","",MONTH(Data!$Q219))</f>
        <v/>
      </c>
      <c r="Q219" s="310" t="n"/>
      <c r="S219" s="732" t="n"/>
      <c r="T219" s="733" t="n"/>
      <c r="U219" s="734" t="n"/>
      <c r="V219" s="347" t="n"/>
      <c r="W219" s="310" t="n"/>
      <c r="X219" s="350">
        <f>IF(AC219&lt;&gt;"","S"&amp;TEXT(WEEKNUM(AC219,21),"00"),"")</f>
        <v/>
      </c>
      <c r="Y219" s="350">
        <f>IF(Data!$AC219="","",YEAR(Data!$AC219))</f>
        <v/>
      </c>
      <c r="Z219" s="350">
        <f>IF(Data!$AC219="","",MONTH(Data!$AC219))</f>
        <v/>
      </c>
      <c r="AA219" s="310" t="n"/>
      <c r="AB219" s="312" t="n"/>
      <c r="AC219" s="310" t="n"/>
      <c r="AD219" s="732" t="n"/>
      <c r="AE219" s="310" t="n"/>
      <c r="AF219" s="302" t="n"/>
      <c r="AH219" s="347" t="n"/>
      <c r="AK219" s="347" t="n"/>
      <c r="AM219" s="347" t="n"/>
      <c r="AN219" s="350" t="n"/>
      <c r="AO219" s="347" t="n"/>
      <c r="AQ219" s="347" t="n"/>
      <c r="AS219" s="347" t="n"/>
      <c r="AV219" s="731">
        <f>IF(AT219="","",S219-AT219-AU219)</f>
        <v/>
      </c>
      <c r="AW219" s="331">
        <f>IFERROR(IF(tbl_DCFC[[#This Row],[F Montant HT]]="","",tbl_DCFC[[#This Row],[Marge]]/tbl_DCFC[[#This Row],[F Montant HT]]),"")</f>
        <v/>
      </c>
    </row>
    <row r="220" ht="15" customHeight="1" s="701">
      <c r="A220" s="744" t="n"/>
      <c r="B220" s="347">
        <f>IFERROR(INDEX(Tabelle2[BU],MATCH(tbl_DCFC[[#This Row],[Categorie]],CAT,0)),"")</f>
        <v/>
      </c>
      <c r="C220" s="350">
        <f>IF(D220&lt;&gt;"","S"&amp;TEXT(WEEKNUM(D220,21),"00"),"")</f>
        <v/>
      </c>
      <c r="D220" s="744" t="n"/>
      <c r="E220" s="312" t="n"/>
      <c r="F220" s="350" t="n"/>
      <c r="G220" s="350" t="n"/>
      <c r="H220" s="350" t="n"/>
      <c r="I220" s="745" t="n"/>
      <c r="J220" s="350" t="n"/>
      <c r="K220" s="350" t="n"/>
      <c r="L220" s="350" t="n"/>
      <c r="M220" s="347" t="n"/>
      <c r="N220">
        <f>IF(Q220&lt;&gt;"","S"&amp;TEXT(WEEKNUM(Q220,21),"00"),"")</f>
        <v/>
      </c>
      <c r="O220" s="350">
        <f>IF(Data!$Q220="","",YEAR(Data!$Q220))</f>
        <v/>
      </c>
      <c r="P220" s="350">
        <f>IF(Data!$Q220="","",MONTH(Data!$Q220))</f>
        <v/>
      </c>
      <c r="Q220" s="310" t="n"/>
      <c r="S220" s="732" t="n"/>
      <c r="T220" s="733" t="n"/>
      <c r="U220" s="734" t="n"/>
      <c r="V220" s="347" t="n"/>
      <c r="W220" s="310" t="n"/>
      <c r="X220" s="350">
        <f>IF(AC220&lt;&gt;"","S"&amp;TEXT(WEEKNUM(AC220,21),"00"),"")</f>
        <v/>
      </c>
      <c r="Y220" s="350">
        <f>IF(Data!$AC220="","",YEAR(Data!$AC220))</f>
        <v/>
      </c>
      <c r="Z220" s="350">
        <f>IF(Data!$AC220="","",MONTH(Data!$AC220))</f>
        <v/>
      </c>
      <c r="AA220" s="310" t="n"/>
      <c r="AB220" s="312" t="n"/>
      <c r="AC220" s="310" t="n"/>
      <c r="AD220" s="732" t="n"/>
      <c r="AE220" s="310" t="n"/>
      <c r="AF220" s="302" t="n"/>
      <c r="AH220" s="347" t="n"/>
      <c r="AK220" s="347" t="n"/>
      <c r="AM220" s="347" t="n"/>
      <c r="AN220" s="350" t="n"/>
      <c r="AO220" s="347" t="n"/>
      <c r="AQ220" s="347" t="n"/>
      <c r="AS220" s="347" t="n"/>
      <c r="AV220" s="731">
        <f>IF(AT220="","",S220-AT220-AU220)</f>
        <v/>
      </c>
      <c r="AW220" s="331">
        <f>IFERROR(IF(tbl_DCFC[[#This Row],[F Montant HT]]="","",tbl_DCFC[[#This Row],[Marge]]/tbl_DCFC[[#This Row],[F Montant HT]]),"")</f>
        <v/>
      </c>
    </row>
    <row r="221" ht="15" customHeight="1" s="701">
      <c r="A221" s="744" t="n"/>
      <c r="B221" s="347">
        <f>IFERROR(INDEX(Tabelle2[BU],MATCH(tbl_DCFC[[#This Row],[Categorie]],CAT,0)),"")</f>
        <v/>
      </c>
      <c r="C221" s="350">
        <f>IF(D221&lt;&gt;"","S"&amp;TEXT(WEEKNUM(D221,21),"00"),"")</f>
        <v/>
      </c>
      <c r="D221" s="744" t="n"/>
      <c r="E221" s="312" t="n"/>
      <c r="F221" s="350" t="n"/>
      <c r="G221" s="350" t="n"/>
      <c r="H221" s="350" t="n"/>
      <c r="I221" s="745" t="n"/>
      <c r="J221" s="350" t="n"/>
      <c r="K221" s="350" t="n"/>
      <c r="L221" s="350" t="n"/>
      <c r="M221" s="347" t="n"/>
      <c r="N221">
        <f>IF(Q221&lt;&gt;"","S"&amp;TEXT(WEEKNUM(Q221,21),"00"),"")</f>
        <v/>
      </c>
      <c r="O221" s="350">
        <f>IF(Data!$Q221="","",YEAR(Data!$Q221))</f>
        <v/>
      </c>
      <c r="P221" s="350">
        <f>IF(Data!$Q221="","",MONTH(Data!$Q221))</f>
        <v/>
      </c>
      <c r="Q221" s="310" t="n"/>
      <c r="S221" s="732" t="n"/>
      <c r="T221" s="733" t="n"/>
      <c r="U221" s="734" t="n"/>
      <c r="V221" s="347" t="n"/>
      <c r="W221" s="310" t="n"/>
      <c r="X221" s="350">
        <f>IF(AC221&lt;&gt;"","S"&amp;TEXT(WEEKNUM(AC221,21),"00"),"")</f>
        <v/>
      </c>
      <c r="Y221" s="350">
        <f>IF(Data!$AC221="","",YEAR(Data!$AC221))</f>
        <v/>
      </c>
      <c r="Z221" s="350">
        <f>IF(Data!$AC221="","",MONTH(Data!$AC221))</f>
        <v/>
      </c>
      <c r="AA221" s="310" t="n"/>
      <c r="AB221" s="312" t="n"/>
      <c r="AC221" s="310" t="n"/>
      <c r="AD221" s="732" t="n"/>
      <c r="AE221" s="310" t="n"/>
      <c r="AF221" s="302" t="n"/>
      <c r="AH221" s="347" t="n"/>
      <c r="AK221" s="347" t="n"/>
      <c r="AM221" s="347" t="n"/>
      <c r="AN221" s="350" t="n"/>
      <c r="AO221" s="347" t="n"/>
      <c r="AQ221" s="347" t="n"/>
      <c r="AS221" s="347" t="n"/>
      <c r="AV221" s="731">
        <f>IF(AT221="","",S221-AT221-AU221)</f>
        <v/>
      </c>
      <c r="AW221" s="331">
        <f>IFERROR(IF(tbl_DCFC[[#This Row],[F Montant HT]]="","",tbl_DCFC[[#This Row],[Marge]]/tbl_DCFC[[#This Row],[F Montant HT]]),"")</f>
        <v/>
      </c>
    </row>
    <row r="222" ht="15" customHeight="1" s="701">
      <c r="A222" s="744" t="n"/>
      <c r="B222" s="347">
        <f>IFERROR(INDEX(Tabelle2[BU],MATCH(tbl_DCFC[[#This Row],[Categorie]],CAT,0)),"")</f>
        <v/>
      </c>
      <c r="C222" s="350">
        <f>IF(D222&lt;&gt;"","S"&amp;TEXT(WEEKNUM(D222,21),"00"),"")</f>
        <v/>
      </c>
      <c r="D222" s="744" t="n"/>
      <c r="E222" s="312" t="n"/>
      <c r="F222" s="350" t="n"/>
      <c r="G222" s="350" t="n"/>
      <c r="H222" s="350" t="n"/>
      <c r="I222" s="745" t="n"/>
      <c r="J222" s="350" t="n"/>
      <c r="K222" s="350" t="n"/>
      <c r="L222" s="350" t="n"/>
      <c r="M222" s="347" t="n"/>
      <c r="N222">
        <f>IF(Q222&lt;&gt;"","S"&amp;TEXT(WEEKNUM(Q222,21),"00"),"")</f>
        <v/>
      </c>
      <c r="O222" s="350">
        <f>IF(Data!$Q222="","",YEAR(Data!$Q222))</f>
        <v/>
      </c>
      <c r="P222" s="350">
        <f>IF(Data!$Q222="","",MONTH(Data!$Q222))</f>
        <v/>
      </c>
      <c r="Q222" s="310" t="n"/>
      <c r="S222" s="732" t="n"/>
      <c r="T222" s="733" t="n"/>
      <c r="U222" s="734" t="n"/>
      <c r="V222" s="347" t="n"/>
      <c r="W222" s="310" t="n"/>
      <c r="X222" s="350">
        <f>IF(AC222&lt;&gt;"","S"&amp;TEXT(WEEKNUM(AC222,21),"00"),"")</f>
        <v/>
      </c>
      <c r="Y222" s="350">
        <f>IF(Data!$AC222="","",YEAR(Data!$AC222))</f>
        <v/>
      </c>
      <c r="Z222" s="350">
        <f>IF(Data!$AC222="","",MONTH(Data!$AC222))</f>
        <v/>
      </c>
      <c r="AA222" s="310" t="n"/>
      <c r="AB222" s="312" t="n"/>
      <c r="AC222" s="310" t="n"/>
      <c r="AD222" s="732" t="n"/>
      <c r="AE222" s="310" t="n"/>
      <c r="AF222" s="302" t="n"/>
      <c r="AH222" s="347" t="n"/>
      <c r="AK222" s="347" t="n"/>
      <c r="AM222" s="347" t="n"/>
      <c r="AN222" s="350" t="n"/>
      <c r="AO222" s="347" t="n"/>
      <c r="AQ222" s="347" t="n"/>
      <c r="AS222" s="347" t="n"/>
      <c r="AV222" s="731">
        <f>IF(AT222="","",S222-AT222-AU222)</f>
        <v/>
      </c>
      <c r="AW222" s="331">
        <f>IFERROR(IF(tbl_DCFC[[#This Row],[F Montant HT]]="","",tbl_DCFC[[#This Row],[Marge]]/tbl_DCFC[[#This Row],[F Montant HT]]),"")</f>
        <v/>
      </c>
    </row>
    <row r="223" ht="15" customHeight="1" s="701">
      <c r="A223" s="744" t="n"/>
      <c r="B223" s="347">
        <f>IFERROR(INDEX(Tabelle2[BU],MATCH(tbl_DCFC[[#This Row],[Categorie]],CAT,0)),"")</f>
        <v/>
      </c>
      <c r="C223" s="350">
        <f>IF(D223&lt;&gt;"","S"&amp;TEXT(WEEKNUM(D223,21),"00"),"")</f>
        <v/>
      </c>
      <c r="D223" s="744" t="n"/>
      <c r="E223" s="312" t="n"/>
      <c r="F223" s="350" t="n"/>
      <c r="G223" s="350" t="n"/>
      <c r="H223" s="350" t="n"/>
      <c r="I223" s="745" t="n"/>
      <c r="J223" s="350" t="n"/>
      <c r="K223" s="350" t="n"/>
      <c r="L223" s="350" t="n"/>
      <c r="M223" s="347" t="n"/>
      <c r="N223">
        <f>IF(Q223&lt;&gt;"","S"&amp;TEXT(WEEKNUM(Q223,21),"00"),"")</f>
        <v/>
      </c>
      <c r="O223" s="350">
        <f>IF(Data!$Q223="","",YEAR(Data!$Q223))</f>
        <v/>
      </c>
      <c r="P223" s="350">
        <f>IF(Data!$Q223="","",MONTH(Data!$Q223))</f>
        <v/>
      </c>
      <c r="Q223" s="310" t="n"/>
      <c r="S223" s="732" t="n"/>
      <c r="T223" s="733" t="n"/>
      <c r="U223" s="734" t="n"/>
      <c r="V223" s="347" t="n"/>
      <c r="W223" s="310" t="n"/>
      <c r="X223" s="350">
        <f>IF(AC223&lt;&gt;"","S"&amp;TEXT(WEEKNUM(AC223,21),"00"),"")</f>
        <v/>
      </c>
      <c r="Y223" s="350">
        <f>IF(Data!$AC223="","",YEAR(Data!$AC223))</f>
        <v/>
      </c>
      <c r="Z223" s="350">
        <f>IF(Data!$AC223="","",MONTH(Data!$AC223))</f>
        <v/>
      </c>
      <c r="AA223" s="310" t="n"/>
      <c r="AB223" s="312" t="n"/>
      <c r="AC223" s="310" t="n"/>
      <c r="AD223" s="732" t="n"/>
      <c r="AE223" s="310" t="n"/>
      <c r="AF223" s="302" t="n"/>
      <c r="AH223" s="347" t="n"/>
      <c r="AK223" s="347" t="n"/>
      <c r="AM223" s="347" t="n"/>
      <c r="AN223" s="350" t="n"/>
      <c r="AO223" s="347" t="n"/>
      <c r="AQ223" s="347" t="n"/>
      <c r="AS223" s="347" t="n"/>
      <c r="AV223" s="731">
        <f>IF(AT223="","",S223-AT223-AU223)</f>
        <v/>
      </c>
      <c r="AW223" s="331">
        <f>IFERROR(IF(tbl_DCFC[[#This Row],[F Montant HT]]="","",tbl_DCFC[[#This Row],[Marge]]/tbl_DCFC[[#This Row],[F Montant HT]]),"")</f>
        <v/>
      </c>
    </row>
    <row r="224" ht="15" customHeight="1" s="701">
      <c r="A224" s="744" t="n"/>
      <c r="B224" s="347">
        <f>IFERROR(INDEX(Tabelle2[BU],MATCH(tbl_DCFC[[#This Row],[Categorie]],CAT,0)),"")</f>
        <v/>
      </c>
      <c r="C224" s="350">
        <f>IF(D224&lt;&gt;"","S"&amp;TEXT(WEEKNUM(D224,21),"00"),"")</f>
        <v/>
      </c>
      <c r="D224" s="744" t="n"/>
      <c r="E224" s="312" t="n"/>
      <c r="F224" s="350" t="n"/>
      <c r="G224" s="350" t="n"/>
      <c r="H224" s="350" t="n"/>
      <c r="I224" s="745" t="n"/>
      <c r="J224" s="350" t="n"/>
      <c r="K224" s="350" t="n"/>
      <c r="L224" s="350" t="n"/>
      <c r="M224" s="347" t="n"/>
      <c r="N224">
        <f>IF(Q224&lt;&gt;"","S"&amp;TEXT(WEEKNUM(Q224,21),"00"),"")</f>
        <v/>
      </c>
      <c r="O224" s="350">
        <f>IF(Data!$Q224="","",YEAR(Data!$Q224))</f>
        <v/>
      </c>
      <c r="P224" s="350">
        <f>IF(Data!$Q224="","",MONTH(Data!$Q224))</f>
        <v/>
      </c>
      <c r="Q224" s="310" t="n"/>
      <c r="S224" s="732" t="n"/>
      <c r="T224" s="733" t="n"/>
      <c r="U224" s="734" t="n"/>
      <c r="V224" s="347" t="n"/>
      <c r="W224" s="310" t="n"/>
      <c r="X224" s="350">
        <f>IF(AC224&lt;&gt;"","S"&amp;TEXT(WEEKNUM(AC224,21),"00"),"")</f>
        <v/>
      </c>
      <c r="Y224" s="350">
        <f>IF(Data!$AC224="","",YEAR(Data!$AC224))</f>
        <v/>
      </c>
      <c r="Z224" s="350">
        <f>IF(Data!$AC224="","",MONTH(Data!$AC224))</f>
        <v/>
      </c>
      <c r="AA224" s="310" t="n"/>
      <c r="AB224" s="312" t="n"/>
      <c r="AC224" s="310" t="n"/>
      <c r="AD224" s="732" t="n"/>
      <c r="AE224" s="310" t="n"/>
      <c r="AF224" s="302" t="n"/>
      <c r="AH224" s="347" t="n"/>
      <c r="AK224" s="347" t="n"/>
      <c r="AM224" s="347" t="n"/>
      <c r="AN224" s="350" t="n"/>
      <c r="AO224" s="347" t="n"/>
      <c r="AQ224" s="347" t="n"/>
      <c r="AS224" s="347" t="n"/>
      <c r="AV224" s="731">
        <f>IF(AT224="","",S224-AT224-AU224)</f>
        <v/>
      </c>
      <c r="AW224" s="331">
        <f>IFERROR(IF(tbl_DCFC[[#This Row],[F Montant HT]]="","",tbl_DCFC[[#This Row],[Marge]]/tbl_DCFC[[#This Row],[F Montant HT]]),"")</f>
        <v/>
      </c>
    </row>
    <row r="225" ht="15" customHeight="1" s="701">
      <c r="A225" s="744" t="n"/>
      <c r="B225" s="347">
        <f>IFERROR(INDEX(Tabelle2[BU],MATCH(tbl_DCFC[[#This Row],[Categorie]],CAT,0)),"")</f>
        <v/>
      </c>
      <c r="C225" s="350">
        <f>IF(D225&lt;&gt;"","S"&amp;TEXT(WEEKNUM(D225,21),"00"),"")</f>
        <v/>
      </c>
      <c r="D225" s="744" t="n"/>
      <c r="E225" s="312" t="n"/>
      <c r="F225" s="350" t="n"/>
      <c r="G225" s="350" t="n"/>
      <c r="H225" s="350" t="n"/>
      <c r="I225" s="745" t="n"/>
      <c r="J225" s="350" t="n"/>
      <c r="K225" s="350" t="n"/>
      <c r="L225" s="350" t="n"/>
      <c r="M225" s="347" t="n"/>
      <c r="N225">
        <f>IF(Q225&lt;&gt;"","S"&amp;TEXT(WEEKNUM(Q225,21),"00"),"")</f>
        <v/>
      </c>
      <c r="O225" s="350">
        <f>IF(Data!$Q225="","",YEAR(Data!$Q225))</f>
        <v/>
      </c>
      <c r="P225" s="350">
        <f>IF(Data!$Q225="","",MONTH(Data!$Q225))</f>
        <v/>
      </c>
      <c r="Q225" s="310" t="n"/>
      <c r="S225" s="732" t="n"/>
      <c r="T225" s="733" t="n"/>
      <c r="U225" s="734" t="n"/>
      <c r="V225" s="347" t="n"/>
      <c r="W225" s="310" t="n"/>
      <c r="X225" s="350">
        <f>IF(AC225&lt;&gt;"","S"&amp;TEXT(WEEKNUM(AC225,21),"00"),"")</f>
        <v/>
      </c>
      <c r="Y225" s="350">
        <f>IF(Data!$AC225="","",YEAR(Data!$AC225))</f>
        <v/>
      </c>
      <c r="Z225" s="350">
        <f>IF(Data!$AC225="","",MONTH(Data!$AC225))</f>
        <v/>
      </c>
      <c r="AA225" s="310" t="n"/>
      <c r="AB225" s="312" t="n"/>
      <c r="AC225" s="310" t="n"/>
      <c r="AD225" s="732" t="n"/>
      <c r="AE225" s="310" t="n"/>
      <c r="AF225" s="302" t="n"/>
      <c r="AH225" s="347" t="n"/>
      <c r="AK225" s="347" t="n"/>
      <c r="AM225" s="347" t="n"/>
      <c r="AN225" s="350" t="n"/>
      <c r="AO225" s="347" t="n"/>
      <c r="AQ225" s="347" t="n"/>
      <c r="AS225" s="347" t="n"/>
      <c r="AV225" s="731">
        <f>IF(AT225="","",S225-AT225-AU225)</f>
        <v/>
      </c>
      <c r="AW225" s="331">
        <f>IFERROR(IF(tbl_DCFC[[#This Row],[F Montant HT]]="","",tbl_DCFC[[#This Row],[Marge]]/tbl_DCFC[[#This Row],[F Montant HT]]),"")</f>
        <v/>
      </c>
    </row>
    <row r="226" ht="15" customHeight="1" s="701">
      <c r="A226" s="744" t="n"/>
      <c r="B226" s="347">
        <f>IFERROR(INDEX(Tabelle2[BU],MATCH(tbl_DCFC[[#This Row],[Categorie]],CAT,0)),"")</f>
        <v/>
      </c>
      <c r="C226" s="350">
        <f>IF(D226&lt;&gt;"","S"&amp;TEXT(WEEKNUM(D226,21),"00"),"")</f>
        <v/>
      </c>
      <c r="D226" s="744" t="n"/>
      <c r="E226" s="312" t="n"/>
      <c r="F226" s="350" t="n"/>
      <c r="G226" s="350" t="n"/>
      <c r="H226" s="350" t="n"/>
      <c r="I226" s="745" t="n"/>
      <c r="J226" s="350" t="n"/>
      <c r="K226" s="350" t="n"/>
      <c r="L226" s="350" t="n"/>
      <c r="M226" s="347" t="n"/>
      <c r="N226">
        <f>IF(Q226&lt;&gt;"","S"&amp;TEXT(WEEKNUM(Q226,21),"00"),"")</f>
        <v/>
      </c>
      <c r="O226" s="350">
        <f>IF(Data!$Q226="","",YEAR(Data!$Q226))</f>
        <v/>
      </c>
      <c r="P226" s="350">
        <f>IF(Data!$Q226="","",MONTH(Data!$Q226))</f>
        <v/>
      </c>
      <c r="Q226" s="310" t="n"/>
      <c r="S226" s="732" t="n"/>
      <c r="T226" s="733" t="n"/>
      <c r="U226" s="734" t="n"/>
      <c r="V226" s="347" t="n"/>
      <c r="W226" s="310" t="n"/>
      <c r="X226" s="350">
        <f>IF(AC226&lt;&gt;"","S"&amp;TEXT(WEEKNUM(AC226,21),"00"),"")</f>
        <v/>
      </c>
      <c r="Y226" s="350">
        <f>IF(Data!$AC226="","",YEAR(Data!$AC226))</f>
        <v/>
      </c>
      <c r="Z226" s="350">
        <f>IF(Data!$AC226="","",MONTH(Data!$AC226))</f>
        <v/>
      </c>
      <c r="AA226" s="310" t="n"/>
      <c r="AB226" s="312" t="n"/>
      <c r="AC226" s="310" t="n"/>
      <c r="AD226" s="732" t="n"/>
      <c r="AE226" s="310" t="n"/>
      <c r="AF226" s="302" t="n"/>
      <c r="AH226" s="347" t="n"/>
      <c r="AK226" s="347" t="n"/>
      <c r="AM226" s="347" t="n"/>
      <c r="AN226" s="350" t="n"/>
      <c r="AO226" s="347" t="n"/>
      <c r="AQ226" s="347" t="n"/>
      <c r="AS226" s="347" t="n"/>
      <c r="AV226" s="731">
        <f>IF(AT226="","",S226-AT226-AU226)</f>
        <v/>
      </c>
      <c r="AW226" s="331">
        <f>IFERROR(IF(tbl_DCFC[[#This Row],[F Montant HT]]="","",tbl_DCFC[[#This Row],[Marge]]/tbl_DCFC[[#This Row],[F Montant HT]]),"")</f>
        <v/>
      </c>
    </row>
    <row r="227" ht="15" customHeight="1" s="701">
      <c r="A227" s="744" t="n"/>
      <c r="B227" s="347">
        <f>IFERROR(INDEX(Tabelle2[BU],MATCH(tbl_DCFC[[#This Row],[Categorie]],CAT,0)),"")</f>
        <v/>
      </c>
      <c r="C227" s="350">
        <f>IF(D227&lt;&gt;"","S"&amp;TEXT(WEEKNUM(D227,21),"00"),"")</f>
        <v/>
      </c>
      <c r="D227" s="744" t="n"/>
      <c r="E227" s="312" t="n"/>
      <c r="F227" s="350" t="n"/>
      <c r="G227" s="350" t="n"/>
      <c r="H227" s="350" t="n"/>
      <c r="I227" s="745" t="n"/>
      <c r="J227" s="350" t="n"/>
      <c r="K227" s="350" t="n"/>
      <c r="L227" s="350" t="n"/>
      <c r="M227" s="347" t="n"/>
      <c r="N227">
        <f>IF(Q227&lt;&gt;"","S"&amp;TEXT(WEEKNUM(Q227,21),"00"),"")</f>
        <v/>
      </c>
      <c r="O227" s="350">
        <f>IF(Data!$Q227="","",YEAR(Data!$Q227))</f>
        <v/>
      </c>
      <c r="P227" s="350">
        <f>IF(Data!$Q227="","",MONTH(Data!$Q227))</f>
        <v/>
      </c>
      <c r="Q227" s="310" t="n"/>
      <c r="S227" s="732" t="n"/>
      <c r="T227" s="733" t="n"/>
      <c r="U227" s="734" t="n"/>
      <c r="V227" s="347" t="n"/>
      <c r="W227" s="310" t="n"/>
      <c r="X227" s="350">
        <f>IF(AC227&lt;&gt;"","S"&amp;TEXT(WEEKNUM(AC227,21),"00"),"")</f>
        <v/>
      </c>
      <c r="Y227" s="350">
        <f>IF(Data!$AC227="","",YEAR(Data!$AC227))</f>
        <v/>
      </c>
      <c r="Z227" s="350">
        <f>IF(Data!$AC227="","",MONTH(Data!$AC227))</f>
        <v/>
      </c>
      <c r="AA227" s="310" t="n"/>
      <c r="AB227" s="312" t="n"/>
      <c r="AC227" s="310" t="n"/>
      <c r="AD227" s="732" t="n"/>
      <c r="AE227" s="310" t="n"/>
      <c r="AF227" s="302" t="n"/>
      <c r="AH227" s="347" t="n"/>
      <c r="AK227" s="347" t="n"/>
      <c r="AM227" s="347" t="n"/>
      <c r="AN227" s="350" t="n"/>
      <c r="AO227" s="347" t="n"/>
      <c r="AQ227" s="347" t="n"/>
      <c r="AS227" s="347" t="n"/>
      <c r="AV227" s="731">
        <f>IF(AT227="","",S227-AT227-AU227)</f>
        <v/>
      </c>
      <c r="AW227" s="331">
        <f>IFERROR(IF(tbl_DCFC[[#This Row],[F Montant HT]]="","",tbl_DCFC[[#This Row],[Marge]]/tbl_DCFC[[#This Row],[F Montant HT]]),"")</f>
        <v/>
      </c>
    </row>
    <row r="228" ht="15" customHeight="1" s="701">
      <c r="A228" s="744" t="n"/>
      <c r="B228" s="347">
        <f>IFERROR(INDEX(Tabelle2[BU],MATCH(tbl_DCFC[[#This Row],[Categorie]],CAT,0)),"")</f>
        <v/>
      </c>
      <c r="C228" s="350">
        <f>IF(D228&lt;&gt;"","S"&amp;TEXT(WEEKNUM(D228,21),"00"),"")</f>
        <v/>
      </c>
      <c r="D228" s="744" t="n"/>
      <c r="E228" s="312" t="n"/>
      <c r="F228" s="350" t="n"/>
      <c r="G228" s="350" t="n"/>
      <c r="H228" s="350" t="n"/>
      <c r="I228" s="745" t="n"/>
      <c r="J228" s="350" t="n"/>
      <c r="K228" s="350" t="n"/>
      <c r="L228" s="350" t="n"/>
      <c r="M228" s="347" t="n"/>
      <c r="N228">
        <f>IF(Q228&lt;&gt;"","S"&amp;TEXT(WEEKNUM(Q228,21),"00"),"")</f>
        <v/>
      </c>
      <c r="O228" s="350">
        <f>IF(Data!$Q228="","",YEAR(Data!$Q228))</f>
        <v/>
      </c>
      <c r="P228" s="350">
        <f>IF(Data!$Q228="","",MONTH(Data!$Q228))</f>
        <v/>
      </c>
      <c r="Q228" s="310" t="n"/>
      <c r="S228" s="732" t="n"/>
      <c r="T228" s="733" t="n"/>
      <c r="U228" s="734" t="n"/>
      <c r="V228" s="347" t="n"/>
      <c r="W228" s="310" t="n"/>
      <c r="X228" s="350">
        <f>IF(AC228&lt;&gt;"","S"&amp;TEXT(WEEKNUM(AC228,21),"00"),"")</f>
        <v/>
      </c>
      <c r="Y228" s="350">
        <f>IF(Data!$AC228="","",YEAR(Data!$AC228))</f>
        <v/>
      </c>
      <c r="Z228" s="350">
        <f>IF(Data!$AC228="","",MONTH(Data!$AC228))</f>
        <v/>
      </c>
      <c r="AA228" s="310" t="n"/>
      <c r="AB228" s="312" t="n"/>
      <c r="AC228" s="310" t="n"/>
      <c r="AD228" s="732" t="n"/>
      <c r="AE228" s="310" t="n"/>
      <c r="AF228" s="302" t="n"/>
      <c r="AH228" s="347" t="n"/>
      <c r="AK228" s="347" t="n"/>
      <c r="AM228" s="347" t="n"/>
      <c r="AN228" s="350" t="n"/>
      <c r="AO228" s="347" t="n"/>
      <c r="AQ228" s="347" t="n"/>
      <c r="AS228" s="347" t="n"/>
      <c r="AV228" s="731">
        <f>IF(AT228="","",S228-AT228-AU228)</f>
        <v/>
      </c>
      <c r="AW228" s="331">
        <f>IFERROR(IF(tbl_DCFC[[#This Row],[F Montant HT]]="","",tbl_DCFC[[#This Row],[Marge]]/tbl_DCFC[[#This Row],[F Montant HT]]),"")</f>
        <v/>
      </c>
    </row>
    <row r="229" ht="15" customHeight="1" s="701">
      <c r="A229" s="744" t="n"/>
      <c r="B229" s="347">
        <f>IFERROR(INDEX(Tabelle2[BU],MATCH(tbl_DCFC[[#This Row],[Categorie]],CAT,0)),"")</f>
        <v/>
      </c>
      <c r="C229" s="350">
        <f>IF(D229&lt;&gt;"","S"&amp;TEXT(WEEKNUM(D229,21),"00"),"")</f>
        <v/>
      </c>
      <c r="D229" s="744" t="n"/>
      <c r="E229" s="312" t="n"/>
      <c r="F229" s="350" t="n"/>
      <c r="G229" s="350" t="n"/>
      <c r="H229" s="350" t="n"/>
      <c r="I229" s="745" t="n"/>
      <c r="J229" s="350" t="n"/>
      <c r="K229" s="350" t="n"/>
      <c r="L229" s="350" t="n"/>
      <c r="M229" s="347" t="n"/>
      <c r="N229">
        <f>IF(Q229&lt;&gt;"","S"&amp;TEXT(WEEKNUM(Q229,21),"00"),"")</f>
        <v/>
      </c>
      <c r="O229" s="350">
        <f>IF(Data!$Q229="","",YEAR(Data!$Q229))</f>
        <v/>
      </c>
      <c r="P229" s="350">
        <f>IF(Data!$Q229="","",MONTH(Data!$Q229))</f>
        <v/>
      </c>
      <c r="Q229" s="310" t="n"/>
      <c r="S229" s="732" t="n"/>
      <c r="T229" s="733" t="n"/>
      <c r="U229" s="734" t="n"/>
      <c r="V229" s="347" t="n"/>
      <c r="W229" s="310" t="n"/>
      <c r="X229" s="350">
        <f>IF(AC229&lt;&gt;"","S"&amp;TEXT(WEEKNUM(AC229,21),"00"),"")</f>
        <v/>
      </c>
      <c r="Y229" s="350">
        <f>IF(Data!$AC229="","",YEAR(Data!$AC229))</f>
        <v/>
      </c>
      <c r="Z229" s="350">
        <f>IF(Data!$AC229="","",MONTH(Data!$AC229))</f>
        <v/>
      </c>
      <c r="AA229" s="310" t="n"/>
      <c r="AB229" s="312" t="n"/>
      <c r="AC229" s="310" t="n"/>
      <c r="AD229" s="732" t="n"/>
      <c r="AE229" s="310" t="n"/>
      <c r="AF229" s="302" t="n"/>
      <c r="AH229" s="347" t="n"/>
      <c r="AK229" s="347" t="n"/>
      <c r="AM229" s="347" t="n"/>
      <c r="AN229" s="350" t="n"/>
      <c r="AO229" s="347" t="n"/>
      <c r="AQ229" s="347" t="n"/>
      <c r="AS229" s="347" t="n"/>
      <c r="AV229" s="731">
        <f>IF(AT229="","",S229-AT229-AU229)</f>
        <v/>
      </c>
      <c r="AW229" s="331">
        <f>IFERROR(IF(tbl_DCFC[[#This Row],[F Montant HT]]="","",tbl_DCFC[[#This Row],[Marge]]/tbl_DCFC[[#This Row],[F Montant HT]]),"")</f>
        <v/>
      </c>
    </row>
    <row r="230" ht="15" customHeight="1" s="701">
      <c r="A230" s="744" t="n"/>
      <c r="B230" s="347">
        <f>IFERROR(INDEX(Tabelle2[BU],MATCH(tbl_DCFC[[#This Row],[Categorie]],CAT,0)),"")</f>
        <v/>
      </c>
      <c r="C230" s="350">
        <f>IF(D230&lt;&gt;"","S"&amp;TEXT(WEEKNUM(D230,21),"00"),"")</f>
        <v/>
      </c>
      <c r="D230" s="744" t="n"/>
      <c r="E230" s="312" t="n"/>
      <c r="F230" s="350" t="n"/>
      <c r="G230" s="350" t="n"/>
      <c r="H230" s="350" t="n"/>
      <c r="I230" s="745" t="n"/>
      <c r="J230" s="350" t="n"/>
      <c r="K230" s="350" t="n"/>
      <c r="L230" s="350" t="n"/>
      <c r="M230" s="347" t="n"/>
      <c r="N230">
        <f>IF(Q230&lt;&gt;"","S"&amp;TEXT(WEEKNUM(Q230,21),"00"),"")</f>
        <v/>
      </c>
      <c r="O230" s="350">
        <f>IF(Data!$Q230="","",YEAR(Data!$Q230))</f>
        <v/>
      </c>
      <c r="P230" s="350">
        <f>IF(Data!$Q230="","",MONTH(Data!$Q230))</f>
        <v/>
      </c>
      <c r="Q230" s="310" t="n"/>
      <c r="S230" s="732" t="n"/>
      <c r="T230" s="733" t="n"/>
      <c r="U230" s="734" t="n"/>
      <c r="V230" s="347" t="n"/>
      <c r="W230" s="310" t="n"/>
      <c r="X230" s="350">
        <f>IF(AC230&lt;&gt;"","S"&amp;TEXT(WEEKNUM(AC230,21),"00"),"")</f>
        <v/>
      </c>
      <c r="Y230" s="350">
        <f>IF(Data!$AC230="","",YEAR(Data!$AC230))</f>
        <v/>
      </c>
      <c r="Z230" s="350">
        <f>IF(Data!$AC230="","",MONTH(Data!$AC230))</f>
        <v/>
      </c>
      <c r="AA230" s="310" t="n"/>
      <c r="AB230" s="312" t="n"/>
      <c r="AC230" s="310" t="n"/>
      <c r="AD230" s="732" t="n"/>
      <c r="AE230" s="310" t="n"/>
      <c r="AF230" s="302" t="n"/>
      <c r="AH230" s="347" t="n"/>
      <c r="AK230" s="347" t="n"/>
      <c r="AM230" s="347" t="n"/>
      <c r="AN230" s="350" t="n"/>
      <c r="AO230" s="347" t="n"/>
      <c r="AQ230" s="347" t="n"/>
      <c r="AS230" s="347" t="n"/>
      <c r="AV230" s="731">
        <f>IF(AT230="","",S230-AT230-AU230)</f>
        <v/>
      </c>
      <c r="AW230" s="331">
        <f>IFERROR(IF(tbl_DCFC[[#This Row],[F Montant HT]]="","",tbl_DCFC[[#This Row],[Marge]]/tbl_DCFC[[#This Row],[F Montant HT]]),"")</f>
        <v/>
      </c>
    </row>
    <row r="231" ht="15" customHeight="1" s="701">
      <c r="A231" s="744" t="n"/>
      <c r="B231" s="347">
        <f>IFERROR(INDEX(Tabelle2[BU],MATCH(tbl_DCFC[[#This Row],[Categorie]],CAT,0)),"")</f>
        <v/>
      </c>
      <c r="C231" s="350">
        <f>IF(D231&lt;&gt;"","S"&amp;TEXT(WEEKNUM(D231,21),"00"),"")</f>
        <v/>
      </c>
      <c r="D231" s="744" t="n"/>
      <c r="E231" s="312" t="n"/>
      <c r="F231" s="350" t="n"/>
      <c r="G231" s="350" t="n"/>
      <c r="H231" s="350" t="n"/>
      <c r="I231" s="745" t="n"/>
      <c r="J231" s="350" t="n"/>
      <c r="K231" s="350" t="n"/>
      <c r="L231" s="350" t="n"/>
      <c r="M231" s="347" t="n"/>
      <c r="N231">
        <f>IF(Q231&lt;&gt;"","S"&amp;TEXT(WEEKNUM(Q231,21),"00"),"")</f>
        <v/>
      </c>
      <c r="O231" s="350">
        <f>IF(Data!$Q231="","",YEAR(Data!$Q231))</f>
        <v/>
      </c>
      <c r="P231" s="350">
        <f>IF(Data!$Q231="","",MONTH(Data!$Q231))</f>
        <v/>
      </c>
      <c r="Q231" s="310" t="n"/>
      <c r="S231" s="732" t="n"/>
      <c r="T231" s="733" t="n"/>
      <c r="U231" s="734" t="n"/>
      <c r="V231" s="347" t="n"/>
      <c r="W231" s="310" t="n"/>
      <c r="X231" s="350">
        <f>IF(AC231&lt;&gt;"","S"&amp;TEXT(WEEKNUM(AC231,21),"00"),"")</f>
        <v/>
      </c>
      <c r="Y231" s="350">
        <f>IF(Data!$AC231="","",YEAR(Data!$AC231))</f>
        <v/>
      </c>
      <c r="Z231" s="350">
        <f>IF(Data!$AC231="","",MONTH(Data!$AC231))</f>
        <v/>
      </c>
      <c r="AA231" s="310" t="n"/>
      <c r="AB231" s="312" t="n"/>
      <c r="AC231" s="310" t="n"/>
      <c r="AD231" s="732" t="n"/>
      <c r="AE231" s="310" t="n"/>
      <c r="AF231" s="302" t="n"/>
      <c r="AH231" s="347" t="n"/>
      <c r="AK231" s="347" t="n"/>
      <c r="AM231" s="347" t="n"/>
      <c r="AN231" s="350" t="n"/>
      <c r="AO231" s="347" t="n"/>
      <c r="AQ231" s="347" t="n"/>
      <c r="AS231" s="347" t="n"/>
      <c r="AV231" s="731">
        <f>IF(AT231="","",S231-AT231-AU231)</f>
        <v/>
      </c>
      <c r="AW231" s="331">
        <f>IFERROR(IF(tbl_DCFC[[#This Row],[F Montant HT]]="","",tbl_DCFC[[#This Row],[Marge]]/tbl_DCFC[[#This Row],[F Montant HT]]),"")</f>
        <v/>
      </c>
    </row>
    <row r="232" ht="15" customHeight="1" s="701">
      <c r="A232" s="744" t="n"/>
      <c r="B232" s="347">
        <f>IFERROR(INDEX(Tabelle2[BU],MATCH(tbl_DCFC[[#This Row],[Categorie]],CAT,0)),"")</f>
        <v/>
      </c>
      <c r="C232" s="350">
        <f>IF(D232&lt;&gt;"","S"&amp;TEXT(WEEKNUM(D232,21),"00"),"")</f>
        <v/>
      </c>
      <c r="D232" s="744" t="n"/>
      <c r="E232" s="312" t="n"/>
      <c r="F232" s="350" t="n"/>
      <c r="G232" s="350" t="n"/>
      <c r="H232" s="350" t="n"/>
      <c r="I232" s="745" t="n"/>
      <c r="J232" s="350" t="n"/>
      <c r="K232" s="350" t="n"/>
      <c r="L232" s="350" t="n"/>
      <c r="M232" s="347" t="n"/>
      <c r="N232">
        <f>IF(Q232&lt;&gt;"","S"&amp;TEXT(WEEKNUM(Q232,21),"00"),"")</f>
        <v/>
      </c>
      <c r="O232" s="350">
        <f>IF(Data!$Q232="","",YEAR(Data!$Q232))</f>
        <v/>
      </c>
      <c r="P232" s="350">
        <f>IF(Data!$Q232="","",MONTH(Data!$Q232))</f>
        <v/>
      </c>
      <c r="Q232" s="310" t="n"/>
      <c r="S232" s="732" t="n"/>
      <c r="T232" s="733" t="n"/>
      <c r="U232" s="734" t="n"/>
      <c r="V232" s="347" t="n"/>
      <c r="W232" s="310" t="n"/>
      <c r="X232" s="350">
        <f>IF(AC232&lt;&gt;"","S"&amp;TEXT(WEEKNUM(AC232,21),"00"),"")</f>
        <v/>
      </c>
      <c r="Y232" s="350">
        <f>IF(Data!$AC232="","",YEAR(Data!$AC232))</f>
        <v/>
      </c>
      <c r="Z232" s="350">
        <f>IF(Data!$AC232="","",MONTH(Data!$AC232))</f>
        <v/>
      </c>
      <c r="AA232" s="310" t="n"/>
      <c r="AB232" s="312" t="n"/>
      <c r="AC232" s="310" t="n"/>
      <c r="AD232" s="732" t="n"/>
      <c r="AE232" s="310" t="n"/>
      <c r="AF232" s="302" t="n"/>
      <c r="AH232" s="347" t="n"/>
      <c r="AK232" s="347" t="n"/>
      <c r="AM232" s="347" t="n"/>
      <c r="AN232" s="350" t="n"/>
      <c r="AO232" s="347" t="n"/>
      <c r="AQ232" s="347" t="n"/>
      <c r="AS232" s="347" t="n"/>
      <c r="AV232" s="731">
        <f>IF(AT232="","",S232-AT232-AU232)</f>
        <v/>
      </c>
      <c r="AW232" s="331">
        <f>IFERROR(IF(tbl_DCFC[[#This Row],[F Montant HT]]="","",tbl_DCFC[[#This Row],[Marge]]/tbl_DCFC[[#This Row],[F Montant HT]]),"")</f>
        <v/>
      </c>
    </row>
    <row r="233" ht="15" customHeight="1" s="701">
      <c r="A233" s="744" t="n"/>
      <c r="B233" s="347">
        <f>IFERROR(INDEX(Tabelle2[BU],MATCH(tbl_DCFC[[#This Row],[Categorie]],CAT,0)),"")</f>
        <v/>
      </c>
      <c r="C233" s="350">
        <f>IF(D233&lt;&gt;"","S"&amp;TEXT(WEEKNUM(D233,21),"00"),"")</f>
        <v/>
      </c>
      <c r="D233" s="744" t="n"/>
      <c r="E233" s="312" t="n"/>
      <c r="F233" s="350" t="n"/>
      <c r="G233" s="350" t="n"/>
      <c r="H233" s="350" t="n"/>
      <c r="I233" s="745" t="n"/>
      <c r="J233" s="350" t="n"/>
      <c r="K233" s="350" t="n"/>
      <c r="L233" s="350" t="n"/>
      <c r="M233" s="347" t="n"/>
      <c r="N233">
        <f>IF(Q233&lt;&gt;"","S"&amp;TEXT(WEEKNUM(Q233,21),"00"),"")</f>
        <v/>
      </c>
      <c r="O233" s="350">
        <f>IF(Data!$Q233="","",YEAR(Data!$Q233))</f>
        <v/>
      </c>
      <c r="P233" s="350">
        <f>IF(Data!$Q233="","",MONTH(Data!$Q233))</f>
        <v/>
      </c>
      <c r="Q233" s="310" t="n"/>
      <c r="S233" s="732" t="n"/>
      <c r="T233" s="733" t="n"/>
      <c r="U233" s="734" t="n"/>
      <c r="V233" s="347" t="n"/>
      <c r="W233" s="310" t="n"/>
      <c r="X233" s="350">
        <f>IF(AC233&lt;&gt;"","S"&amp;TEXT(WEEKNUM(AC233,21),"00"),"")</f>
        <v/>
      </c>
      <c r="Y233" s="350">
        <f>IF(Data!$AC233="","",YEAR(Data!$AC233))</f>
        <v/>
      </c>
      <c r="Z233" s="350">
        <f>IF(Data!$AC233="","",MONTH(Data!$AC233))</f>
        <v/>
      </c>
      <c r="AA233" s="310" t="n"/>
      <c r="AB233" s="312" t="n"/>
      <c r="AC233" s="310" t="n"/>
      <c r="AD233" s="732" t="n"/>
      <c r="AE233" s="310" t="n"/>
      <c r="AF233" s="302" t="n"/>
      <c r="AH233" s="347" t="n"/>
      <c r="AK233" s="347" t="n"/>
      <c r="AM233" s="347" t="n"/>
      <c r="AN233" s="350" t="n"/>
      <c r="AO233" s="347" t="n"/>
      <c r="AQ233" s="347" t="n"/>
      <c r="AS233" s="347" t="n"/>
      <c r="AV233" s="731">
        <f>IF(AT233="","",S233-AT233-AU233)</f>
        <v/>
      </c>
      <c r="AW233" s="331">
        <f>IFERROR(IF(tbl_DCFC[[#This Row],[F Montant HT]]="","",tbl_DCFC[[#This Row],[Marge]]/tbl_DCFC[[#This Row],[F Montant HT]]),"")</f>
        <v/>
      </c>
    </row>
    <row r="234" ht="15" customHeight="1" s="701">
      <c r="A234" s="744" t="n"/>
      <c r="B234" s="347">
        <f>IFERROR(INDEX(Tabelle2[BU],MATCH(tbl_DCFC[[#This Row],[Categorie]],CAT,0)),"")</f>
        <v/>
      </c>
      <c r="C234" s="350">
        <f>IF(D234&lt;&gt;"","S"&amp;TEXT(WEEKNUM(D234,21),"00"),"")</f>
        <v/>
      </c>
      <c r="D234" s="744" t="n"/>
      <c r="E234" s="312" t="n"/>
      <c r="F234" s="350" t="n"/>
      <c r="G234" s="350" t="n"/>
      <c r="H234" s="350" t="n"/>
      <c r="I234" s="745" t="n"/>
      <c r="J234" s="350" t="n"/>
      <c r="K234" s="350" t="n"/>
      <c r="L234" s="350" t="n"/>
      <c r="M234" s="347" t="n"/>
      <c r="N234">
        <f>IF(Q234&lt;&gt;"","S"&amp;TEXT(WEEKNUM(Q234,21),"00"),"")</f>
        <v/>
      </c>
      <c r="O234" s="350">
        <f>IF(Data!$Q234="","",YEAR(Data!$Q234))</f>
        <v/>
      </c>
      <c r="P234" s="350">
        <f>IF(Data!$Q234="","",MONTH(Data!$Q234))</f>
        <v/>
      </c>
      <c r="Q234" s="310" t="n"/>
      <c r="S234" s="732" t="n"/>
      <c r="T234" s="733" t="n"/>
      <c r="U234" s="734" t="n"/>
      <c r="V234" s="347" t="n"/>
      <c r="W234" s="310" t="n"/>
      <c r="X234" s="350">
        <f>IF(AC234&lt;&gt;"","S"&amp;TEXT(WEEKNUM(AC234,21),"00"),"")</f>
        <v/>
      </c>
      <c r="Y234" s="350">
        <f>IF(Data!$AC234="","",YEAR(Data!$AC234))</f>
        <v/>
      </c>
      <c r="Z234" s="350">
        <f>IF(Data!$AC234="","",MONTH(Data!$AC234))</f>
        <v/>
      </c>
      <c r="AA234" s="310" t="n"/>
      <c r="AB234" s="312" t="n"/>
      <c r="AC234" s="310" t="n"/>
      <c r="AD234" s="732" t="n"/>
      <c r="AE234" s="310" t="n"/>
      <c r="AF234" s="302" t="n"/>
      <c r="AH234" s="347" t="n"/>
      <c r="AK234" s="347" t="n"/>
      <c r="AM234" s="347" t="n"/>
      <c r="AN234" s="350" t="n"/>
      <c r="AO234" s="347" t="n"/>
      <c r="AQ234" s="347" t="n"/>
      <c r="AS234" s="347" t="n"/>
      <c r="AV234" s="731">
        <f>IF(AT234="","",S234-AT234-AU234)</f>
        <v/>
      </c>
      <c r="AW234" s="331">
        <f>IFERROR(IF(tbl_DCFC[[#This Row],[F Montant HT]]="","",tbl_DCFC[[#This Row],[Marge]]/tbl_DCFC[[#This Row],[F Montant HT]]),"")</f>
        <v/>
      </c>
    </row>
    <row r="235" ht="15" customHeight="1" s="701">
      <c r="A235" s="744" t="n"/>
      <c r="B235" s="347">
        <f>IFERROR(INDEX(Tabelle2[BU],MATCH(tbl_DCFC[[#This Row],[Categorie]],CAT,0)),"")</f>
        <v/>
      </c>
      <c r="C235" s="350">
        <f>IF(D235&lt;&gt;"","S"&amp;TEXT(WEEKNUM(D235,21),"00"),"")</f>
        <v/>
      </c>
      <c r="D235" s="744" t="n"/>
      <c r="E235" s="312" t="n"/>
      <c r="F235" s="350" t="n"/>
      <c r="G235" s="350" t="n"/>
      <c r="H235" s="350" t="n"/>
      <c r="I235" s="745" t="n"/>
      <c r="J235" s="350" t="n"/>
      <c r="K235" s="350" t="n"/>
      <c r="L235" s="350" t="n"/>
      <c r="M235" s="347" t="n"/>
      <c r="N235">
        <f>IF(Q235&lt;&gt;"","S"&amp;TEXT(WEEKNUM(Q235,21),"00"),"")</f>
        <v/>
      </c>
      <c r="O235" s="350">
        <f>IF(Data!$Q235="","",YEAR(Data!$Q235))</f>
        <v/>
      </c>
      <c r="P235" s="350">
        <f>IF(Data!$Q235="","",MONTH(Data!$Q235))</f>
        <v/>
      </c>
      <c r="Q235" s="310" t="n"/>
      <c r="S235" s="732" t="n"/>
      <c r="T235" s="733" t="n"/>
      <c r="U235" s="734" t="n"/>
      <c r="V235" s="347" t="n"/>
      <c r="W235" s="310" t="n"/>
      <c r="X235" s="350">
        <f>IF(AC235&lt;&gt;"","S"&amp;TEXT(WEEKNUM(AC235,21),"00"),"")</f>
        <v/>
      </c>
      <c r="Y235" s="350">
        <f>IF(Data!$AC235="","",YEAR(Data!$AC235))</f>
        <v/>
      </c>
      <c r="Z235" s="350">
        <f>IF(Data!$AC235="","",MONTH(Data!$AC235))</f>
        <v/>
      </c>
      <c r="AA235" s="310" t="n"/>
      <c r="AB235" s="312" t="n"/>
      <c r="AC235" s="310" t="n"/>
      <c r="AD235" s="732" t="n"/>
      <c r="AE235" s="310" t="n"/>
      <c r="AF235" s="302" t="n"/>
      <c r="AH235" s="347" t="n"/>
      <c r="AK235" s="347" t="n"/>
      <c r="AM235" s="347" t="n"/>
      <c r="AN235" s="350" t="n"/>
      <c r="AO235" s="347" t="n"/>
      <c r="AQ235" s="347" t="n"/>
      <c r="AS235" s="347" t="n"/>
      <c r="AV235" s="731">
        <f>IF(AT235="","",S235-AT235-AU235)</f>
        <v/>
      </c>
      <c r="AW235" s="331">
        <f>IFERROR(IF(tbl_DCFC[[#This Row],[F Montant HT]]="","",tbl_DCFC[[#This Row],[Marge]]/tbl_DCFC[[#This Row],[F Montant HT]]),"")</f>
        <v/>
      </c>
    </row>
    <row r="236" ht="15" customHeight="1" s="701">
      <c r="A236" s="744" t="n"/>
      <c r="B236" s="347">
        <f>IFERROR(INDEX(Tabelle2[BU],MATCH(tbl_DCFC[[#This Row],[Categorie]],CAT,0)),"")</f>
        <v/>
      </c>
      <c r="C236" s="350">
        <f>IF(D236&lt;&gt;"","S"&amp;TEXT(WEEKNUM(D236,21),"00"),"")</f>
        <v/>
      </c>
      <c r="D236" s="744" t="n"/>
      <c r="E236" s="312" t="n"/>
      <c r="F236" s="350" t="n"/>
      <c r="G236" s="350" t="n"/>
      <c r="H236" s="350" t="n"/>
      <c r="I236" s="745" t="n"/>
      <c r="J236" s="350" t="n"/>
      <c r="K236" s="350" t="n"/>
      <c r="L236" s="350" t="n"/>
      <c r="M236" s="347" t="n"/>
      <c r="N236">
        <f>IF(Q236&lt;&gt;"","S"&amp;TEXT(WEEKNUM(Q236,21),"00"),"")</f>
        <v/>
      </c>
      <c r="O236" s="350">
        <f>IF(Data!$Q236="","",YEAR(Data!$Q236))</f>
        <v/>
      </c>
      <c r="P236" s="350">
        <f>IF(Data!$Q236="","",MONTH(Data!$Q236))</f>
        <v/>
      </c>
      <c r="Q236" s="310" t="n"/>
      <c r="S236" s="732" t="n"/>
      <c r="T236" s="733" t="n"/>
      <c r="U236" s="734" t="n"/>
      <c r="V236" s="347" t="n"/>
      <c r="W236" s="310" t="n"/>
      <c r="X236" s="350">
        <f>IF(AC236&lt;&gt;"","S"&amp;TEXT(WEEKNUM(AC236,21),"00"),"")</f>
        <v/>
      </c>
      <c r="Y236" s="350">
        <f>IF(Data!$AC236="","",YEAR(Data!$AC236))</f>
        <v/>
      </c>
      <c r="Z236" s="350">
        <f>IF(Data!$AC236="","",MONTH(Data!$AC236))</f>
        <v/>
      </c>
      <c r="AA236" s="310" t="n"/>
      <c r="AB236" s="312" t="n"/>
      <c r="AC236" s="310" t="n"/>
      <c r="AD236" s="732" t="n"/>
      <c r="AE236" s="310" t="n"/>
      <c r="AF236" s="302" t="n"/>
      <c r="AH236" s="347" t="n"/>
      <c r="AK236" s="347" t="n"/>
      <c r="AM236" s="347" t="n"/>
      <c r="AN236" s="350" t="n"/>
      <c r="AO236" s="347" t="n"/>
      <c r="AQ236" s="347" t="n"/>
      <c r="AS236" s="347" t="n"/>
      <c r="AV236" s="731">
        <f>IF(AT236="","",S236-AT236-AU236)</f>
        <v/>
      </c>
      <c r="AW236" s="331">
        <f>IFERROR(IF(tbl_DCFC[[#This Row],[F Montant HT]]="","",tbl_DCFC[[#This Row],[Marge]]/tbl_DCFC[[#This Row],[F Montant HT]]),"")</f>
        <v/>
      </c>
    </row>
    <row r="237" ht="15" customHeight="1" s="701">
      <c r="A237" s="744" t="n"/>
      <c r="B237" s="347">
        <f>IFERROR(INDEX(Tabelle2[BU],MATCH(tbl_DCFC[[#This Row],[Categorie]],CAT,0)),"")</f>
        <v/>
      </c>
      <c r="C237" s="350">
        <f>IF(D237&lt;&gt;"","S"&amp;TEXT(WEEKNUM(D237,21),"00"),"")</f>
        <v/>
      </c>
      <c r="D237" s="744" t="n"/>
      <c r="E237" s="312" t="n"/>
      <c r="F237" s="350" t="n"/>
      <c r="G237" s="350" t="n"/>
      <c r="H237" s="350" t="n"/>
      <c r="I237" s="745" t="n"/>
      <c r="J237" s="350" t="n"/>
      <c r="K237" s="350" t="n"/>
      <c r="L237" s="350" t="n"/>
      <c r="M237" s="347" t="n"/>
      <c r="N237">
        <f>IF(Q237&lt;&gt;"","S"&amp;TEXT(WEEKNUM(Q237,21),"00"),"")</f>
        <v/>
      </c>
      <c r="O237" s="350">
        <f>IF(Data!$Q237="","",YEAR(Data!$Q237))</f>
        <v/>
      </c>
      <c r="P237" s="350">
        <f>IF(Data!$Q237="","",MONTH(Data!$Q237))</f>
        <v/>
      </c>
      <c r="Q237" s="310" t="n"/>
      <c r="S237" s="732" t="n"/>
      <c r="T237" s="733" t="n"/>
      <c r="U237" s="734" t="n"/>
      <c r="V237" s="347" t="n"/>
      <c r="W237" s="310" t="n"/>
      <c r="X237" s="350">
        <f>IF(AC237&lt;&gt;"","S"&amp;TEXT(WEEKNUM(AC237,21),"00"),"")</f>
        <v/>
      </c>
      <c r="Y237" s="350">
        <f>IF(Data!$AC237="","",YEAR(Data!$AC237))</f>
        <v/>
      </c>
      <c r="Z237" s="350">
        <f>IF(Data!$AC237="","",MONTH(Data!$AC237))</f>
        <v/>
      </c>
      <c r="AA237" s="310" t="n"/>
      <c r="AB237" s="312" t="n"/>
      <c r="AC237" s="310" t="n"/>
      <c r="AD237" s="732" t="n"/>
      <c r="AE237" s="310" t="n"/>
      <c r="AF237" s="302" t="n"/>
      <c r="AH237" s="347" t="n"/>
      <c r="AK237" s="347" t="n"/>
      <c r="AM237" s="347" t="n"/>
      <c r="AN237" s="350" t="n"/>
      <c r="AO237" s="347" t="n"/>
      <c r="AQ237" s="347" t="n"/>
      <c r="AS237" s="347" t="n"/>
      <c r="AV237" s="731">
        <f>IF(AT237="","",S237-AT237-AU237)</f>
        <v/>
      </c>
      <c r="AW237" s="331">
        <f>IFERROR(IF(tbl_DCFC[[#This Row],[F Montant HT]]="","",tbl_DCFC[[#This Row],[Marge]]/tbl_DCFC[[#This Row],[F Montant HT]]),"")</f>
        <v/>
      </c>
    </row>
    <row r="238" ht="15" customHeight="1" s="701">
      <c r="A238" s="744" t="n"/>
      <c r="B238" s="347">
        <f>IFERROR(INDEX(Tabelle2[BU],MATCH(tbl_DCFC[[#This Row],[Categorie]],CAT,0)),"")</f>
        <v/>
      </c>
      <c r="C238" s="350">
        <f>IF(D238&lt;&gt;"","S"&amp;TEXT(WEEKNUM(D238,21),"00"),"")</f>
        <v/>
      </c>
      <c r="D238" s="744" t="n"/>
      <c r="E238" s="312" t="n"/>
      <c r="F238" s="350" t="n"/>
      <c r="G238" s="350" t="n"/>
      <c r="H238" s="350" t="n"/>
      <c r="I238" s="745" t="n"/>
      <c r="J238" s="350" t="n"/>
      <c r="K238" s="350" t="n"/>
      <c r="L238" s="350" t="n"/>
      <c r="M238" s="347" t="n"/>
      <c r="N238">
        <f>IF(Q238&lt;&gt;"","S"&amp;TEXT(WEEKNUM(Q238,21),"00"),"")</f>
        <v/>
      </c>
      <c r="O238" s="350">
        <f>IF(Data!$Q238="","",YEAR(Data!$Q238))</f>
        <v/>
      </c>
      <c r="P238" s="350">
        <f>IF(Data!$Q238="","",MONTH(Data!$Q238))</f>
        <v/>
      </c>
      <c r="Q238" s="310" t="n"/>
      <c r="S238" s="732" t="n"/>
      <c r="T238" s="733" t="n"/>
      <c r="U238" s="734" t="n"/>
      <c r="V238" s="347" t="n"/>
      <c r="W238" s="310" t="n"/>
      <c r="X238" s="350">
        <f>IF(AC238&lt;&gt;"","S"&amp;TEXT(WEEKNUM(AC238,21),"00"),"")</f>
        <v/>
      </c>
      <c r="Y238" s="350">
        <f>IF(Data!$AC238="","",YEAR(Data!$AC238))</f>
        <v/>
      </c>
      <c r="Z238" s="350">
        <f>IF(Data!$AC238="","",MONTH(Data!$AC238))</f>
        <v/>
      </c>
      <c r="AA238" s="310" t="n"/>
      <c r="AB238" s="312" t="n"/>
      <c r="AC238" s="310" t="n"/>
      <c r="AD238" s="732" t="n"/>
      <c r="AE238" s="310" t="n"/>
      <c r="AF238" s="302" t="n"/>
      <c r="AH238" s="347" t="n"/>
      <c r="AK238" s="347" t="n"/>
      <c r="AM238" s="347" t="n"/>
      <c r="AN238" s="350" t="n"/>
      <c r="AO238" s="347" t="n"/>
      <c r="AQ238" s="347" t="n"/>
      <c r="AS238" s="347" t="n"/>
      <c r="AV238" s="731">
        <f>IF(AT238="","",S238-AT238-AU238)</f>
        <v/>
      </c>
      <c r="AW238" s="331">
        <f>IFERROR(IF(tbl_DCFC[[#This Row],[F Montant HT]]="","",tbl_DCFC[[#This Row],[Marge]]/tbl_DCFC[[#This Row],[F Montant HT]]),"")</f>
        <v/>
      </c>
    </row>
    <row r="239" ht="15" customHeight="1" s="701">
      <c r="A239" s="744" t="n"/>
      <c r="B239" s="347">
        <f>IFERROR(INDEX(Tabelle2[BU],MATCH(tbl_DCFC[[#This Row],[Categorie]],CAT,0)),"")</f>
        <v/>
      </c>
      <c r="C239" s="350">
        <f>IF(D239&lt;&gt;"","S"&amp;TEXT(WEEKNUM(D239,21),"00"),"")</f>
        <v/>
      </c>
      <c r="D239" s="744" t="n"/>
      <c r="E239" s="312" t="n"/>
      <c r="F239" s="350" t="n"/>
      <c r="G239" s="350" t="n"/>
      <c r="H239" s="350" t="n"/>
      <c r="I239" s="745" t="n"/>
      <c r="J239" s="350" t="n"/>
      <c r="K239" s="350" t="n"/>
      <c r="L239" s="350" t="n"/>
      <c r="M239" s="347" t="n"/>
      <c r="N239">
        <f>IF(Q239&lt;&gt;"","S"&amp;TEXT(WEEKNUM(Q239,21),"00"),"")</f>
        <v/>
      </c>
      <c r="O239" s="350">
        <f>IF(Data!$Q239="","",YEAR(Data!$Q239))</f>
        <v/>
      </c>
      <c r="P239" s="350">
        <f>IF(Data!$Q239="","",MONTH(Data!$Q239))</f>
        <v/>
      </c>
      <c r="Q239" s="310" t="n"/>
      <c r="S239" s="732" t="n"/>
      <c r="T239" s="733" t="n"/>
      <c r="U239" s="734" t="n"/>
      <c r="V239" s="347" t="n"/>
      <c r="W239" s="310" t="n"/>
      <c r="X239" s="350">
        <f>IF(AC239&lt;&gt;"","S"&amp;TEXT(WEEKNUM(AC239,21),"00"),"")</f>
        <v/>
      </c>
      <c r="Y239" s="350">
        <f>IF(Data!$AC239="","",YEAR(Data!$AC239))</f>
        <v/>
      </c>
      <c r="Z239" s="350">
        <f>IF(Data!$AC239="","",MONTH(Data!$AC239))</f>
        <v/>
      </c>
      <c r="AA239" s="310" t="n"/>
      <c r="AB239" s="312" t="n"/>
      <c r="AC239" s="310" t="n"/>
      <c r="AD239" s="732" t="n"/>
      <c r="AE239" s="310" t="n"/>
      <c r="AF239" s="302" t="n"/>
      <c r="AH239" s="347" t="n"/>
      <c r="AK239" s="347" t="n"/>
      <c r="AM239" s="347" t="n"/>
      <c r="AN239" s="350" t="n"/>
      <c r="AO239" s="347" t="n"/>
      <c r="AQ239" s="347" t="n"/>
      <c r="AS239" s="347" t="n"/>
      <c r="AV239" s="731">
        <f>IF(AT239="","",S239-AT239-AU239)</f>
        <v/>
      </c>
      <c r="AW239" s="331">
        <f>IFERROR(IF(tbl_DCFC[[#This Row],[F Montant HT]]="","",tbl_DCFC[[#This Row],[Marge]]/tbl_DCFC[[#This Row],[F Montant HT]]),"")</f>
        <v/>
      </c>
    </row>
    <row r="240" ht="15" customHeight="1" s="701">
      <c r="A240" s="744" t="n"/>
      <c r="B240" s="347">
        <f>IFERROR(INDEX(Tabelle2[BU],MATCH(tbl_DCFC[[#This Row],[Categorie]],CAT,0)),"")</f>
        <v/>
      </c>
      <c r="C240" s="350">
        <f>IF(D240&lt;&gt;"","S"&amp;TEXT(WEEKNUM(D240,21),"00"),"")</f>
        <v/>
      </c>
      <c r="D240" s="744" t="n"/>
      <c r="E240" s="312" t="n"/>
      <c r="F240" s="350" t="n"/>
      <c r="G240" s="350" t="n"/>
      <c r="H240" s="350" t="n"/>
      <c r="I240" s="745" t="n"/>
      <c r="J240" s="350" t="n"/>
      <c r="K240" s="350" t="n"/>
      <c r="L240" s="350" t="n"/>
      <c r="M240" s="347" t="n"/>
      <c r="N240">
        <f>IF(Q240&lt;&gt;"","S"&amp;TEXT(WEEKNUM(Q240,21),"00"),"")</f>
        <v/>
      </c>
      <c r="O240" s="350">
        <f>IF(Data!$Q240="","",YEAR(Data!$Q240))</f>
        <v/>
      </c>
      <c r="P240" s="350">
        <f>IF(Data!$Q240="","",MONTH(Data!$Q240))</f>
        <v/>
      </c>
      <c r="Q240" s="310" t="n"/>
      <c r="S240" s="732" t="n"/>
      <c r="T240" s="733" t="n"/>
      <c r="U240" s="734" t="n"/>
      <c r="V240" s="347" t="n"/>
      <c r="W240" s="310" t="n"/>
      <c r="X240" s="350">
        <f>IF(AC240&lt;&gt;"","S"&amp;TEXT(WEEKNUM(AC240,21),"00"),"")</f>
        <v/>
      </c>
      <c r="Y240" s="350">
        <f>IF(Data!$AC240="","",YEAR(Data!$AC240))</f>
        <v/>
      </c>
      <c r="Z240" s="350">
        <f>IF(Data!$AC240="","",MONTH(Data!$AC240))</f>
        <v/>
      </c>
      <c r="AA240" s="310" t="n"/>
      <c r="AB240" s="312" t="n"/>
      <c r="AC240" s="310" t="n"/>
      <c r="AD240" s="732" t="n"/>
      <c r="AE240" s="310" t="n"/>
      <c r="AF240" s="302" t="n"/>
      <c r="AH240" s="347" t="n"/>
      <c r="AK240" s="347" t="n"/>
      <c r="AM240" s="347" t="n"/>
      <c r="AN240" s="350" t="n"/>
      <c r="AO240" s="347" t="n"/>
      <c r="AQ240" s="347" t="n"/>
      <c r="AS240" s="347" t="n"/>
      <c r="AV240" s="731">
        <f>IF(AT240="","",S240-AT240-AU240)</f>
        <v/>
      </c>
      <c r="AW240" s="331">
        <f>IFERROR(IF(tbl_DCFC[[#This Row],[F Montant HT]]="","",tbl_DCFC[[#This Row],[Marge]]/tbl_DCFC[[#This Row],[F Montant HT]]),"")</f>
        <v/>
      </c>
    </row>
    <row r="241" ht="15" customHeight="1" s="701">
      <c r="A241" s="744" t="n"/>
      <c r="B241" s="347">
        <f>IFERROR(INDEX(Tabelle2[BU],MATCH(tbl_DCFC[[#This Row],[Categorie]],CAT,0)),"")</f>
        <v/>
      </c>
      <c r="C241" s="350">
        <f>IF(D241&lt;&gt;"","S"&amp;TEXT(WEEKNUM(D241,21),"00"),"")</f>
        <v/>
      </c>
      <c r="D241" s="744" t="n"/>
      <c r="E241" s="312" t="n"/>
      <c r="F241" s="350" t="n"/>
      <c r="G241" s="350" t="n"/>
      <c r="H241" s="350" t="n"/>
      <c r="I241" s="745" t="n"/>
      <c r="J241" s="350" t="n"/>
      <c r="K241" s="350" t="n"/>
      <c r="L241" s="350" t="n"/>
      <c r="M241" s="347" t="n"/>
      <c r="N241">
        <f>IF(Q241&lt;&gt;"","S"&amp;TEXT(WEEKNUM(Q241,21),"00"),"")</f>
        <v/>
      </c>
      <c r="O241" s="350">
        <f>IF(Data!$Q241="","",YEAR(Data!$Q241))</f>
        <v/>
      </c>
      <c r="P241" s="350">
        <f>IF(Data!$Q241="","",MONTH(Data!$Q241))</f>
        <v/>
      </c>
      <c r="Q241" s="310" t="n"/>
      <c r="S241" s="732" t="n"/>
      <c r="T241" s="733" t="n"/>
      <c r="U241" s="734" t="n"/>
      <c r="V241" s="347" t="n"/>
      <c r="W241" s="310" t="n"/>
      <c r="X241" s="350">
        <f>IF(AC241&lt;&gt;"","S"&amp;TEXT(WEEKNUM(AC241,21),"00"),"")</f>
        <v/>
      </c>
      <c r="Y241" s="350">
        <f>IF(Data!$AC241="","",YEAR(Data!$AC241))</f>
        <v/>
      </c>
      <c r="Z241" s="350">
        <f>IF(Data!$AC241="","",MONTH(Data!$AC241))</f>
        <v/>
      </c>
      <c r="AA241" s="310" t="n"/>
      <c r="AB241" s="312" t="n"/>
      <c r="AC241" s="310" t="n"/>
      <c r="AD241" s="732" t="n"/>
      <c r="AE241" s="310" t="n"/>
      <c r="AF241" s="302" t="n"/>
      <c r="AH241" s="347" t="n"/>
      <c r="AK241" s="347" t="n"/>
      <c r="AM241" s="347" t="n"/>
      <c r="AN241" s="350" t="n"/>
      <c r="AO241" s="347" t="n"/>
      <c r="AQ241" s="347" t="n"/>
      <c r="AS241" s="347" t="n"/>
      <c r="AV241" s="731">
        <f>IF(AT241="","",S241-AT241-AU241)</f>
        <v/>
      </c>
      <c r="AW241" s="331">
        <f>IFERROR(IF(tbl_DCFC[[#This Row],[F Montant HT]]="","",tbl_DCFC[[#This Row],[Marge]]/tbl_DCFC[[#This Row],[F Montant HT]]),"")</f>
        <v/>
      </c>
    </row>
    <row r="242" ht="15" customHeight="1" s="701">
      <c r="A242" s="744" t="n"/>
      <c r="B242" s="347">
        <f>IFERROR(INDEX(Tabelle2[BU],MATCH(tbl_DCFC[[#This Row],[Categorie]],CAT,0)),"")</f>
        <v/>
      </c>
      <c r="C242" s="350">
        <f>IF(D242&lt;&gt;"","S"&amp;TEXT(WEEKNUM(D242,21),"00"),"")</f>
        <v/>
      </c>
      <c r="D242" s="744" t="n"/>
      <c r="E242" s="312" t="n"/>
      <c r="F242" s="350" t="n"/>
      <c r="G242" s="350" t="n"/>
      <c r="H242" s="350" t="n"/>
      <c r="I242" s="745" t="n"/>
      <c r="J242" s="350" t="n"/>
      <c r="K242" s="350" t="n"/>
      <c r="L242" s="350" t="n"/>
      <c r="M242" s="347" t="n"/>
      <c r="N242">
        <f>IF(Q242&lt;&gt;"","S"&amp;TEXT(WEEKNUM(Q242,21),"00"),"")</f>
        <v/>
      </c>
      <c r="O242" s="350">
        <f>IF(Data!$Q242="","",YEAR(Data!$Q242))</f>
        <v/>
      </c>
      <c r="P242" s="350">
        <f>IF(Data!$Q242="","",MONTH(Data!$Q242))</f>
        <v/>
      </c>
      <c r="Q242" s="310" t="n"/>
      <c r="S242" s="732" t="n"/>
      <c r="T242" s="733" t="n"/>
      <c r="U242" s="734" t="n"/>
      <c r="V242" s="347" t="n"/>
      <c r="W242" s="310" t="n"/>
      <c r="X242" s="350">
        <f>IF(AC242&lt;&gt;"","S"&amp;TEXT(WEEKNUM(AC242,21),"00"),"")</f>
        <v/>
      </c>
      <c r="Y242" s="350">
        <f>IF(Data!$AC242="","",YEAR(Data!$AC242))</f>
        <v/>
      </c>
      <c r="Z242" s="350">
        <f>IF(Data!$AC242="","",MONTH(Data!$AC242))</f>
        <v/>
      </c>
      <c r="AA242" s="310" t="n"/>
      <c r="AB242" s="312" t="n"/>
      <c r="AC242" s="310" t="n"/>
      <c r="AD242" s="732" t="n"/>
      <c r="AE242" s="310" t="n"/>
      <c r="AF242" s="302" t="n"/>
      <c r="AH242" s="347" t="n"/>
      <c r="AK242" s="347" t="n"/>
      <c r="AM242" s="347" t="n"/>
      <c r="AN242" s="350" t="n"/>
      <c r="AO242" s="347" t="n"/>
      <c r="AQ242" s="347" t="n"/>
      <c r="AS242" s="347" t="n"/>
      <c r="AV242" s="731">
        <f>IF(AT242="","",S242-AT242-AU242)</f>
        <v/>
      </c>
      <c r="AW242" s="331">
        <f>IFERROR(IF(tbl_DCFC[[#This Row],[F Montant HT]]="","",tbl_DCFC[[#This Row],[Marge]]/tbl_DCFC[[#This Row],[F Montant HT]]),"")</f>
        <v/>
      </c>
    </row>
    <row r="243" ht="15" customHeight="1" s="701">
      <c r="A243" s="744" t="n"/>
      <c r="B243" s="347">
        <f>IFERROR(INDEX(Tabelle2[BU],MATCH(tbl_DCFC[[#This Row],[Categorie]],CAT,0)),"")</f>
        <v/>
      </c>
      <c r="C243" s="350">
        <f>IF(D243&lt;&gt;"","S"&amp;TEXT(WEEKNUM(D243,21),"00"),"")</f>
        <v/>
      </c>
      <c r="D243" s="744" t="n"/>
      <c r="E243" s="312" t="n"/>
      <c r="F243" s="350" t="n"/>
      <c r="G243" s="350" t="n"/>
      <c r="H243" s="350" t="n"/>
      <c r="I243" s="745" t="n"/>
      <c r="J243" s="350" t="n"/>
      <c r="K243" s="350" t="n"/>
      <c r="L243" s="350" t="n"/>
      <c r="M243" s="347" t="n"/>
      <c r="N243">
        <f>IF(Q243&lt;&gt;"","S"&amp;TEXT(WEEKNUM(Q243,21),"00"),"")</f>
        <v/>
      </c>
      <c r="O243" s="350">
        <f>IF(Data!$Q243="","",YEAR(Data!$Q243))</f>
        <v/>
      </c>
      <c r="P243" s="350">
        <f>IF(Data!$Q243="","",MONTH(Data!$Q243))</f>
        <v/>
      </c>
      <c r="Q243" s="310" t="n"/>
      <c r="S243" s="732" t="n"/>
      <c r="T243" s="733" t="n"/>
      <c r="U243" s="734" t="n"/>
      <c r="V243" s="347" t="n"/>
      <c r="W243" s="310" t="n"/>
      <c r="X243" s="350">
        <f>IF(AC243&lt;&gt;"","S"&amp;TEXT(WEEKNUM(AC243,21),"00"),"")</f>
        <v/>
      </c>
      <c r="Y243" s="350">
        <f>IF(Data!$AC243="","",YEAR(Data!$AC243))</f>
        <v/>
      </c>
      <c r="Z243" s="350">
        <f>IF(Data!$AC243="","",MONTH(Data!$AC243))</f>
        <v/>
      </c>
      <c r="AA243" s="310" t="n"/>
      <c r="AB243" s="312" t="n"/>
      <c r="AC243" s="310" t="n"/>
      <c r="AD243" s="732" t="n"/>
      <c r="AE243" s="310" t="n"/>
      <c r="AF243" s="302" t="n"/>
      <c r="AH243" s="347" t="n"/>
      <c r="AK243" s="347" t="n"/>
      <c r="AM243" s="347" t="n"/>
      <c r="AN243" s="350" t="n"/>
      <c r="AO243" s="347" t="n"/>
      <c r="AQ243" s="347" t="n"/>
      <c r="AS243" s="347" t="n"/>
      <c r="AV243" s="731">
        <f>IF(AT243="","",S243-AT243-AU243)</f>
        <v/>
      </c>
      <c r="AW243" s="331">
        <f>IFERROR(IF(tbl_DCFC[[#This Row],[F Montant HT]]="","",tbl_DCFC[[#This Row],[Marge]]/tbl_DCFC[[#This Row],[F Montant HT]]),"")</f>
        <v/>
      </c>
    </row>
    <row r="244" ht="15" customHeight="1" s="701">
      <c r="A244" s="744" t="n"/>
      <c r="B244" s="347">
        <f>IFERROR(INDEX(Tabelle2[BU],MATCH(tbl_DCFC[[#This Row],[Categorie]],CAT,0)),"")</f>
        <v/>
      </c>
      <c r="C244" s="350">
        <f>IF(D244&lt;&gt;"","S"&amp;TEXT(WEEKNUM(D244,21),"00"),"")</f>
        <v/>
      </c>
      <c r="D244" s="744" t="n"/>
      <c r="E244" s="312" t="n"/>
      <c r="F244" s="350" t="n"/>
      <c r="G244" s="350" t="n"/>
      <c r="H244" s="350" t="n"/>
      <c r="I244" s="745" t="n"/>
      <c r="J244" s="350" t="n"/>
      <c r="K244" s="350" t="n"/>
      <c r="L244" s="350" t="n"/>
      <c r="M244" s="347" t="n"/>
      <c r="N244">
        <f>IF(Q244&lt;&gt;"","S"&amp;TEXT(WEEKNUM(Q244,21),"00"),"")</f>
        <v/>
      </c>
      <c r="O244" s="350">
        <f>IF(Data!$Q244="","",YEAR(Data!$Q244))</f>
        <v/>
      </c>
      <c r="P244" s="350">
        <f>IF(Data!$Q244="","",MONTH(Data!$Q244))</f>
        <v/>
      </c>
      <c r="Q244" s="310" t="n"/>
      <c r="S244" s="732" t="n"/>
      <c r="T244" s="733" t="n"/>
      <c r="U244" s="734" t="n"/>
      <c r="V244" s="347" t="n"/>
      <c r="W244" s="310" t="n"/>
      <c r="X244" s="350">
        <f>IF(AC244&lt;&gt;"","S"&amp;TEXT(WEEKNUM(AC244,21),"00"),"")</f>
        <v/>
      </c>
      <c r="Y244" s="350">
        <f>IF(Data!$AC244="","",YEAR(Data!$AC244))</f>
        <v/>
      </c>
      <c r="Z244" s="350">
        <f>IF(Data!$AC244="","",MONTH(Data!$AC244))</f>
        <v/>
      </c>
      <c r="AA244" s="310" t="n"/>
      <c r="AB244" s="312" t="n"/>
      <c r="AC244" s="310" t="n"/>
      <c r="AD244" s="732" t="n"/>
      <c r="AE244" s="310" t="n"/>
      <c r="AF244" s="302" t="n"/>
      <c r="AH244" s="347" t="n"/>
      <c r="AK244" s="347" t="n"/>
      <c r="AM244" s="347" t="n"/>
      <c r="AN244" s="350" t="n"/>
      <c r="AO244" s="347" t="n"/>
      <c r="AQ244" s="347" t="n"/>
      <c r="AS244" s="347" t="n"/>
      <c r="AV244" s="731">
        <f>IF(AT244="","",S244-AT244-AU244)</f>
        <v/>
      </c>
      <c r="AW244" s="331">
        <f>IFERROR(IF(tbl_DCFC[[#This Row],[F Montant HT]]="","",tbl_DCFC[[#This Row],[Marge]]/tbl_DCFC[[#This Row],[F Montant HT]]),"")</f>
        <v/>
      </c>
    </row>
    <row r="245" ht="15" customHeight="1" s="701">
      <c r="A245" s="744" t="n"/>
      <c r="B245" s="347">
        <f>IFERROR(INDEX(Tabelle2[BU],MATCH(tbl_DCFC[[#This Row],[Categorie]],CAT,0)),"")</f>
        <v/>
      </c>
      <c r="C245" s="350">
        <f>IF(D245&lt;&gt;"","S"&amp;TEXT(WEEKNUM(D245,21),"00"),"")</f>
        <v/>
      </c>
      <c r="D245" s="744" t="n"/>
      <c r="E245" s="312" t="n"/>
      <c r="F245" s="350" t="n"/>
      <c r="G245" s="350" t="n"/>
      <c r="H245" s="350" t="n"/>
      <c r="I245" s="745" t="n"/>
      <c r="J245" s="350" t="n"/>
      <c r="K245" s="350" t="n"/>
      <c r="L245" s="350" t="n"/>
      <c r="M245" s="347" t="n"/>
      <c r="N245">
        <f>IF(Q245&lt;&gt;"","S"&amp;TEXT(WEEKNUM(Q245,21),"00"),"")</f>
        <v/>
      </c>
      <c r="O245" s="350">
        <f>IF(Data!$Q245="","",YEAR(Data!$Q245))</f>
        <v/>
      </c>
      <c r="P245" s="350">
        <f>IF(Data!$Q245="","",MONTH(Data!$Q245))</f>
        <v/>
      </c>
      <c r="Q245" s="310" t="n"/>
      <c r="S245" s="732" t="n"/>
      <c r="T245" s="733" t="n"/>
      <c r="U245" s="734" t="n"/>
      <c r="V245" s="347" t="n"/>
      <c r="W245" s="310" t="n"/>
      <c r="X245" s="350">
        <f>IF(AC245&lt;&gt;"","S"&amp;TEXT(WEEKNUM(AC245,21),"00"),"")</f>
        <v/>
      </c>
      <c r="Y245" s="350">
        <f>IF(Data!$AC245="","",YEAR(Data!$AC245))</f>
        <v/>
      </c>
      <c r="Z245" s="350">
        <f>IF(Data!$AC245="","",MONTH(Data!$AC245))</f>
        <v/>
      </c>
      <c r="AA245" s="310" t="n"/>
      <c r="AB245" s="312" t="n"/>
      <c r="AC245" s="310" t="n"/>
      <c r="AD245" s="732" t="n"/>
      <c r="AE245" s="310" t="n"/>
      <c r="AF245" s="302" t="n"/>
      <c r="AH245" s="347" t="n"/>
      <c r="AK245" s="347" t="n"/>
      <c r="AM245" s="347" t="n"/>
      <c r="AN245" s="350" t="n"/>
      <c r="AO245" s="347" t="n"/>
      <c r="AQ245" s="347" t="n"/>
      <c r="AS245" s="347" t="n"/>
      <c r="AV245" s="731">
        <f>IF(AT245="","",S245-AT245-AU245)</f>
        <v/>
      </c>
      <c r="AW245" s="331">
        <f>IFERROR(IF(tbl_DCFC[[#This Row],[F Montant HT]]="","",tbl_DCFC[[#This Row],[Marge]]/tbl_DCFC[[#This Row],[F Montant HT]]),"")</f>
        <v/>
      </c>
    </row>
    <row r="246" ht="15" customHeight="1" s="701">
      <c r="A246" s="744" t="n"/>
      <c r="B246" s="347">
        <f>IFERROR(INDEX(Tabelle2[BU],MATCH(tbl_DCFC[[#This Row],[Categorie]],CAT,0)),"")</f>
        <v/>
      </c>
      <c r="C246" s="350">
        <f>IF(D246&lt;&gt;"","S"&amp;TEXT(WEEKNUM(D246,21),"00"),"")</f>
        <v/>
      </c>
      <c r="D246" s="744" t="n"/>
      <c r="E246" s="312" t="n"/>
      <c r="F246" s="350" t="n"/>
      <c r="G246" s="350" t="n"/>
      <c r="H246" s="350" t="n"/>
      <c r="I246" s="745" t="n"/>
      <c r="J246" s="350" t="n"/>
      <c r="K246" s="350" t="n"/>
      <c r="L246" s="350" t="n"/>
      <c r="M246" s="347" t="n"/>
      <c r="N246">
        <f>IF(Q246&lt;&gt;"","S"&amp;TEXT(WEEKNUM(Q246,21),"00"),"")</f>
        <v/>
      </c>
      <c r="O246" s="350">
        <f>IF(Data!$Q246="","",YEAR(Data!$Q246))</f>
        <v/>
      </c>
      <c r="P246" s="350">
        <f>IF(Data!$Q246="","",MONTH(Data!$Q246))</f>
        <v/>
      </c>
      <c r="Q246" s="310" t="n"/>
      <c r="S246" s="732" t="n"/>
      <c r="T246" s="733" t="n"/>
      <c r="U246" s="734" t="n"/>
      <c r="V246" s="347" t="n"/>
      <c r="W246" s="310" t="n"/>
      <c r="X246" s="350">
        <f>IF(AC246&lt;&gt;"","S"&amp;TEXT(WEEKNUM(AC246,21),"00"),"")</f>
        <v/>
      </c>
      <c r="Y246" s="350">
        <f>IF(Data!$AC246="","",YEAR(Data!$AC246))</f>
        <v/>
      </c>
      <c r="Z246" s="350">
        <f>IF(Data!$AC246="","",MONTH(Data!$AC246))</f>
        <v/>
      </c>
      <c r="AA246" s="310" t="n"/>
      <c r="AB246" s="312" t="n"/>
      <c r="AC246" s="310" t="n"/>
      <c r="AD246" s="732" t="n"/>
      <c r="AE246" s="310" t="n"/>
      <c r="AF246" s="302" t="n"/>
      <c r="AH246" s="347" t="n"/>
      <c r="AK246" s="347" t="n"/>
      <c r="AM246" s="347" t="n"/>
      <c r="AN246" s="350" t="n"/>
      <c r="AO246" s="347" t="n"/>
      <c r="AQ246" s="347" t="n"/>
      <c r="AS246" s="347" t="n"/>
      <c r="AV246" s="731">
        <f>IF(AT246="","",S246-AT246-AU246)</f>
        <v/>
      </c>
      <c r="AW246" s="331">
        <f>IFERROR(IF(tbl_DCFC[[#This Row],[F Montant HT]]="","",tbl_DCFC[[#This Row],[Marge]]/tbl_DCFC[[#This Row],[F Montant HT]]),"")</f>
        <v/>
      </c>
    </row>
    <row r="247" ht="15" customHeight="1" s="701">
      <c r="A247" s="744" t="n"/>
      <c r="B247" s="347">
        <f>IFERROR(INDEX(Tabelle2[BU],MATCH(tbl_DCFC[[#This Row],[Categorie]],CAT,0)),"")</f>
        <v/>
      </c>
      <c r="C247" s="350">
        <f>IF(D247&lt;&gt;"","S"&amp;TEXT(WEEKNUM(D247,21),"00"),"")</f>
        <v/>
      </c>
      <c r="D247" s="744" t="n"/>
      <c r="E247" s="312" t="n"/>
      <c r="F247" s="350" t="n"/>
      <c r="G247" s="350" t="n"/>
      <c r="H247" s="350" t="n"/>
      <c r="I247" s="745" t="n"/>
      <c r="J247" s="350" t="n"/>
      <c r="K247" s="350" t="n"/>
      <c r="L247" s="350" t="n"/>
      <c r="M247" s="347" t="n"/>
      <c r="N247">
        <f>IF(Q247&lt;&gt;"","S"&amp;TEXT(WEEKNUM(Q247,21),"00"),"")</f>
        <v/>
      </c>
      <c r="O247" s="350">
        <f>IF(Data!$Q247="","",YEAR(Data!$Q247))</f>
        <v/>
      </c>
      <c r="P247" s="350">
        <f>IF(Data!$Q247="","",MONTH(Data!$Q247))</f>
        <v/>
      </c>
      <c r="Q247" s="310" t="n"/>
      <c r="S247" s="732" t="n"/>
      <c r="T247" s="733" t="n"/>
      <c r="U247" s="734" t="n"/>
      <c r="V247" s="347" t="n"/>
      <c r="W247" s="310" t="n"/>
      <c r="X247" s="350">
        <f>IF(AC247&lt;&gt;"","S"&amp;TEXT(WEEKNUM(AC247,21),"00"),"")</f>
        <v/>
      </c>
      <c r="Y247" s="350">
        <f>IF(Data!$AC247="","",YEAR(Data!$AC247))</f>
        <v/>
      </c>
      <c r="Z247" s="350">
        <f>IF(Data!$AC247="","",MONTH(Data!$AC247))</f>
        <v/>
      </c>
      <c r="AA247" s="310" t="n"/>
      <c r="AB247" s="312" t="n"/>
      <c r="AC247" s="310" t="n"/>
      <c r="AD247" s="732" t="n"/>
      <c r="AE247" s="310" t="n"/>
      <c r="AF247" s="302" t="n"/>
      <c r="AH247" s="347" t="n"/>
      <c r="AK247" s="347" t="n"/>
      <c r="AM247" s="347" t="n"/>
      <c r="AN247" s="350" t="n"/>
      <c r="AO247" s="347" t="n"/>
      <c r="AQ247" s="347" t="n"/>
      <c r="AS247" s="347" t="n"/>
      <c r="AV247" s="731">
        <f>IF(AT247="","",S247-AT247-AU247)</f>
        <v/>
      </c>
      <c r="AW247" s="331">
        <f>IFERROR(IF(tbl_DCFC[[#This Row],[F Montant HT]]="","",tbl_DCFC[[#This Row],[Marge]]/tbl_DCFC[[#This Row],[F Montant HT]]),"")</f>
        <v/>
      </c>
    </row>
    <row r="248" ht="15" customHeight="1" s="701">
      <c r="A248" s="744" t="n"/>
      <c r="B248" s="347">
        <f>IFERROR(INDEX(Tabelle2[BU],MATCH(tbl_DCFC[[#This Row],[Categorie]],CAT,0)),"")</f>
        <v/>
      </c>
      <c r="C248" s="350">
        <f>IF(D248&lt;&gt;"","S"&amp;TEXT(WEEKNUM(D248,21),"00"),"")</f>
        <v/>
      </c>
      <c r="D248" s="744" t="n"/>
      <c r="E248" s="312" t="n"/>
      <c r="F248" s="350" t="n"/>
      <c r="G248" s="350" t="n"/>
      <c r="H248" s="350" t="n"/>
      <c r="I248" s="745" t="n"/>
      <c r="J248" s="350" t="n"/>
      <c r="K248" s="350" t="n"/>
      <c r="L248" s="350" t="n"/>
      <c r="M248" s="347" t="n"/>
      <c r="N248">
        <f>IF(Q248&lt;&gt;"","S"&amp;TEXT(WEEKNUM(Q248,21),"00"),"")</f>
        <v/>
      </c>
      <c r="O248" s="350">
        <f>IF(Data!$Q248="","",YEAR(Data!$Q248))</f>
        <v/>
      </c>
      <c r="P248" s="350">
        <f>IF(Data!$Q248="","",MONTH(Data!$Q248))</f>
        <v/>
      </c>
      <c r="Q248" s="310" t="n"/>
      <c r="S248" s="732" t="n"/>
      <c r="T248" s="733" t="n"/>
      <c r="U248" s="734" t="n"/>
      <c r="V248" s="347" t="n"/>
      <c r="W248" s="310" t="n"/>
      <c r="X248" s="350">
        <f>IF(AC248&lt;&gt;"","S"&amp;TEXT(WEEKNUM(AC248,21),"00"),"")</f>
        <v/>
      </c>
      <c r="Y248" s="350">
        <f>IF(Data!$AC248="","",YEAR(Data!$AC248))</f>
        <v/>
      </c>
      <c r="Z248" s="350">
        <f>IF(Data!$AC248="","",MONTH(Data!$AC248))</f>
        <v/>
      </c>
      <c r="AA248" s="310" t="n"/>
      <c r="AB248" s="312" t="n"/>
      <c r="AC248" s="310" t="n"/>
      <c r="AD248" s="732" t="n"/>
      <c r="AE248" s="310" t="n"/>
      <c r="AF248" s="302" t="n"/>
      <c r="AH248" s="347" t="n"/>
      <c r="AK248" s="347" t="n"/>
      <c r="AM248" s="347" t="n"/>
      <c r="AN248" s="350" t="n"/>
      <c r="AO248" s="347" t="n"/>
      <c r="AQ248" s="347" t="n"/>
      <c r="AS248" s="347" t="n"/>
      <c r="AV248" s="731">
        <f>IF(AT248="","",S248-AT248-AU248)</f>
        <v/>
      </c>
      <c r="AW248" s="331">
        <f>IFERROR(IF(tbl_DCFC[[#This Row],[F Montant HT]]="","",tbl_DCFC[[#This Row],[Marge]]/tbl_DCFC[[#This Row],[F Montant HT]]),"")</f>
        <v/>
      </c>
    </row>
    <row r="249" ht="15" customHeight="1" s="701">
      <c r="A249" s="744" t="n"/>
      <c r="B249" s="347">
        <f>IFERROR(INDEX(Tabelle2[BU],MATCH(tbl_DCFC[[#This Row],[Categorie]],CAT,0)),"")</f>
        <v/>
      </c>
      <c r="C249" s="350">
        <f>IF(D249&lt;&gt;"","S"&amp;TEXT(WEEKNUM(D249,21),"00"),"")</f>
        <v/>
      </c>
      <c r="D249" s="744" t="n"/>
      <c r="E249" s="312" t="n"/>
      <c r="F249" s="350" t="n"/>
      <c r="G249" s="350" t="n"/>
      <c r="H249" s="350" t="n"/>
      <c r="I249" s="745" t="n"/>
      <c r="J249" s="350" t="n"/>
      <c r="K249" s="350" t="n"/>
      <c r="L249" s="350" t="n"/>
      <c r="M249" s="347" t="n"/>
      <c r="N249">
        <f>IF(Q249&lt;&gt;"","S"&amp;TEXT(WEEKNUM(Q249,21),"00"),"")</f>
        <v/>
      </c>
      <c r="O249" s="350">
        <f>IF(Data!$Q249="","",YEAR(Data!$Q249))</f>
        <v/>
      </c>
      <c r="P249" s="350">
        <f>IF(Data!$Q249="","",MONTH(Data!$Q249))</f>
        <v/>
      </c>
      <c r="Q249" s="310" t="n"/>
      <c r="S249" s="732" t="n"/>
      <c r="T249" s="733" t="n"/>
      <c r="U249" s="734" t="n"/>
      <c r="V249" s="347" t="n"/>
      <c r="W249" s="310" t="n"/>
      <c r="X249" s="350">
        <f>IF(AC249&lt;&gt;"","S"&amp;TEXT(WEEKNUM(AC249,21),"00"),"")</f>
        <v/>
      </c>
      <c r="Y249" s="350">
        <f>IF(Data!$AC249="","",YEAR(Data!$AC249))</f>
        <v/>
      </c>
      <c r="Z249" s="350">
        <f>IF(Data!$AC249="","",MONTH(Data!$AC249))</f>
        <v/>
      </c>
      <c r="AA249" s="310" t="n"/>
      <c r="AB249" s="312" t="n"/>
      <c r="AC249" s="310" t="n"/>
      <c r="AD249" s="732" t="n"/>
      <c r="AE249" s="310" t="n"/>
      <c r="AF249" s="302" t="n"/>
      <c r="AH249" s="347" t="n"/>
      <c r="AK249" s="347" t="n"/>
      <c r="AM249" s="347" t="n"/>
      <c r="AN249" s="350" t="n"/>
      <c r="AO249" s="347" t="n"/>
      <c r="AQ249" s="347" t="n"/>
      <c r="AS249" s="347" t="n"/>
      <c r="AV249" s="731">
        <f>IF(AT249="","",S249-AT249-AU249)</f>
        <v/>
      </c>
      <c r="AW249" s="331">
        <f>IFERROR(IF(tbl_DCFC[[#This Row],[F Montant HT]]="","",tbl_DCFC[[#This Row],[Marge]]/tbl_DCFC[[#This Row],[F Montant HT]]),"")</f>
        <v/>
      </c>
    </row>
    <row r="250" ht="15" customHeight="1" s="701">
      <c r="A250" s="744" t="n"/>
      <c r="B250" s="347">
        <f>IFERROR(INDEX(Tabelle2[BU],MATCH(tbl_DCFC[[#This Row],[Categorie]],CAT,0)),"")</f>
        <v/>
      </c>
      <c r="C250" s="350">
        <f>IF(D250&lt;&gt;"","S"&amp;TEXT(WEEKNUM(D250,21),"00"),"")</f>
        <v/>
      </c>
      <c r="D250" s="744" t="n"/>
      <c r="E250" s="312" t="n"/>
      <c r="F250" s="350" t="n"/>
      <c r="G250" s="350" t="n"/>
      <c r="H250" s="350" t="n"/>
      <c r="I250" s="745" t="n"/>
      <c r="J250" s="350" t="n"/>
      <c r="K250" s="350" t="n"/>
      <c r="L250" s="350" t="n"/>
      <c r="M250" s="347" t="n"/>
      <c r="N250">
        <f>IF(Q250&lt;&gt;"","S"&amp;TEXT(WEEKNUM(Q250,21),"00"),"")</f>
        <v/>
      </c>
      <c r="O250" s="350">
        <f>IF(Data!$Q250="","",YEAR(Data!$Q250))</f>
        <v/>
      </c>
      <c r="P250" s="350">
        <f>IF(Data!$Q250="","",MONTH(Data!$Q250))</f>
        <v/>
      </c>
      <c r="Q250" s="310" t="n"/>
      <c r="S250" s="732" t="n"/>
      <c r="T250" s="733" t="n"/>
      <c r="U250" s="734" t="n"/>
      <c r="V250" s="347" t="n"/>
      <c r="W250" s="310" t="n"/>
      <c r="X250" s="350">
        <f>IF(AC250&lt;&gt;"","S"&amp;TEXT(WEEKNUM(AC250,21),"00"),"")</f>
        <v/>
      </c>
      <c r="Y250" s="350">
        <f>IF(Data!$AC250="","",YEAR(Data!$AC250))</f>
        <v/>
      </c>
      <c r="Z250" s="350">
        <f>IF(Data!$AC250="","",MONTH(Data!$AC250))</f>
        <v/>
      </c>
      <c r="AA250" s="310" t="n"/>
      <c r="AB250" s="312" t="n"/>
      <c r="AC250" s="310" t="n"/>
      <c r="AD250" s="732" t="n"/>
      <c r="AE250" s="310" t="n"/>
      <c r="AF250" s="302" t="n"/>
      <c r="AH250" s="347" t="n"/>
      <c r="AK250" s="347" t="n"/>
      <c r="AM250" s="347" t="n"/>
      <c r="AN250" s="350" t="n"/>
      <c r="AO250" s="347" t="n"/>
      <c r="AQ250" s="347" t="n"/>
      <c r="AS250" s="347" t="n"/>
      <c r="AV250" s="731">
        <f>IF(AT250="","",S250-AT250-AU250)</f>
        <v/>
      </c>
      <c r="AW250" s="331">
        <f>IFERROR(IF(tbl_DCFC[[#This Row],[F Montant HT]]="","",tbl_DCFC[[#This Row],[Marge]]/tbl_DCFC[[#This Row],[F Montant HT]]),"")</f>
        <v/>
      </c>
    </row>
    <row r="251" ht="15" customHeight="1" s="701">
      <c r="A251" s="744" t="n"/>
      <c r="B251" s="347">
        <f>IFERROR(INDEX(Tabelle2[BU],MATCH(tbl_DCFC[[#This Row],[Categorie]],CAT,0)),"")</f>
        <v/>
      </c>
      <c r="C251" s="350">
        <f>IF(D251&lt;&gt;"","S"&amp;TEXT(WEEKNUM(D251,21),"00"),"")</f>
        <v/>
      </c>
      <c r="D251" s="744" t="n"/>
      <c r="E251" s="312" t="n"/>
      <c r="F251" s="350" t="n"/>
      <c r="G251" s="350" t="n"/>
      <c r="H251" s="350" t="n"/>
      <c r="I251" s="745" t="n"/>
      <c r="J251" s="350" t="n"/>
      <c r="K251" s="350" t="n"/>
      <c r="L251" s="350" t="n"/>
      <c r="M251" s="347" t="n"/>
      <c r="N251">
        <f>IF(Q251&lt;&gt;"","S"&amp;TEXT(WEEKNUM(Q251,21),"00"),"")</f>
        <v/>
      </c>
      <c r="O251" s="350">
        <f>IF(Data!$Q251="","",YEAR(Data!$Q251))</f>
        <v/>
      </c>
      <c r="P251" s="350">
        <f>IF(Data!$Q251="","",MONTH(Data!$Q251))</f>
        <v/>
      </c>
      <c r="Q251" s="310" t="n"/>
      <c r="S251" s="732" t="n"/>
      <c r="T251" s="733" t="n"/>
      <c r="U251" s="734" t="n"/>
      <c r="V251" s="347" t="n"/>
      <c r="W251" s="310" t="n"/>
      <c r="X251" s="350">
        <f>IF(AC251&lt;&gt;"","S"&amp;TEXT(WEEKNUM(AC251,21),"00"),"")</f>
        <v/>
      </c>
      <c r="Y251" s="350">
        <f>IF(Data!$AC251="","",YEAR(Data!$AC251))</f>
        <v/>
      </c>
      <c r="Z251" s="350">
        <f>IF(Data!$AC251="","",MONTH(Data!$AC251))</f>
        <v/>
      </c>
      <c r="AA251" s="310" t="n"/>
      <c r="AB251" s="312" t="n"/>
      <c r="AC251" s="310" t="n"/>
      <c r="AD251" s="732" t="n"/>
      <c r="AE251" s="310" t="n"/>
      <c r="AF251" s="302" t="n"/>
      <c r="AH251" s="347" t="n"/>
      <c r="AK251" s="347" t="n"/>
      <c r="AM251" s="347" t="n"/>
      <c r="AN251" s="350" t="n"/>
      <c r="AO251" s="347" t="n"/>
      <c r="AQ251" s="347" t="n"/>
      <c r="AS251" s="347" t="n"/>
      <c r="AV251" s="731">
        <f>IF(AT251="","",S251-AT251-AU251)</f>
        <v/>
      </c>
      <c r="AW251" s="331">
        <f>IFERROR(IF(tbl_DCFC[[#This Row],[F Montant HT]]="","",tbl_DCFC[[#This Row],[Marge]]/tbl_DCFC[[#This Row],[F Montant HT]]),"")</f>
        <v/>
      </c>
    </row>
    <row r="252" ht="15" customHeight="1" s="701">
      <c r="A252" s="744" t="n"/>
      <c r="B252" s="347">
        <f>IFERROR(INDEX(Tabelle2[BU],MATCH(tbl_DCFC[[#This Row],[Categorie]],CAT,0)),"")</f>
        <v/>
      </c>
      <c r="C252" s="350">
        <f>IF(D252&lt;&gt;"","S"&amp;TEXT(WEEKNUM(D252,21),"00"),"")</f>
        <v/>
      </c>
      <c r="D252" s="744" t="n"/>
      <c r="E252" s="312" t="n"/>
      <c r="F252" s="350" t="n"/>
      <c r="G252" s="350" t="n"/>
      <c r="H252" s="350" t="n"/>
      <c r="I252" s="745" t="n"/>
      <c r="J252" s="350" t="n"/>
      <c r="K252" s="350" t="n"/>
      <c r="L252" s="350" t="n"/>
      <c r="M252" s="347" t="n"/>
      <c r="N252">
        <f>IF(Q252&lt;&gt;"","S"&amp;TEXT(WEEKNUM(Q252,21),"00"),"")</f>
        <v/>
      </c>
      <c r="O252" s="350">
        <f>IF(Data!$Q252="","",YEAR(Data!$Q252))</f>
        <v/>
      </c>
      <c r="P252" s="350">
        <f>IF(Data!$Q252="","",MONTH(Data!$Q252))</f>
        <v/>
      </c>
      <c r="Q252" s="310" t="n"/>
      <c r="S252" s="732" t="n"/>
      <c r="T252" s="733" t="n"/>
      <c r="U252" s="734" t="n"/>
      <c r="V252" s="347" t="n"/>
      <c r="W252" s="310" t="n"/>
      <c r="X252" s="350">
        <f>IF(AC252&lt;&gt;"","S"&amp;TEXT(WEEKNUM(AC252,21),"00"),"")</f>
        <v/>
      </c>
      <c r="Y252" s="350">
        <f>IF(Data!$AC252="","",YEAR(Data!$AC252))</f>
        <v/>
      </c>
      <c r="Z252" s="350">
        <f>IF(Data!$AC252="","",MONTH(Data!$AC252))</f>
        <v/>
      </c>
      <c r="AA252" s="310" t="n"/>
      <c r="AB252" s="312" t="n"/>
      <c r="AC252" s="310" t="n"/>
      <c r="AD252" s="732" t="n"/>
      <c r="AE252" s="310" t="n"/>
      <c r="AF252" s="302" t="n"/>
      <c r="AH252" s="347" t="n"/>
      <c r="AK252" s="347" t="n"/>
      <c r="AM252" s="347" t="n"/>
      <c r="AN252" s="350" t="n"/>
      <c r="AO252" s="347" t="n"/>
      <c r="AQ252" s="347" t="n"/>
      <c r="AS252" s="347" t="n"/>
      <c r="AV252" s="731">
        <f>IF(AT252="","",S252-AT252-AU252)</f>
        <v/>
      </c>
      <c r="AW252" s="331">
        <f>IFERROR(IF(tbl_DCFC[[#This Row],[F Montant HT]]="","",tbl_DCFC[[#This Row],[Marge]]/tbl_DCFC[[#This Row],[F Montant HT]]),"")</f>
        <v/>
      </c>
    </row>
    <row r="253" ht="15" customHeight="1" s="701">
      <c r="A253" s="744" t="n"/>
      <c r="B253" s="347">
        <f>IFERROR(INDEX(Tabelle2[BU],MATCH(tbl_DCFC[[#This Row],[Categorie]],CAT,0)),"")</f>
        <v/>
      </c>
      <c r="C253" s="350">
        <f>IF(D253&lt;&gt;"","S"&amp;TEXT(WEEKNUM(D253,21),"00"),"")</f>
        <v/>
      </c>
      <c r="D253" s="744" t="n"/>
      <c r="E253" s="312" t="n"/>
      <c r="F253" s="350" t="n"/>
      <c r="G253" s="350" t="n"/>
      <c r="H253" s="350" t="n"/>
      <c r="I253" s="745" t="n"/>
      <c r="J253" s="350" t="n"/>
      <c r="K253" s="350" t="n"/>
      <c r="L253" s="350" t="n"/>
      <c r="M253" s="347" t="n"/>
      <c r="N253">
        <f>IF(Q253&lt;&gt;"","S"&amp;TEXT(WEEKNUM(Q253,21),"00"),"")</f>
        <v/>
      </c>
      <c r="O253" s="350">
        <f>IF(Data!$Q253="","",YEAR(Data!$Q253))</f>
        <v/>
      </c>
      <c r="P253" s="350">
        <f>IF(Data!$Q253="","",MONTH(Data!$Q253))</f>
        <v/>
      </c>
      <c r="Q253" s="310" t="n"/>
      <c r="S253" s="732" t="n"/>
      <c r="T253" s="733" t="n"/>
      <c r="U253" s="734" t="n"/>
      <c r="V253" s="347" t="n"/>
      <c r="W253" s="310" t="n"/>
      <c r="X253" s="350">
        <f>IF(AC253&lt;&gt;"","S"&amp;TEXT(WEEKNUM(AC253,21),"00"),"")</f>
        <v/>
      </c>
      <c r="Y253" s="350">
        <f>IF(Data!$AC253="","",YEAR(Data!$AC253))</f>
        <v/>
      </c>
      <c r="Z253" s="350">
        <f>IF(Data!$AC253="","",MONTH(Data!$AC253))</f>
        <v/>
      </c>
      <c r="AA253" s="310" t="n"/>
      <c r="AB253" s="312" t="n"/>
      <c r="AC253" s="310" t="n"/>
      <c r="AD253" s="732" t="n"/>
      <c r="AE253" s="310" t="n"/>
      <c r="AF253" s="302" t="n"/>
      <c r="AH253" s="347" t="n"/>
      <c r="AK253" s="347" t="n"/>
      <c r="AM253" s="347" t="n"/>
      <c r="AN253" s="350" t="n"/>
      <c r="AO253" s="347" t="n"/>
      <c r="AQ253" s="347" t="n"/>
      <c r="AS253" s="347" t="n"/>
      <c r="AV253" s="731">
        <f>IF(AT253="","",S253-AT253-AU253)</f>
        <v/>
      </c>
      <c r="AW253" s="331">
        <f>IFERROR(IF(tbl_DCFC[[#This Row],[F Montant HT]]="","",tbl_DCFC[[#This Row],[Marge]]/tbl_DCFC[[#This Row],[F Montant HT]]),"")</f>
        <v/>
      </c>
    </row>
    <row r="254" ht="15" customHeight="1" s="701">
      <c r="A254" s="744" t="n"/>
      <c r="B254" s="347">
        <f>IFERROR(INDEX(Tabelle2[BU],MATCH(tbl_DCFC[[#This Row],[Categorie]],CAT,0)),"")</f>
        <v/>
      </c>
      <c r="C254" s="350">
        <f>IF(D254&lt;&gt;"","S"&amp;TEXT(WEEKNUM(D254,21),"00"),"")</f>
        <v/>
      </c>
      <c r="D254" s="744" t="n"/>
      <c r="E254" s="312" t="n"/>
      <c r="F254" s="350" t="n"/>
      <c r="G254" s="350" t="n"/>
      <c r="H254" s="350" t="n"/>
      <c r="I254" s="745" t="n"/>
      <c r="J254" s="350" t="n"/>
      <c r="K254" s="350" t="n"/>
      <c r="L254" s="350" t="n"/>
      <c r="M254" s="347" t="n"/>
      <c r="N254">
        <f>IF(Q254&lt;&gt;"","S"&amp;TEXT(WEEKNUM(Q254,21),"00"),"")</f>
        <v/>
      </c>
      <c r="O254" s="350">
        <f>IF(Data!$Q254="","",YEAR(Data!$Q254))</f>
        <v/>
      </c>
      <c r="P254" s="350">
        <f>IF(Data!$Q254="","",MONTH(Data!$Q254))</f>
        <v/>
      </c>
      <c r="Q254" s="310" t="n"/>
      <c r="S254" s="732" t="n"/>
      <c r="T254" s="733" t="n"/>
      <c r="U254" s="734" t="n"/>
      <c r="V254" s="347" t="n"/>
      <c r="W254" s="310" t="n"/>
      <c r="X254" s="350">
        <f>IF(AC254&lt;&gt;"","S"&amp;TEXT(WEEKNUM(AC254,21),"00"),"")</f>
        <v/>
      </c>
      <c r="Y254" s="350">
        <f>IF(Data!$AC254="","",YEAR(Data!$AC254))</f>
        <v/>
      </c>
      <c r="Z254" s="350">
        <f>IF(Data!$AC254="","",MONTH(Data!$AC254))</f>
        <v/>
      </c>
      <c r="AA254" s="310" t="n"/>
      <c r="AB254" s="312" t="n"/>
      <c r="AC254" s="310" t="n"/>
      <c r="AD254" s="732" t="n"/>
      <c r="AE254" s="310" t="n"/>
      <c r="AF254" s="302" t="n"/>
      <c r="AH254" s="347" t="n"/>
      <c r="AK254" s="347" t="n"/>
      <c r="AM254" s="347" t="n"/>
      <c r="AN254" s="350" t="n"/>
      <c r="AO254" s="347" t="n"/>
      <c r="AQ254" s="347" t="n"/>
      <c r="AS254" s="347" t="n"/>
      <c r="AV254" s="731">
        <f>IF(AT254="","",S254-AT254-AU254)</f>
        <v/>
      </c>
      <c r="AW254" s="331">
        <f>IFERROR(IF(tbl_DCFC[[#This Row],[F Montant HT]]="","",tbl_DCFC[[#This Row],[Marge]]/tbl_DCFC[[#This Row],[F Montant HT]]),"")</f>
        <v/>
      </c>
    </row>
    <row r="255" ht="15" customHeight="1" s="701">
      <c r="A255" s="744" t="n"/>
      <c r="B255" s="347">
        <f>IFERROR(INDEX(Tabelle2[BU],MATCH(tbl_DCFC[[#This Row],[Categorie]],CAT,0)),"")</f>
        <v/>
      </c>
      <c r="C255" s="350">
        <f>IF(D255&lt;&gt;"","S"&amp;TEXT(WEEKNUM(D255,21),"00"),"")</f>
        <v/>
      </c>
      <c r="D255" s="744" t="n"/>
      <c r="E255" s="312" t="n"/>
      <c r="F255" s="350" t="n"/>
      <c r="G255" s="350" t="n"/>
      <c r="H255" s="350" t="n"/>
      <c r="I255" s="745" t="n"/>
      <c r="J255" s="350" t="n"/>
      <c r="K255" s="350" t="n"/>
      <c r="L255" s="350" t="n"/>
      <c r="M255" s="347" t="n"/>
      <c r="N255">
        <f>IF(Q255&lt;&gt;"","S"&amp;TEXT(WEEKNUM(Q255,21),"00"),"")</f>
        <v/>
      </c>
      <c r="O255" s="350">
        <f>IF(Data!$Q255="","",YEAR(Data!$Q255))</f>
        <v/>
      </c>
      <c r="P255" s="350">
        <f>IF(Data!$Q255="","",MONTH(Data!$Q255))</f>
        <v/>
      </c>
      <c r="Q255" s="310" t="n"/>
      <c r="S255" s="732" t="n"/>
      <c r="T255" s="733" t="n"/>
      <c r="U255" s="734" t="n"/>
      <c r="V255" s="347" t="n"/>
      <c r="W255" s="310" t="n"/>
      <c r="X255" s="350">
        <f>IF(AC255&lt;&gt;"","S"&amp;TEXT(WEEKNUM(AC255,21),"00"),"")</f>
        <v/>
      </c>
      <c r="Y255" s="350">
        <f>IF(Data!$AC255="","",YEAR(Data!$AC255))</f>
        <v/>
      </c>
      <c r="Z255" s="350">
        <f>IF(Data!$AC255="","",MONTH(Data!$AC255))</f>
        <v/>
      </c>
      <c r="AA255" s="310" t="n"/>
      <c r="AB255" s="312" t="n"/>
      <c r="AC255" s="310" t="n"/>
      <c r="AD255" s="732" t="n"/>
      <c r="AE255" s="310" t="n"/>
      <c r="AF255" s="302" t="n"/>
      <c r="AH255" s="347" t="n"/>
      <c r="AK255" s="347" t="n"/>
      <c r="AM255" s="347" t="n"/>
      <c r="AN255" s="350" t="n"/>
      <c r="AO255" s="347" t="n"/>
      <c r="AQ255" s="347" t="n"/>
      <c r="AS255" s="347" t="n"/>
      <c r="AV255" s="731">
        <f>IF(AT255="","",S255-AT255-AU255)</f>
        <v/>
      </c>
      <c r="AW255" s="331">
        <f>IFERROR(IF(tbl_DCFC[[#This Row],[F Montant HT]]="","",tbl_DCFC[[#This Row],[Marge]]/tbl_DCFC[[#This Row],[F Montant HT]]),"")</f>
        <v/>
      </c>
    </row>
    <row r="256" ht="15" customHeight="1" s="701">
      <c r="A256" s="744" t="n"/>
      <c r="B256" s="347">
        <f>IFERROR(INDEX(Tabelle2[BU],MATCH(tbl_DCFC[[#This Row],[Categorie]],CAT,0)),"")</f>
        <v/>
      </c>
      <c r="C256" s="350">
        <f>IF(D256&lt;&gt;"","S"&amp;TEXT(WEEKNUM(D256,21),"00"),"")</f>
        <v/>
      </c>
      <c r="D256" s="744" t="n"/>
      <c r="E256" s="312" t="n"/>
      <c r="F256" s="350" t="n"/>
      <c r="G256" s="350" t="n"/>
      <c r="H256" s="350" t="n"/>
      <c r="I256" s="745" t="n"/>
      <c r="J256" s="350" t="n"/>
      <c r="K256" s="350" t="n"/>
      <c r="L256" s="350" t="n"/>
      <c r="M256" s="347" t="n"/>
      <c r="N256">
        <f>IF(Q256&lt;&gt;"","S"&amp;TEXT(WEEKNUM(Q256,21),"00"),"")</f>
        <v/>
      </c>
      <c r="O256" s="350">
        <f>IF(Data!$Q256="","",YEAR(Data!$Q256))</f>
        <v/>
      </c>
      <c r="P256" s="350">
        <f>IF(Data!$Q256="","",MONTH(Data!$Q256))</f>
        <v/>
      </c>
      <c r="Q256" s="310" t="n"/>
      <c r="S256" s="732" t="n"/>
      <c r="T256" s="733" t="n"/>
      <c r="U256" s="734" t="n"/>
      <c r="V256" s="347" t="n"/>
      <c r="W256" s="310" t="n"/>
      <c r="X256" s="350">
        <f>IF(AC256&lt;&gt;"","S"&amp;TEXT(WEEKNUM(AC256,21),"00"),"")</f>
        <v/>
      </c>
      <c r="Y256" s="350">
        <f>IF(Data!$AC256="","",YEAR(Data!$AC256))</f>
        <v/>
      </c>
      <c r="Z256" s="350">
        <f>IF(Data!$AC256="","",MONTH(Data!$AC256))</f>
        <v/>
      </c>
      <c r="AA256" s="310" t="n"/>
      <c r="AB256" s="312" t="n"/>
      <c r="AC256" s="310" t="n"/>
      <c r="AD256" s="732" t="n"/>
      <c r="AE256" s="310" t="n"/>
      <c r="AF256" s="302" t="n"/>
      <c r="AH256" s="347" t="n"/>
      <c r="AK256" s="347" t="n"/>
      <c r="AM256" s="347" t="n"/>
      <c r="AN256" s="350" t="n"/>
      <c r="AO256" s="347" t="n"/>
      <c r="AQ256" s="347" t="n"/>
      <c r="AS256" s="347" t="n"/>
      <c r="AV256" s="731">
        <f>IF(AT256="","",S256-AT256-AU256)</f>
        <v/>
      </c>
      <c r="AW256" s="331">
        <f>IFERROR(IF(tbl_DCFC[[#This Row],[F Montant HT]]="","",tbl_DCFC[[#This Row],[Marge]]/tbl_DCFC[[#This Row],[F Montant HT]]),"")</f>
        <v/>
      </c>
    </row>
    <row r="257" ht="15" customHeight="1" s="701">
      <c r="A257" s="744" t="n"/>
      <c r="B257" s="347">
        <f>IFERROR(INDEX(Tabelle2[BU],MATCH(tbl_DCFC[[#This Row],[Categorie]],CAT,0)),"")</f>
        <v/>
      </c>
      <c r="C257" s="350">
        <f>IF(D257&lt;&gt;"","S"&amp;TEXT(WEEKNUM(D257,21),"00"),"")</f>
        <v/>
      </c>
      <c r="D257" s="744" t="n"/>
      <c r="E257" s="312" t="n"/>
      <c r="F257" s="350" t="n"/>
      <c r="G257" s="350" t="n"/>
      <c r="H257" s="350" t="n"/>
      <c r="I257" s="745" t="n"/>
      <c r="J257" s="350" t="n"/>
      <c r="K257" s="350" t="n"/>
      <c r="L257" s="350" t="n"/>
      <c r="M257" s="347" t="n"/>
      <c r="N257">
        <f>IF(Q257&lt;&gt;"","S"&amp;TEXT(WEEKNUM(Q257,21),"00"),"")</f>
        <v/>
      </c>
      <c r="O257" s="350">
        <f>IF(Data!$Q257="","",YEAR(Data!$Q257))</f>
        <v/>
      </c>
      <c r="P257" s="350">
        <f>IF(Data!$Q257="","",MONTH(Data!$Q257))</f>
        <v/>
      </c>
      <c r="Q257" s="310" t="n"/>
      <c r="S257" s="732" t="n"/>
      <c r="T257" s="733" t="n"/>
      <c r="U257" s="734" t="n"/>
      <c r="V257" s="347" t="n"/>
      <c r="W257" s="310" t="n"/>
      <c r="X257" s="350">
        <f>IF(AC257&lt;&gt;"","S"&amp;TEXT(WEEKNUM(AC257,21),"00"),"")</f>
        <v/>
      </c>
      <c r="Y257" s="350">
        <f>IF(Data!$AC257="","",YEAR(Data!$AC257))</f>
        <v/>
      </c>
      <c r="Z257" s="350">
        <f>IF(Data!$AC257="","",MONTH(Data!$AC257))</f>
        <v/>
      </c>
      <c r="AA257" s="310" t="n"/>
      <c r="AB257" s="312" t="n"/>
      <c r="AC257" s="310" t="n"/>
      <c r="AD257" s="732" t="n"/>
      <c r="AE257" s="310" t="n"/>
      <c r="AF257" s="302" t="n"/>
      <c r="AH257" s="347" t="n"/>
      <c r="AK257" s="347" t="n"/>
      <c r="AM257" s="347" t="n"/>
      <c r="AN257" s="350" t="n"/>
      <c r="AO257" s="347" t="n"/>
      <c r="AQ257" s="347" t="n"/>
      <c r="AS257" s="347" t="n"/>
      <c r="AV257" s="731">
        <f>IF(AT257="","",S257-AT257-AU257)</f>
        <v/>
      </c>
      <c r="AW257" s="331">
        <f>IFERROR(IF(tbl_DCFC[[#This Row],[F Montant HT]]="","",tbl_DCFC[[#This Row],[Marge]]/tbl_DCFC[[#This Row],[F Montant HT]]),"")</f>
        <v/>
      </c>
    </row>
    <row r="258" ht="15" customHeight="1" s="701">
      <c r="A258" s="744" t="n"/>
      <c r="B258" s="347">
        <f>IFERROR(INDEX(Tabelle2[BU],MATCH(tbl_DCFC[[#This Row],[Categorie]],CAT,0)),"")</f>
        <v/>
      </c>
      <c r="C258" s="350">
        <f>IF(D258&lt;&gt;"","S"&amp;TEXT(WEEKNUM(D258,21),"00"),"")</f>
        <v/>
      </c>
      <c r="D258" s="744" t="n"/>
      <c r="E258" s="312" t="n"/>
      <c r="F258" s="350" t="n"/>
      <c r="G258" s="350" t="n"/>
      <c r="H258" s="350" t="n"/>
      <c r="I258" s="745" t="n"/>
      <c r="J258" s="350" t="n"/>
      <c r="K258" s="350" t="n"/>
      <c r="L258" s="350" t="n"/>
      <c r="M258" s="347" t="n"/>
      <c r="N258">
        <f>IF(Q258&lt;&gt;"","S"&amp;TEXT(WEEKNUM(Q258,21),"00"),"")</f>
        <v/>
      </c>
      <c r="O258" s="350">
        <f>IF(Data!$Q258="","",YEAR(Data!$Q258))</f>
        <v/>
      </c>
      <c r="P258" s="350">
        <f>IF(Data!$Q258="","",MONTH(Data!$Q258))</f>
        <v/>
      </c>
      <c r="Q258" s="310" t="n"/>
      <c r="S258" s="732" t="n"/>
      <c r="T258" s="733" t="n"/>
      <c r="U258" s="734" t="n"/>
      <c r="V258" s="347" t="n"/>
      <c r="W258" s="310" t="n"/>
      <c r="X258" s="350">
        <f>IF(AC258&lt;&gt;"","S"&amp;TEXT(WEEKNUM(AC258,21),"00"),"")</f>
        <v/>
      </c>
      <c r="Y258" s="350">
        <f>IF(Data!$AC258="","",YEAR(Data!$AC258))</f>
        <v/>
      </c>
      <c r="Z258" s="350">
        <f>IF(Data!$AC258="","",MONTH(Data!$AC258))</f>
        <v/>
      </c>
      <c r="AA258" s="310" t="n"/>
      <c r="AB258" s="312" t="n"/>
      <c r="AC258" s="310" t="n"/>
      <c r="AD258" s="732" t="n"/>
      <c r="AE258" s="310" t="n"/>
      <c r="AF258" s="302" t="n"/>
      <c r="AH258" s="347" t="n"/>
      <c r="AK258" s="347" t="n"/>
      <c r="AM258" s="347" t="n"/>
      <c r="AN258" s="350" t="n"/>
      <c r="AO258" s="347" t="n"/>
      <c r="AQ258" s="347" t="n"/>
      <c r="AS258" s="347" t="n"/>
      <c r="AV258" s="731">
        <f>IF(AT258="","",S258-AT258-AU258)</f>
        <v/>
      </c>
      <c r="AW258" s="331">
        <f>IFERROR(IF(tbl_DCFC[[#This Row],[F Montant HT]]="","",tbl_DCFC[[#This Row],[Marge]]/tbl_DCFC[[#This Row],[F Montant HT]]),"")</f>
        <v/>
      </c>
    </row>
    <row r="259" ht="15" customHeight="1" s="701">
      <c r="A259" s="744" t="n"/>
      <c r="B259" s="347">
        <f>IFERROR(INDEX(Tabelle2[BU],MATCH(tbl_DCFC[[#This Row],[Categorie]],CAT,0)),"")</f>
        <v/>
      </c>
      <c r="C259" s="350">
        <f>IF(D259&lt;&gt;"","S"&amp;TEXT(WEEKNUM(D259,21),"00"),"")</f>
        <v/>
      </c>
      <c r="D259" s="744" t="n"/>
      <c r="E259" s="312" t="n"/>
      <c r="F259" s="350" t="n"/>
      <c r="G259" s="350" t="n"/>
      <c r="H259" s="350" t="n"/>
      <c r="I259" s="745" t="n"/>
      <c r="J259" s="350" t="n"/>
      <c r="K259" s="350" t="n"/>
      <c r="L259" s="350" t="n"/>
      <c r="M259" s="347" t="n"/>
      <c r="N259" s="350">
        <f>IF(Q259&lt;&gt;"","S"&amp;TEXT(WEEKNUM(Q259,21),"00"),"")</f>
        <v/>
      </c>
      <c r="O259" s="350">
        <f>IF(Data!$Q259="","",YEAR(Data!$Q259))</f>
        <v/>
      </c>
      <c r="P259" s="350">
        <f>IF(Data!$Q259="","",MONTH(Data!$Q259))</f>
        <v/>
      </c>
      <c r="Q259" s="310" t="n"/>
      <c r="S259" s="732" t="n"/>
      <c r="T259" s="733" t="n"/>
      <c r="U259" s="734" t="n"/>
      <c r="V259" s="347" t="n"/>
      <c r="W259" s="310" t="n"/>
      <c r="X259" s="350">
        <f>IF(AC259&lt;&gt;"","S"&amp;TEXT(WEEKNUM(AC259,21),"00"),"")</f>
        <v/>
      </c>
      <c r="Y259" s="350">
        <f>IF(Data!$AC259="","",YEAR(Data!$AC259))</f>
        <v/>
      </c>
      <c r="Z259" s="350">
        <f>IF(Data!$AC259="","",MONTH(Data!$AC259))</f>
        <v/>
      </c>
      <c r="AA259" s="310" t="n"/>
      <c r="AB259" s="312" t="n"/>
      <c r="AC259" s="310" t="n"/>
      <c r="AD259" s="732" t="n"/>
      <c r="AE259" s="310" t="n"/>
      <c r="AF259" s="302" t="n"/>
      <c r="AH259" s="347" t="n"/>
      <c r="AK259" s="347" t="n"/>
      <c r="AM259" s="347" t="n"/>
      <c r="AN259" s="350" t="n"/>
      <c r="AO259" s="347" t="n"/>
      <c r="AQ259" s="347" t="n"/>
      <c r="AS259" s="347" t="n"/>
      <c r="AV259" s="731">
        <f>IF(AT259="","",S259-AT259-AU259)</f>
        <v/>
      </c>
      <c r="AW259" s="331">
        <f>IFERROR(IF(tbl_DCFC[[#This Row],[F Montant HT]]="","",tbl_DCFC[[#This Row],[Marge]]/tbl_DCFC[[#This Row],[F Montant HT]]),"")</f>
        <v/>
      </c>
    </row>
    <row r="260" ht="15" customHeight="1" s="701">
      <c r="A260" s="744" t="n"/>
      <c r="B260" s="347">
        <f>IFERROR(INDEX(Tabelle2[BU],MATCH(tbl_DCFC[[#This Row],[Categorie]],CAT,0)),"")</f>
        <v/>
      </c>
      <c r="C260" s="350">
        <f>IF(D260&lt;&gt;"","S"&amp;TEXT(WEEKNUM(D260,21),"00"),"")</f>
        <v/>
      </c>
      <c r="D260" s="744" t="n"/>
      <c r="E260" s="312" t="n"/>
      <c r="F260" s="350" t="n"/>
      <c r="G260" s="350" t="n"/>
      <c r="H260" s="350" t="n"/>
      <c r="I260" s="745" t="n"/>
      <c r="J260" s="350" t="n"/>
      <c r="K260" s="350" t="n"/>
      <c r="L260" s="350" t="n"/>
      <c r="M260" s="347" t="n"/>
      <c r="N260" s="350">
        <f>IF(Q260&lt;&gt;"","S"&amp;TEXT(WEEKNUM(Q260,21),"00"),"")</f>
        <v/>
      </c>
      <c r="O260" s="350">
        <f>IF(Data!$Q260="","",YEAR(Data!$Q260))</f>
        <v/>
      </c>
      <c r="P260" s="350">
        <f>IF(Data!$Q260="","",MONTH(Data!$Q260))</f>
        <v/>
      </c>
      <c r="Q260" s="310" t="n"/>
      <c r="S260" s="732" t="n"/>
      <c r="T260" s="733" t="n"/>
      <c r="U260" s="734" t="n"/>
      <c r="V260" s="347" t="n"/>
      <c r="W260" s="310" t="n"/>
      <c r="X260" s="350">
        <f>IF(AC260&lt;&gt;"","S"&amp;TEXT(WEEKNUM(AC260,21),"00"),"")</f>
        <v/>
      </c>
      <c r="Y260" s="350">
        <f>IF(Data!$AC260="","",YEAR(Data!$AC260))</f>
        <v/>
      </c>
      <c r="Z260" s="350">
        <f>IF(Data!$AC260="","",MONTH(Data!$AC260))</f>
        <v/>
      </c>
      <c r="AA260" s="310" t="n"/>
      <c r="AB260" s="312" t="n"/>
      <c r="AC260" s="310" t="n"/>
      <c r="AD260" s="732" t="n"/>
      <c r="AE260" s="310" t="n"/>
      <c r="AF260" s="302" t="n"/>
      <c r="AH260" s="347" t="n"/>
      <c r="AK260" s="347" t="n"/>
      <c r="AM260" s="347" t="n"/>
      <c r="AN260" s="350" t="n"/>
      <c r="AO260" s="347" t="n"/>
      <c r="AQ260" s="347" t="n"/>
      <c r="AS260" s="347" t="n"/>
      <c r="AV260" s="731">
        <f>IF(AT260="","",S260-AT260-AU260)</f>
        <v/>
      </c>
      <c r="AW260" s="331">
        <f>IFERROR(IF(tbl_DCFC[[#This Row],[F Montant HT]]="","",tbl_DCFC[[#This Row],[Marge]]/tbl_DCFC[[#This Row],[F Montant HT]]),"")</f>
        <v/>
      </c>
    </row>
    <row r="261" ht="15" customHeight="1" s="701">
      <c r="A261" s="744" t="n"/>
      <c r="B261" s="347">
        <f>IFERROR(INDEX(Tabelle2[BU],MATCH(tbl_DCFC[[#This Row],[Categorie]],CAT,0)),"")</f>
        <v/>
      </c>
      <c r="C261" s="350">
        <f>IF(D261&lt;&gt;"","S"&amp;TEXT(WEEKNUM(D261,21),"00"),"")</f>
        <v/>
      </c>
      <c r="D261" s="744" t="n"/>
      <c r="E261" s="312" t="n"/>
      <c r="F261" s="350" t="n"/>
      <c r="G261" s="350" t="n"/>
      <c r="H261" s="350" t="n"/>
      <c r="I261" s="745" t="n"/>
      <c r="J261" s="350" t="n"/>
      <c r="K261" s="350" t="n"/>
      <c r="L261" s="350" t="n"/>
      <c r="M261" s="347" t="n"/>
      <c r="N261" s="350">
        <f>IF(Q261&lt;&gt;"","S"&amp;TEXT(WEEKNUM(Q261,21),"00"),"")</f>
        <v/>
      </c>
      <c r="O261" s="350">
        <f>IF(Data!$Q261="","",YEAR(Data!$Q261))</f>
        <v/>
      </c>
      <c r="P261" s="350">
        <f>IF(Data!$Q261="","",MONTH(Data!$Q261))</f>
        <v/>
      </c>
      <c r="Q261" s="310" t="n"/>
      <c r="S261" s="732" t="n"/>
      <c r="T261" s="733" t="n"/>
      <c r="U261" s="734" t="n"/>
      <c r="V261" s="347" t="n"/>
      <c r="W261" s="310" t="n"/>
      <c r="X261" s="350">
        <f>IF(AC261&lt;&gt;"","S"&amp;TEXT(WEEKNUM(AC261,21),"00"),"")</f>
        <v/>
      </c>
      <c r="Y261" s="350">
        <f>IF(Data!$AC261="","",YEAR(Data!$AC261))</f>
        <v/>
      </c>
      <c r="Z261" s="350">
        <f>IF(Data!$AC261="","",MONTH(Data!$AC261))</f>
        <v/>
      </c>
      <c r="AA261" s="310" t="n"/>
      <c r="AB261" s="312" t="n"/>
      <c r="AC261" s="310" t="n"/>
      <c r="AD261" s="732" t="n"/>
      <c r="AE261" s="310" t="n"/>
      <c r="AF261" s="302" t="n"/>
      <c r="AH261" s="347" t="n"/>
      <c r="AK261" s="347" t="n"/>
      <c r="AM261" s="347" t="n"/>
      <c r="AN261" s="350" t="n"/>
      <c r="AO261" s="347" t="n"/>
      <c r="AQ261" s="347" t="n"/>
      <c r="AS261" s="347" t="n"/>
      <c r="AV261" s="731">
        <f>IF(AT261="","",S261-AT261-AU261)</f>
        <v/>
      </c>
      <c r="AW261" s="331">
        <f>IFERROR(IF(tbl_DCFC[[#This Row],[F Montant HT]]="","",tbl_DCFC[[#This Row],[Marge]]/tbl_DCFC[[#This Row],[F Montant HT]]),"")</f>
        <v/>
      </c>
    </row>
    <row r="262" ht="15" customHeight="1" s="701">
      <c r="A262" s="744" t="n"/>
      <c r="B262" s="347">
        <f>IFERROR(INDEX(Tabelle2[BU],MATCH(tbl_DCFC[[#This Row],[Categorie]],CAT,0)),"")</f>
        <v/>
      </c>
      <c r="C262" s="350">
        <f>IF(D262&lt;&gt;"","S"&amp;TEXT(WEEKNUM(D262,21),"00"),"")</f>
        <v/>
      </c>
      <c r="D262" s="744" t="n"/>
      <c r="E262" s="312" t="n"/>
      <c r="F262" s="350" t="n"/>
      <c r="G262" s="350" t="n"/>
      <c r="H262" s="350" t="n"/>
      <c r="I262" s="745" t="n"/>
      <c r="J262" s="350" t="n"/>
      <c r="K262" s="350" t="n"/>
      <c r="L262" s="350" t="n"/>
      <c r="M262" s="347" t="n"/>
      <c r="N262" s="350">
        <f>IF(Q262&lt;&gt;"","S"&amp;TEXT(WEEKNUM(Q262,21),"00"),"")</f>
        <v/>
      </c>
      <c r="O262" s="350">
        <f>IF(Data!$Q262="","",YEAR(Data!$Q262))</f>
        <v/>
      </c>
      <c r="P262" s="350">
        <f>IF(Data!$Q262="","",MONTH(Data!$Q262))</f>
        <v/>
      </c>
      <c r="Q262" s="310" t="n"/>
      <c r="S262" s="732" t="n"/>
      <c r="T262" s="733" t="n"/>
      <c r="U262" s="734" t="n"/>
      <c r="V262" s="347" t="n"/>
      <c r="W262" s="310" t="n"/>
      <c r="X262" s="350">
        <f>IF(AC262&lt;&gt;"","S"&amp;TEXT(WEEKNUM(AC262,21),"00"),"")</f>
        <v/>
      </c>
      <c r="Y262" s="350">
        <f>IF(Data!$AC262="","",YEAR(Data!$AC262))</f>
        <v/>
      </c>
      <c r="Z262" s="350">
        <f>IF(Data!$AC262="","",MONTH(Data!$AC262))</f>
        <v/>
      </c>
      <c r="AA262" s="310" t="n"/>
      <c r="AB262" s="312" t="n"/>
      <c r="AC262" s="310" t="n"/>
      <c r="AD262" s="732" t="n"/>
      <c r="AE262" s="310" t="n"/>
      <c r="AF262" s="302" t="n"/>
      <c r="AH262" s="347" t="n"/>
      <c r="AK262" s="347" t="n"/>
      <c r="AM262" s="347" t="n"/>
      <c r="AN262" s="350" t="n"/>
      <c r="AO262" s="347" t="n"/>
      <c r="AQ262" s="347" t="n"/>
      <c r="AS262" s="347" t="n"/>
      <c r="AV262" s="731">
        <f>IF(AT262="","",S262-AT262-AU262)</f>
        <v/>
      </c>
      <c r="AW262" s="331">
        <f>IFERROR(IF(tbl_DCFC[[#This Row],[F Montant HT]]="","",tbl_DCFC[[#This Row],[Marge]]/tbl_DCFC[[#This Row],[F Montant HT]]),"")</f>
        <v/>
      </c>
    </row>
    <row r="263" ht="15" customHeight="1" s="701">
      <c r="A263" s="744" t="n"/>
      <c r="B263" s="347">
        <f>IFERROR(INDEX(Tabelle2[BU],MATCH(tbl_DCFC[[#This Row],[Categorie]],CAT,0)),"")</f>
        <v/>
      </c>
      <c r="C263" s="350">
        <f>IF(D263&lt;&gt;"","S"&amp;TEXT(WEEKNUM(D263,21),"00"),"")</f>
        <v/>
      </c>
      <c r="D263" s="744" t="n"/>
      <c r="E263" s="312" t="n"/>
      <c r="F263" s="350" t="n"/>
      <c r="G263" s="350" t="n"/>
      <c r="H263" s="350" t="n"/>
      <c r="I263" s="745" t="n"/>
      <c r="J263" s="350" t="n"/>
      <c r="K263" s="350" t="n"/>
      <c r="L263" s="350" t="n"/>
      <c r="M263" s="347" t="n"/>
      <c r="N263" s="350">
        <f>IF(Q263&lt;&gt;"","S"&amp;TEXT(WEEKNUM(Q263,21),"00"),"")</f>
        <v/>
      </c>
      <c r="O263" s="350">
        <f>IF(Data!$Q263="","",YEAR(Data!$Q263))</f>
        <v/>
      </c>
      <c r="P263" s="350">
        <f>IF(Data!$Q263="","",MONTH(Data!$Q263))</f>
        <v/>
      </c>
      <c r="Q263" s="310" t="n"/>
      <c r="S263" s="732" t="n"/>
      <c r="T263" s="733" t="n"/>
      <c r="U263" s="734" t="n"/>
      <c r="V263" s="347" t="n"/>
      <c r="W263" s="310" t="n"/>
      <c r="X263" s="350">
        <f>IF(AC263&lt;&gt;"","S"&amp;TEXT(WEEKNUM(AC263,21),"00"),"")</f>
        <v/>
      </c>
      <c r="Y263" s="350">
        <f>IF(Data!$AC263="","",YEAR(Data!$AC263))</f>
        <v/>
      </c>
      <c r="Z263" s="350">
        <f>IF(Data!$AC263="","",MONTH(Data!$AC263))</f>
        <v/>
      </c>
      <c r="AA263" s="310" t="n"/>
      <c r="AB263" s="312" t="n"/>
      <c r="AC263" s="310" t="n"/>
      <c r="AD263" s="732" t="n"/>
      <c r="AE263" s="310" t="n"/>
      <c r="AF263" s="302" t="n"/>
      <c r="AH263" s="347" t="n"/>
      <c r="AK263" s="347" t="n"/>
      <c r="AM263" s="347" t="n"/>
      <c r="AN263" s="350" t="n"/>
      <c r="AO263" s="347" t="n"/>
      <c r="AQ263" s="347" t="n"/>
      <c r="AS263" s="347" t="n"/>
      <c r="AV263" s="731">
        <f>IF(AT263="","",S263-AT263-AU263)</f>
        <v/>
      </c>
      <c r="AW263" s="331">
        <f>IFERROR(IF(tbl_DCFC[[#This Row],[F Montant HT]]="","",tbl_DCFC[[#This Row],[Marge]]/tbl_DCFC[[#This Row],[F Montant HT]]),"")</f>
        <v/>
      </c>
    </row>
    <row r="264" ht="15" customHeight="1" s="701">
      <c r="A264" s="744" t="n"/>
      <c r="B264" s="347">
        <f>IFERROR(INDEX(Tabelle2[BU],MATCH(tbl_DCFC[[#This Row],[Categorie]],CAT,0)),"")</f>
        <v/>
      </c>
      <c r="C264" s="350">
        <f>IF(D264&lt;&gt;"","S"&amp;TEXT(WEEKNUM(D264,21),"00"),"")</f>
        <v/>
      </c>
      <c r="D264" s="744" t="n"/>
      <c r="E264" s="312" t="n"/>
      <c r="F264" s="350" t="n"/>
      <c r="G264" s="350" t="n"/>
      <c r="H264" s="350" t="n"/>
      <c r="I264" s="745" t="n"/>
      <c r="J264" s="350" t="n"/>
      <c r="K264" s="350" t="n"/>
      <c r="L264" s="350" t="n"/>
      <c r="M264" s="347" t="n"/>
      <c r="N264" s="350">
        <f>IF(Q264&lt;&gt;"","S"&amp;TEXT(WEEKNUM(Q264,21),"00"),"")</f>
        <v/>
      </c>
      <c r="O264" s="350">
        <f>IF(Data!$Q264="","",YEAR(Data!$Q264))</f>
        <v/>
      </c>
      <c r="P264" s="350">
        <f>IF(Data!$Q264="","",MONTH(Data!$Q264))</f>
        <v/>
      </c>
      <c r="Q264" s="310" t="n"/>
      <c r="S264" s="732" t="n"/>
      <c r="T264" s="733" t="n"/>
      <c r="U264" s="734" t="n"/>
      <c r="V264" s="347" t="n"/>
      <c r="W264" s="310" t="n"/>
      <c r="X264" s="350">
        <f>IF(AC264&lt;&gt;"","S"&amp;TEXT(WEEKNUM(AC264,21),"00"),"")</f>
        <v/>
      </c>
      <c r="Y264" s="350">
        <f>IF(Data!$AC264="","",YEAR(Data!$AC264))</f>
        <v/>
      </c>
      <c r="Z264" s="350">
        <f>IF(Data!$AC264="","",MONTH(Data!$AC264))</f>
        <v/>
      </c>
      <c r="AA264" s="310" t="n"/>
      <c r="AB264" s="312" t="n"/>
      <c r="AC264" s="310" t="n"/>
      <c r="AD264" s="732" t="n"/>
      <c r="AE264" s="310" t="n"/>
      <c r="AF264" s="302" t="n"/>
      <c r="AH264" s="347" t="n"/>
      <c r="AK264" s="347" t="n"/>
      <c r="AM264" s="347" t="n"/>
      <c r="AN264" s="350" t="n"/>
      <c r="AO264" s="347" t="n"/>
      <c r="AQ264" s="347" t="n"/>
      <c r="AS264" s="347" t="n"/>
      <c r="AV264">
        <f>IF(AT264="","",S264-AT264-AU264)</f>
        <v/>
      </c>
      <c r="AW264">
        <f>IFERROR(IF(tbl_DCFC[[#This Row],[F Montant HT]]="","",tbl_DCFC[[#This Row],[Marge]]/tbl_DCFC[[#This Row],[F Montant HT]]),"")</f>
        <v/>
      </c>
    </row>
    <row r="265" ht="15" customHeight="1" s="701">
      <c r="A265" s="744" t="n"/>
      <c r="B265" s="347">
        <f>IFERROR(INDEX(Tabelle2[BU],MATCH(tbl_DCFC[[#This Row],[Categorie]],CAT,0)),"")</f>
        <v/>
      </c>
      <c r="C265" s="350">
        <f>IF(D265&lt;&gt;"","S"&amp;TEXT(WEEKNUM(D265,21),"00"),"")</f>
        <v/>
      </c>
      <c r="D265" s="744" t="n"/>
      <c r="E265" s="312" t="n"/>
      <c r="F265" s="350" t="n"/>
      <c r="G265" s="350" t="n"/>
      <c r="H265" s="350" t="n"/>
      <c r="I265" s="745" t="n"/>
      <c r="J265" s="350" t="n"/>
      <c r="K265" s="350" t="n"/>
      <c r="L265" s="350" t="n"/>
      <c r="M265" s="347" t="n"/>
      <c r="N265" s="350">
        <f>IF(Q265&lt;&gt;"","S"&amp;TEXT(WEEKNUM(Q265,21),"00"),"")</f>
        <v/>
      </c>
      <c r="O265" s="350">
        <f>IF(Data!$Q265="","",YEAR(Data!$Q265))</f>
        <v/>
      </c>
      <c r="P265" s="350">
        <f>IF(Data!$Q265="","",MONTH(Data!$Q265))</f>
        <v/>
      </c>
      <c r="Q265" s="310" t="n"/>
      <c r="S265" s="732" t="n"/>
      <c r="T265" s="733" t="n"/>
      <c r="U265" s="734" t="n"/>
      <c r="V265" s="347" t="n"/>
      <c r="W265" s="310" t="n"/>
      <c r="X265" s="350">
        <f>IF(AC265&lt;&gt;"","S"&amp;TEXT(WEEKNUM(AC265,21),"00"),"")</f>
        <v/>
      </c>
      <c r="Y265" s="350">
        <f>IF(Data!$AC265="","",YEAR(Data!$AC265))</f>
        <v/>
      </c>
      <c r="Z265" s="350">
        <f>IF(Data!$AC265="","",MONTH(Data!$AC265))</f>
        <v/>
      </c>
      <c r="AA265" s="310" t="n"/>
      <c r="AB265" s="312" t="n"/>
      <c r="AC265" s="310" t="n"/>
      <c r="AD265" s="732" t="n"/>
      <c r="AE265" s="310" t="n"/>
      <c r="AF265" s="302" t="n"/>
      <c r="AH265" s="347" t="n"/>
      <c r="AK265" s="347" t="n"/>
      <c r="AM265" s="347" t="n"/>
      <c r="AN265" s="350" t="n"/>
      <c r="AO265" s="347" t="n"/>
      <c r="AQ265" s="347" t="n"/>
      <c r="AS265" s="347" t="n"/>
      <c r="AV265">
        <f>IF(AT265="","",S265-AT265-AU265)</f>
        <v/>
      </c>
      <c r="AW265">
        <f>IFERROR(IF(tbl_DCFC[[#This Row],[F Montant HT]]="","",tbl_DCFC[[#This Row],[Marge]]/tbl_DCFC[[#This Row],[F Montant HT]]),"")</f>
        <v/>
      </c>
    </row>
    <row r="266" ht="15" customHeight="1" s="701">
      <c r="A266" s="744" t="n"/>
      <c r="B266" s="347">
        <f>IFERROR(INDEX(Tabelle2[BU],MATCH(tbl_DCFC[[#This Row],[Categorie]],CAT,0)),"")</f>
        <v/>
      </c>
      <c r="C266" s="350">
        <f>IF(D266&lt;&gt;"","S"&amp;TEXT(WEEKNUM(D266,21),"00"),"")</f>
        <v/>
      </c>
      <c r="D266" s="744" t="n"/>
      <c r="E266" s="312" t="n"/>
      <c r="F266" s="350" t="n"/>
      <c r="G266" s="350" t="n"/>
      <c r="H266" s="350" t="n"/>
      <c r="I266" s="745" t="n"/>
      <c r="J266" s="350" t="n"/>
      <c r="K266" s="350" t="n"/>
      <c r="L266" s="350" t="n"/>
      <c r="M266" s="347" t="n"/>
      <c r="N266" s="350">
        <f>IF(Q266&lt;&gt;"","S"&amp;TEXT(WEEKNUM(Q266,21),"00"),"")</f>
        <v/>
      </c>
      <c r="O266" s="350">
        <f>IF(Data!$Q266="","",YEAR(Data!$Q266))</f>
        <v/>
      </c>
      <c r="P266" s="350">
        <f>IF(Data!$Q266="","",MONTH(Data!$Q266))</f>
        <v/>
      </c>
      <c r="Q266" s="310" t="n"/>
      <c r="S266" s="732" t="n"/>
      <c r="T266" s="733" t="n"/>
      <c r="U266" s="734" t="n"/>
      <c r="V266" s="347" t="n"/>
      <c r="W266" s="310" t="n"/>
      <c r="X266" s="350">
        <f>IF(AC266&lt;&gt;"","S"&amp;TEXT(WEEKNUM(AC266,21),"00"),"")</f>
        <v/>
      </c>
      <c r="Y266" s="350">
        <f>IF(Data!$AC266="","",YEAR(Data!$AC266))</f>
        <v/>
      </c>
      <c r="Z266" s="350">
        <f>IF(Data!$AC266="","",MONTH(Data!$AC266))</f>
        <v/>
      </c>
      <c r="AA266" s="310" t="n"/>
      <c r="AB266" s="312" t="n"/>
      <c r="AC266" s="310" t="n"/>
      <c r="AD266" s="732" t="n"/>
      <c r="AE266" s="310" t="n"/>
      <c r="AF266" s="302" t="n"/>
      <c r="AH266" s="347" t="n"/>
      <c r="AK266" s="347" t="n"/>
      <c r="AM266" s="347" t="n"/>
      <c r="AN266" s="350" t="n"/>
      <c r="AO266" s="347" t="n"/>
      <c r="AQ266" s="347" t="n"/>
      <c r="AS266" s="347" t="n"/>
      <c r="AV266">
        <f>IF(AT266="","",S266-AT266-AU266)</f>
        <v/>
      </c>
      <c r="AW266">
        <f>IFERROR(IF(tbl_DCFC[[#This Row],[F Montant HT]]="","",tbl_DCFC[[#This Row],[Marge]]/tbl_DCFC[[#This Row],[F Montant HT]]),"")</f>
        <v/>
      </c>
    </row>
    <row r="267" ht="15" customHeight="1" s="701">
      <c r="A267" s="744" t="n"/>
      <c r="B267" s="347">
        <f>IFERROR(INDEX(Tabelle2[BU],MATCH(tbl_DCFC[[#This Row],[Categorie]],CAT,0)),"")</f>
        <v/>
      </c>
      <c r="C267" s="350">
        <f>IF(D267&lt;&gt;"","S"&amp;TEXT(WEEKNUM(D267,21),"00"),"")</f>
        <v/>
      </c>
      <c r="D267" s="744" t="n"/>
      <c r="E267" s="312" t="n"/>
      <c r="F267" s="350" t="n"/>
      <c r="G267" s="350" t="n"/>
      <c r="H267" s="350" t="n"/>
      <c r="I267" s="745" t="n"/>
      <c r="J267" s="350" t="n"/>
      <c r="K267" s="350" t="n"/>
      <c r="L267" s="350" t="n"/>
      <c r="M267" s="347" t="n"/>
      <c r="N267" s="350">
        <f>IF(Q267&lt;&gt;"","S"&amp;TEXT(WEEKNUM(Q267,21),"00"),"")</f>
        <v/>
      </c>
      <c r="O267" s="350">
        <f>IF(Data!$Q267="","",YEAR(Data!$Q267))</f>
        <v/>
      </c>
      <c r="P267" s="350">
        <f>IF(Data!$Q267="","",MONTH(Data!$Q267))</f>
        <v/>
      </c>
      <c r="Q267" s="310" t="n"/>
      <c r="S267" s="732" t="n"/>
      <c r="T267" s="733" t="n"/>
      <c r="U267" s="734" t="n"/>
      <c r="V267" s="347" t="n"/>
      <c r="W267" s="310" t="n"/>
      <c r="X267" s="350">
        <f>IF(AC267&lt;&gt;"","S"&amp;TEXT(WEEKNUM(AC267,21),"00"),"")</f>
        <v/>
      </c>
      <c r="Y267" s="350">
        <f>IF(Data!$AC267="","",YEAR(Data!$AC267))</f>
        <v/>
      </c>
      <c r="Z267" s="350">
        <f>IF(Data!$AC267="","",MONTH(Data!$AC267))</f>
        <v/>
      </c>
      <c r="AA267" s="310" t="n"/>
      <c r="AB267" s="312" t="n"/>
      <c r="AC267" s="310" t="n"/>
      <c r="AD267" s="732" t="n"/>
      <c r="AE267" s="310" t="n"/>
      <c r="AF267" s="302" t="n"/>
      <c r="AH267" s="347" t="n"/>
      <c r="AK267" s="347" t="n"/>
      <c r="AM267" s="347" t="n"/>
      <c r="AN267" s="350" t="n"/>
      <c r="AO267" s="347" t="n"/>
      <c r="AQ267" s="347" t="n"/>
      <c r="AS267" s="347" t="n"/>
    </row>
    <row r="268" ht="15" customHeight="1" s="701">
      <c r="A268" s="744" t="n"/>
      <c r="B268" s="347">
        <f>IFERROR(INDEX(Tabelle2[BU],MATCH(tbl_DCFC[[#This Row],[Categorie]],CAT,0)),"")</f>
        <v/>
      </c>
      <c r="C268" s="350">
        <f>IF(D268&lt;&gt;"","S"&amp;TEXT(WEEKNUM(D268,21),"00"),"")</f>
        <v/>
      </c>
      <c r="D268" s="744" t="n"/>
      <c r="E268" s="312" t="n"/>
      <c r="F268" s="350" t="n"/>
      <c r="G268" s="350" t="n"/>
      <c r="H268" s="350" t="n"/>
      <c r="I268" s="745" t="n"/>
      <c r="J268" s="350" t="n"/>
      <c r="K268" s="350" t="n"/>
      <c r="L268" s="350" t="n"/>
      <c r="M268" s="347" t="n"/>
      <c r="N268" s="350">
        <f>IF(Q268&lt;&gt;"","S"&amp;TEXT(WEEKNUM(Q268,21),"00"),"")</f>
        <v/>
      </c>
      <c r="O268" s="350">
        <f>IF(Data!$Q268="","",YEAR(Data!$Q268))</f>
        <v/>
      </c>
      <c r="P268" s="350">
        <f>IF(Data!$Q268="","",MONTH(Data!$Q268))</f>
        <v/>
      </c>
      <c r="Q268" s="310" t="n"/>
      <c r="S268" s="732" t="n"/>
      <c r="T268" s="733" t="n"/>
      <c r="U268" s="734" t="n"/>
      <c r="V268" s="347" t="n"/>
      <c r="W268" s="310" t="n"/>
      <c r="X268" s="350">
        <f>IF(AC268&lt;&gt;"","S"&amp;TEXT(WEEKNUM(AC268,21),"00"),"")</f>
        <v/>
      </c>
      <c r="Y268" s="350">
        <f>IF(Data!$AC268="","",YEAR(Data!$AC268))</f>
        <v/>
      </c>
      <c r="Z268" s="350">
        <f>IF(Data!$AC268="","",MONTH(Data!$AC268))</f>
        <v/>
      </c>
      <c r="AA268" s="310" t="n"/>
      <c r="AB268" s="312" t="n"/>
      <c r="AC268" s="310" t="n"/>
      <c r="AD268" s="732" t="n"/>
      <c r="AE268" s="310" t="n"/>
      <c r="AF268" s="302" t="n"/>
      <c r="AH268" s="347" t="n"/>
      <c r="AK268" s="347" t="n"/>
      <c r="AM268" s="347" t="n"/>
      <c r="AN268" s="350" t="n"/>
      <c r="AO268" s="347" t="n"/>
      <c r="AQ268" s="347" t="n"/>
      <c r="AS268" s="347" t="n"/>
    </row>
    <row r="269" ht="15" customHeight="1" s="701">
      <c r="A269" s="744" t="n"/>
      <c r="B269" s="347">
        <f>IFERROR(INDEX(Tabelle2[BU],MATCH(tbl_DCFC[[#This Row],[Categorie]],CAT,0)),"")</f>
        <v/>
      </c>
      <c r="C269" s="350">
        <f>IF(D269&lt;&gt;"","S"&amp;TEXT(WEEKNUM(D269,21),"00"),"")</f>
        <v/>
      </c>
      <c r="D269" s="744" t="n"/>
      <c r="E269" s="312" t="n"/>
      <c r="F269" s="350" t="n"/>
      <c r="G269" s="350" t="n"/>
      <c r="H269" s="350" t="n"/>
      <c r="I269" s="745" t="n"/>
      <c r="J269" s="350" t="n"/>
      <c r="K269" s="350" t="n"/>
      <c r="L269" s="350" t="n"/>
      <c r="M269" s="347" t="n"/>
      <c r="N269" s="350">
        <f>IF(Q269&lt;&gt;"","S"&amp;TEXT(WEEKNUM(Q269,21),"00"),"")</f>
        <v/>
      </c>
      <c r="O269" s="350">
        <f>IF(Data!$Q269="","",YEAR(Data!$Q269))</f>
        <v/>
      </c>
      <c r="P269" s="350">
        <f>IF(Data!$Q269="","",MONTH(Data!$Q269))</f>
        <v/>
      </c>
      <c r="Q269" s="310" t="n"/>
      <c r="S269" s="732" t="n"/>
      <c r="T269" s="733" t="n"/>
      <c r="U269" s="734" t="n"/>
      <c r="V269" s="347" t="n"/>
      <c r="W269" s="310" t="n"/>
      <c r="X269" s="350">
        <f>IF(AC269&lt;&gt;"","S"&amp;TEXT(WEEKNUM(AC269,21),"00"),"")</f>
        <v/>
      </c>
      <c r="Y269" s="350">
        <f>IF(Data!$AC269="","",YEAR(Data!$AC269))</f>
        <v/>
      </c>
      <c r="Z269" s="350">
        <f>IF(Data!$AC269="","",MONTH(Data!$AC269))</f>
        <v/>
      </c>
      <c r="AA269" s="310" t="n"/>
      <c r="AB269" s="312" t="n"/>
      <c r="AC269" s="310" t="n"/>
      <c r="AD269" s="732" t="n"/>
      <c r="AE269" s="310" t="n"/>
      <c r="AF269" s="302" t="n"/>
      <c r="AH269" s="347" t="n"/>
      <c r="AK269" s="347" t="n"/>
      <c r="AM269" s="347" t="n"/>
      <c r="AN269" s="350" t="n"/>
      <c r="AO269" s="347" t="n"/>
      <c r="AQ269" s="347" t="n"/>
      <c r="AS269" s="347" t="n"/>
    </row>
    <row r="270" ht="15" customHeight="1" s="701">
      <c r="A270" s="744" t="n"/>
      <c r="B270" s="347">
        <f>IFERROR(INDEX(Tabelle2[BU],MATCH(tbl_DCFC[[#This Row],[Categorie]],CAT,0)),"")</f>
        <v/>
      </c>
      <c r="C270" s="350">
        <f>IF(D270&lt;&gt;"","S"&amp;TEXT(WEEKNUM(D270,21),"00"),"")</f>
        <v/>
      </c>
      <c r="D270" s="744" t="n"/>
      <c r="E270" s="312" t="n"/>
      <c r="F270" s="350" t="n"/>
      <c r="G270" s="350" t="n"/>
      <c r="H270" s="350" t="n"/>
      <c r="I270" s="745" t="n"/>
      <c r="J270" s="350" t="n"/>
      <c r="K270" s="350" t="n"/>
      <c r="L270" s="350" t="n"/>
      <c r="M270" s="347" t="n"/>
      <c r="N270" s="350">
        <f>IF(Q270&lt;&gt;"","S"&amp;TEXT(WEEKNUM(Q270,21),"00"),"")</f>
        <v/>
      </c>
      <c r="O270" s="350">
        <f>IF(Data!$Q270="","",YEAR(Data!$Q270))</f>
        <v/>
      </c>
      <c r="P270" s="350">
        <f>IF(Data!$Q270="","",MONTH(Data!$Q270))</f>
        <v/>
      </c>
      <c r="Q270" s="310" t="n"/>
      <c r="S270" s="732" t="n"/>
      <c r="T270" s="733" t="n"/>
      <c r="U270" s="734" t="n"/>
      <c r="V270" s="347" t="n"/>
      <c r="W270" s="310" t="n"/>
      <c r="X270" s="350">
        <f>IF(AC270&lt;&gt;"","S"&amp;TEXT(WEEKNUM(AC270,21),"00"),"")</f>
        <v/>
      </c>
      <c r="Y270" s="350">
        <f>IF(Data!$AC270="","",YEAR(Data!$AC270))</f>
        <v/>
      </c>
      <c r="Z270" s="350">
        <f>IF(Data!$AC270="","",MONTH(Data!$AC270))</f>
        <v/>
      </c>
      <c r="AA270" s="310" t="n"/>
      <c r="AB270" s="312" t="n"/>
      <c r="AC270" s="310" t="n"/>
      <c r="AD270" s="732" t="n"/>
      <c r="AE270" s="310" t="n"/>
      <c r="AF270" s="302" t="n"/>
      <c r="AH270" s="347" t="n"/>
      <c r="AK270" s="347" t="n"/>
      <c r="AM270" s="347" t="n"/>
      <c r="AN270" s="350" t="n"/>
      <c r="AO270" s="347" t="n"/>
      <c r="AQ270" s="347" t="n"/>
      <c r="AS270" s="347" t="n"/>
    </row>
    <row r="271" ht="15" customHeight="1" s="701">
      <c r="A271" s="744" t="n"/>
      <c r="B271" s="347">
        <f>IFERROR(INDEX(Tabelle2[BU],MATCH(tbl_DCFC[[#This Row],[Categorie]],CAT,0)),"")</f>
        <v/>
      </c>
      <c r="C271" s="350">
        <f>IF(D271&lt;&gt;"","S"&amp;TEXT(WEEKNUM(D271,21),"00"),"")</f>
        <v/>
      </c>
      <c r="D271" s="744" t="n"/>
      <c r="E271" s="312" t="n"/>
      <c r="F271" s="350" t="n"/>
      <c r="G271" s="350" t="n"/>
      <c r="H271" s="350" t="n"/>
      <c r="I271" s="745" t="n"/>
      <c r="J271" s="350" t="n"/>
      <c r="K271" s="350" t="n"/>
      <c r="L271" s="350" t="n"/>
      <c r="M271" s="347" t="n"/>
      <c r="N271" s="350">
        <f>IF(Q271&lt;&gt;"","S"&amp;TEXT(WEEKNUM(Q271,21),"00"),"")</f>
        <v/>
      </c>
      <c r="O271" s="350">
        <f>IF(Data!$Q271="","",YEAR(Data!$Q271))</f>
        <v/>
      </c>
      <c r="P271" s="350">
        <f>IF(Data!$Q271="","",MONTH(Data!$Q271))</f>
        <v/>
      </c>
      <c r="Q271" s="310" t="n"/>
      <c r="S271" s="732" t="n"/>
      <c r="T271" s="733" t="n"/>
      <c r="U271" s="734" t="n"/>
      <c r="V271" s="347" t="n"/>
      <c r="W271" s="310" t="n"/>
      <c r="X271" s="350">
        <f>IF(AC271&lt;&gt;"","S"&amp;TEXT(WEEKNUM(AC271,21),"00"),"")</f>
        <v/>
      </c>
      <c r="Y271" s="350">
        <f>IF(Data!$AC271="","",YEAR(Data!$AC271))</f>
        <v/>
      </c>
      <c r="Z271" s="350">
        <f>IF(Data!$AC271="","",MONTH(Data!$AC271))</f>
        <v/>
      </c>
      <c r="AA271" s="310" t="n"/>
      <c r="AB271" s="312" t="n"/>
      <c r="AC271" s="310" t="n"/>
      <c r="AD271" s="732" t="n"/>
      <c r="AE271" s="310" t="n"/>
      <c r="AF271" s="302" t="n"/>
      <c r="AH271" s="347" t="n"/>
      <c r="AK271" s="347" t="n"/>
      <c r="AM271" s="347" t="n"/>
      <c r="AN271" s="350" t="n"/>
      <c r="AO271" s="347" t="n"/>
      <c r="AQ271" s="347" t="n"/>
      <c r="AS271" s="347" t="n"/>
    </row>
    <row r="272" ht="15" customHeight="1" s="701">
      <c r="A272" s="744" t="n"/>
      <c r="B272" s="347">
        <f>IFERROR(INDEX(Tabelle2[BU],MATCH(tbl_DCFC[[#This Row],[Categorie]],CAT,0)),"")</f>
        <v/>
      </c>
      <c r="C272" s="350">
        <f>IF(D272&lt;&gt;"","S"&amp;TEXT(WEEKNUM(D272,21),"00"),"")</f>
        <v/>
      </c>
      <c r="D272" s="744" t="n"/>
      <c r="E272" s="312" t="n"/>
      <c r="F272" s="350" t="n"/>
      <c r="G272" s="350" t="n"/>
      <c r="H272" s="350" t="n"/>
      <c r="I272" s="745" t="n"/>
      <c r="J272" s="350" t="n"/>
      <c r="K272" s="350" t="n"/>
      <c r="L272" s="350" t="n"/>
      <c r="M272" s="347" t="n"/>
      <c r="N272" s="350">
        <f>IF(Q272&lt;&gt;"","S"&amp;TEXT(WEEKNUM(Q272,21),"00"),"")</f>
        <v/>
      </c>
      <c r="O272" s="350">
        <f>IF(Data!$Q272="","",YEAR(Data!$Q272))</f>
        <v/>
      </c>
      <c r="P272" s="350">
        <f>IF(Data!$Q272="","",MONTH(Data!$Q272))</f>
        <v/>
      </c>
      <c r="Q272" s="310" t="n"/>
      <c r="S272" s="732" t="n"/>
      <c r="T272" s="733" t="n"/>
      <c r="U272" s="734" t="n"/>
      <c r="V272" s="347" t="n"/>
      <c r="W272" s="310" t="n"/>
      <c r="X272" s="350">
        <f>IF(AC272&lt;&gt;"","S"&amp;TEXT(WEEKNUM(AC272,21),"00"),"")</f>
        <v/>
      </c>
      <c r="Y272" s="350">
        <f>IF(Data!$AC272="","",YEAR(Data!$AC272))</f>
        <v/>
      </c>
      <c r="Z272" s="350">
        <f>IF(Data!$AC272="","",MONTH(Data!$AC272))</f>
        <v/>
      </c>
      <c r="AA272" s="310" t="n"/>
      <c r="AB272" s="312" t="n"/>
      <c r="AC272" s="310" t="n"/>
      <c r="AD272" s="732" t="n"/>
      <c r="AE272" s="310" t="n"/>
      <c r="AF272" s="302" t="n"/>
      <c r="AH272" s="347" t="n"/>
      <c r="AK272" s="347" t="n"/>
      <c r="AM272" s="347" t="n"/>
      <c r="AN272" s="350" t="n"/>
      <c r="AO272" s="347" t="n"/>
      <c r="AQ272" s="347" t="n"/>
      <c r="AS272" s="347" t="n"/>
    </row>
    <row r="273" ht="15" customHeight="1" s="701">
      <c r="A273" s="744" t="n"/>
      <c r="B273" s="347">
        <f>IFERROR(INDEX(Tabelle2[BU],MATCH(tbl_DCFC[[#This Row],[Categorie]],CAT,0)),"")</f>
        <v/>
      </c>
      <c r="C273" s="350">
        <f>IF(D273&lt;&gt;"","S"&amp;TEXT(WEEKNUM(D273,21),"00"),"")</f>
        <v/>
      </c>
      <c r="D273" s="744" t="n"/>
      <c r="E273" s="312" t="n"/>
      <c r="F273" s="350" t="n"/>
      <c r="G273" s="350" t="n"/>
      <c r="H273" s="350" t="n"/>
      <c r="I273" s="745" t="n"/>
      <c r="J273" s="350" t="n"/>
      <c r="K273" s="350" t="n"/>
      <c r="L273" s="350" t="n"/>
      <c r="M273" s="347" t="n"/>
      <c r="N273" s="350">
        <f>IF(Q273&lt;&gt;"","S"&amp;TEXT(WEEKNUM(Q273,21),"00"),"")</f>
        <v/>
      </c>
      <c r="O273" s="350">
        <f>IF(Data!$Q273="","",YEAR(Data!$Q273))</f>
        <v/>
      </c>
      <c r="P273" s="350">
        <f>IF(Data!$Q273="","",MONTH(Data!$Q273))</f>
        <v/>
      </c>
      <c r="Q273" s="310" t="n"/>
      <c r="S273" s="732" t="n"/>
      <c r="T273" s="733" t="n"/>
      <c r="U273" s="734" t="n"/>
      <c r="V273" s="347" t="n"/>
      <c r="W273" s="310" t="n"/>
      <c r="X273" s="350">
        <f>IF(AC273&lt;&gt;"","S"&amp;TEXT(WEEKNUM(AC273,21),"00"),"")</f>
        <v/>
      </c>
      <c r="Y273" s="350">
        <f>IF(Data!$AC273="","",YEAR(Data!$AC273))</f>
        <v/>
      </c>
      <c r="Z273" s="350">
        <f>IF(Data!$AC273="","",MONTH(Data!$AC273))</f>
        <v/>
      </c>
      <c r="AA273" s="310" t="n"/>
      <c r="AB273" s="312" t="n"/>
      <c r="AC273" s="310" t="n"/>
      <c r="AD273" s="732" t="n"/>
      <c r="AE273" s="310" t="n"/>
      <c r="AF273" s="302" t="n"/>
      <c r="AH273" s="347" t="n"/>
      <c r="AK273" s="347" t="n"/>
      <c r="AM273" s="347" t="n"/>
      <c r="AN273" s="350" t="n"/>
      <c r="AO273" s="347" t="n"/>
      <c r="AQ273" s="347" t="n"/>
      <c r="AS273" s="347" t="n"/>
      <c r="AV273">
        <f>IF(AT273="","",S273-AT273-AU273)</f>
        <v/>
      </c>
      <c r="AW273">
        <f>IFERROR(IF(tbl_DCFC[[#This Row],[F Montant HT]]="","",tbl_DCFC[[#This Row],[Marge]]/tbl_DCFC[[#This Row],[F Montant HT]]),"")</f>
        <v/>
      </c>
    </row>
    <row r="274" ht="15" customHeight="1" s="701">
      <c r="A274" s="744" t="n"/>
      <c r="B274" s="347">
        <f>IFERROR(INDEX(Tabelle2[BU],MATCH(tbl_DCFC[[#This Row],[Categorie]],CAT,0)),"")</f>
        <v/>
      </c>
      <c r="C274" s="350">
        <f>IF(D274&lt;&gt;"","S"&amp;TEXT(WEEKNUM(D274,21),"00"),"")</f>
        <v/>
      </c>
      <c r="D274" s="744" t="n"/>
      <c r="E274" s="312" t="n"/>
      <c r="F274" s="350" t="n"/>
      <c r="G274" s="350" t="n"/>
      <c r="H274" s="350" t="n"/>
      <c r="I274" s="745" t="n"/>
      <c r="J274" s="350" t="n"/>
      <c r="K274" s="350" t="n"/>
      <c r="L274" s="350" t="n"/>
      <c r="M274" s="347" t="n"/>
      <c r="N274" s="350">
        <f>IF(Q274&lt;&gt;"","S"&amp;TEXT(WEEKNUM(Q274,21),"00"),"")</f>
        <v/>
      </c>
      <c r="O274" s="350">
        <f>IF(Data!$Q274="","",YEAR(Data!$Q274))</f>
        <v/>
      </c>
      <c r="P274" s="350">
        <f>IF(Data!$Q274="","",MONTH(Data!$Q274))</f>
        <v/>
      </c>
      <c r="Q274" s="310" t="n"/>
      <c r="S274" s="732" t="n"/>
      <c r="T274" s="733" t="n"/>
      <c r="U274" s="734" t="n"/>
      <c r="V274" s="347" t="n"/>
      <c r="W274" s="310" t="n"/>
      <c r="X274" s="350">
        <f>IF(AC274&lt;&gt;"","S"&amp;TEXT(WEEKNUM(AC274,21),"00"),"")</f>
        <v/>
      </c>
      <c r="Y274" s="350">
        <f>IF(Data!$AC274="","",YEAR(Data!$AC274))</f>
        <v/>
      </c>
      <c r="Z274" s="350">
        <f>IF(Data!$AC274="","",MONTH(Data!$AC274))</f>
        <v/>
      </c>
      <c r="AA274" s="310" t="n"/>
      <c r="AB274" s="312" t="n"/>
      <c r="AC274" s="310" t="n"/>
      <c r="AD274" s="732" t="n"/>
      <c r="AE274" s="310" t="n"/>
      <c r="AF274" s="302" t="n"/>
      <c r="AH274" s="347" t="n"/>
      <c r="AK274" s="347" t="n"/>
      <c r="AM274" s="347" t="n"/>
      <c r="AN274" s="350" t="n"/>
      <c r="AO274" s="347" t="n"/>
      <c r="AQ274" s="347" t="n"/>
      <c r="AS274" s="347" t="n"/>
    </row>
    <row r="275" ht="14.4" customHeight="1" s="701">
      <c r="A275" s="744" t="n"/>
      <c r="B275" s="347">
        <f>IFERROR(INDEX(Tabelle2[BU],MATCH(tbl_DCFC[[#This Row],[Categorie]],CAT,0)),"")</f>
        <v/>
      </c>
      <c r="C275" s="350">
        <f>IF(D275&lt;&gt;"","S"&amp;TEXT(WEEKNUM(D275,21),"00"),"")</f>
        <v/>
      </c>
      <c r="D275" s="744" t="n"/>
      <c r="E275" s="312" t="n"/>
      <c r="F275" s="350" t="n"/>
      <c r="G275" s="350" t="n"/>
      <c r="H275" s="350" t="n"/>
      <c r="I275" s="745" t="n"/>
      <c r="J275" s="350" t="n"/>
      <c r="K275" s="350" t="n"/>
      <c r="L275" s="350" t="n"/>
      <c r="M275" s="347" t="n"/>
      <c r="N275" s="350">
        <f>IF(Q275&lt;&gt;"","S"&amp;TEXT(WEEKNUM(Q275,21),"00"),"")</f>
        <v/>
      </c>
      <c r="O275" s="350">
        <f>IF(Data!$Q275="","",YEAR(Data!$Q275))</f>
        <v/>
      </c>
      <c r="P275" s="350">
        <f>IF(Data!$Q275="","",MONTH(Data!$Q275))</f>
        <v/>
      </c>
      <c r="Q275" s="310" t="n"/>
      <c r="S275" s="732" t="n"/>
      <c r="T275" s="733" t="n"/>
      <c r="U275" s="734" t="n"/>
      <c r="V275" s="347" t="n"/>
      <c r="W275" s="310" t="n"/>
      <c r="X275" s="350">
        <f>IF(AC275&lt;&gt;"","S"&amp;TEXT(WEEKNUM(AC275,21),"00"),"")</f>
        <v/>
      </c>
      <c r="Y275" s="350">
        <f>IF(Data!$AC275="","",YEAR(Data!$AC275))</f>
        <v/>
      </c>
      <c r="Z275" s="350">
        <f>IF(Data!$AC275="","",MONTH(Data!$AC275))</f>
        <v/>
      </c>
      <c r="AA275" s="310" t="n"/>
      <c r="AB275" s="312" t="n"/>
      <c r="AC275" s="310" t="n"/>
      <c r="AD275" s="732" t="n"/>
      <c r="AE275" s="310" t="n"/>
      <c r="AF275" s="302" t="n"/>
      <c r="AH275" s="347" t="n"/>
      <c r="AK275" s="347" t="n"/>
      <c r="AM275" s="347" t="n"/>
      <c r="AN275" s="350" t="n"/>
      <c r="AO275" s="347" t="n"/>
      <c r="AQ275" s="347" t="n"/>
      <c r="AS275" s="347" t="n"/>
    </row>
    <row r="276" ht="14.4" customHeight="1" s="701">
      <c r="A276" s="744" t="n"/>
      <c r="B276" s="347">
        <f>IFERROR(INDEX(Tabelle2[BU],MATCH(tbl_DCFC[[#This Row],[Categorie]],CAT,0)),"")</f>
        <v/>
      </c>
      <c r="C276" s="350">
        <f>IF(D276&lt;&gt;"","S"&amp;TEXT(WEEKNUM(D276,21),"00"),"")</f>
        <v/>
      </c>
      <c r="D276" s="744" t="n"/>
      <c r="E276" s="312" t="n"/>
      <c r="F276" s="350" t="n"/>
      <c r="G276" s="350" t="n"/>
      <c r="H276" s="350" t="n"/>
      <c r="I276" s="745" t="n"/>
      <c r="J276" s="350" t="n"/>
      <c r="K276" s="350" t="n"/>
      <c r="L276" s="350" t="n"/>
      <c r="M276" s="347" t="n"/>
      <c r="N276" s="350">
        <f>IF(Q276&lt;&gt;"","S"&amp;TEXT(WEEKNUM(Q276,21),"00"),"")</f>
        <v/>
      </c>
      <c r="O276" s="350">
        <f>IF(Data!$Q276="","",YEAR(Data!$Q276))</f>
        <v/>
      </c>
      <c r="P276" s="350">
        <f>IF(Data!$Q276="","",MONTH(Data!$Q276))</f>
        <v/>
      </c>
      <c r="Q276" s="310" t="n"/>
      <c r="S276" s="732" t="n"/>
      <c r="T276" s="733" t="n"/>
      <c r="U276" s="734" t="n"/>
      <c r="V276" s="347" t="n"/>
      <c r="W276" s="310" t="n"/>
      <c r="X276" s="350">
        <f>IF(AC276&lt;&gt;"","S"&amp;TEXT(WEEKNUM(AC276,21),"00"),"")</f>
        <v/>
      </c>
      <c r="Y276" s="350">
        <f>IF(Data!$AC276="","",YEAR(Data!$AC276))</f>
        <v/>
      </c>
      <c r="Z276" s="350">
        <f>IF(Data!$AC276="","",MONTH(Data!$AC276))</f>
        <v/>
      </c>
      <c r="AA276" s="310" t="n"/>
      <c r="AB276" s="312" t="n"/>
      <c r="AC276" s="310" t="n"/>
      <c r="AD276" s="732" t="n"/>
      <c r="AE276" s="310" t="n"/>
      <c r="AF276" s="302" t="n"/>
      <c r="AH276" s="347" t="n"/>
      <c r="AK276" s="347" t="n"/>
      <c r="AM276" s="347" t="n"/>
      <c r="AN276" s="350" t="n"/>
      <c r="AO276" s="347" t="n"/>
      <c r="AQ276" s="347" t="n"/>
      <c r="AS276" s="347" t="n"/>
    </row>
    <row r="277" ht="14.4" customHeight="1" s="701">
      <c r="A277" s="744" t="n"/>
      <c r="B277" s="347">
        <f>IFERROR(INDEX(Tabelle2[BU],MATCH(tbl_DCFC[[#This Row],[Categorie]],CAT,0)),"")</f>
        <v/>
      </c>
      <c r="C277" s="350">
        <f>IF(D277&lt;&gt;"","S"&amp;TEXT(WEEKNUM(D277,21),"00"),"")</f>
        <v/>
      </c>
      <c r="D277" s="744" t="n"/>
      <c r="E277" s="312" t="n"/>
      <c r="F277" s="350" t="n"/>
      <c r="G277" s="350" t="n"/>
      <c r="H277" s="350" t="n"/>
      <c r="I277" s="745" t="n"/>
      <c r="J277" s="350" t="n"/>
      <c r="K277" s="350" t="n"/>
      <c r="L277" s="350" t="n"/>
      <c r="M277" s="347" t="n"/>
      <c r="N277" s="350">
        <f>IF(Q277&lt;&gt;"","S"&amp;TEXT(WEEKNUM(Q277,21),"00"),"")</f>
        <v/>
      </c>
      <c r="O277" s="350">
        <f>IF(Data!$Q277="","",YEAR(Data!$Q277))</f>
        <v/>
      </c>
      <c r="P277" s="350">
        <f>IF(Data!$Q277="","",MONTH(Data!$Q277))</f>
        <v/>
      </c>
      <c r="Q277" s="310" t="n"/>
      <c r="S277" s="732" t="n"/>
      <c r="T277" s="733" t="n"/>
      <c r="U277" s="734" t="n"/>
      <c r="V277" s="347" t="n"/>
      <c r="W277" s="310" t="n"/>
      <c r="X277" s="350">
        <f>IF(AC277&lt;&gt;"","S"&amp;TEXT(WEEKNUM(AC277,21),"00"),"")</f>
        <v/>
      </c>
      <c r="Y277" s="350">
        <f>IF(Data!$AC277="","",YEAR(Data!$AC277))</f>
        <v/>
      </c>
      <c r="Z277" s="350">
        <f>IF(Data!$AC277="","",MONTH(Data!$AC277))</f>
        <v/>
      </c>
      <c r="AA277" s="310" t="n"/>
      <c r="AB277" s="312" t="n"/>
      <c r="AC277" s="310" t="n"/>
      <c r="AD277" s="732" t="n"/>
      <c r="AE277" s="310" t="n"/>
      <c r="AF277" s="302" t="n"/>
      <c r="AH277" s="347" t="n"/>
      <c r="AK277" s="347" t="n"/>
      <c r="AM277" s="347" t="n"/>
      <c r="AN277" s="350" t="n"/>
      <c r="AO277" s="347" t="n"/>
      <c r="AQ277" s="347" t="n"/>
      <c r="AS277" s="347" t="n"/>
    </row>
    <row r="278" ht="14.4" customHeight="1" s="701">
      <c r="A278" s="744" t="n"/>
      <c r="B278" s="347">
        <f>IFERROR(INDEX(Tabelle2[BU],MATCH(tbl_DCFC[[#This Row],[Categorie]],CAT,0)),"")</f>
        <v/>
      </c>
      <c r="C278" s="350">
        <f>IF(D278&lt;&gt;"","S"&amp;TEXT(WEEKNUM(D278,21),"00"),"")</f>
        <v/>
      </c>
      <c r="D278" s="744" t="n"/>
      <c r="E278" s="312" t="n"/>
      <c r="F278" s="350" t="n"/>
      <c r="G278" s="350" t="n"/>
      <c r="H278" s="350" t="n"/>
      <c r="I278" s="745" t="n"/>
      <c r="J278" s="350" t="n"/>
      <c r="K278" s="350" t="n"/>
      <c r="L278" s="350" t="n"/>
      <c r="M278" s="347" t="n"/>
      <c r="N278" s="350">
        <f>IF(Q278&lt;&gt;"","S"&amp;TEXT(WEEKNUM(Q278,21),"00"),"")</f>
        <v/>
      </c>
      <c r="O278" s="350">
        <f>IF(Data!$Q278="","",YEAR(Data!$Q278))</f>
        <v/>
      </c>
      <c r="P278" s="350">
        <f>IF(Data!$Q278="","",MONTH(Data!$Q278))</f>
        <v/>
      </c>
      <c r="Q278" s="310" t="n"/>
      <c r="S278" s="732" t="n"/>
      <c r="T278" s="733" t="n"/>
      <c r="U278" s="734" t="n"/>
      <c r="V278" s="347" t="n"/>
      <c r="W278" s="310" t="n"/>
      <c r="X278" s="350">
        <f>IF(AC278&lt;&gt;"","S"&amp;TEXT(WEEKNUM(AC278,21),"00"),"")</f>
        <v/>
      </c>
      <c r="Y278" s="350">
        <f>IF(Data!$AC278="","",YEAR(Data!$AC278))</f>
        <v/>
      </c>
      <c r="Z278" s="350">
        <f>IF(Data!$AC278="","",MONTH(Data!$AC278))</f>
        <v/>
      </c>
      <c r="AA278" s="310" t="n"/>
      <c r="AB278" s="312" t="n"/>
      <c r="AC278" s="310" t="n"/>
      <c r="AD278" s="732" t="n"/>
      <c r="AE278" s="310" t="n"/>
      <c r="AF278" s="302" t="n"/>
      <c r="AH278" s="347" t="n"/>
      <c r="AK278" s="347" t="n"/>
      <c r="AM278" s="347" t="n"/>
      <c r="AN278" s="350" t="n"/>
      <c r="AO278" s="347" t="n"/>
      <c r="AQ278" s="347" t="n"/>
      <c r="AS278" s="347" t="n"/>
    </row>
    <row r="279" ht="14.4" customHeight="1" s="701">
      <c r="A279" s="744" t="n"/>
      <c r="B279" s="347">
        <f>IFERROR(INDEX(Tabelle2[BU],MATCH(tbl_DCFC[[#This Row],[Categorie]],CAT,0)),"")</f>
        <v/>
      </c>
      <c r="C279" s="350">
        <f>IF(D279&lt;&gt;"","S"&amp;TEXT(WEEKNUM(D279,21),"00"),"")</f>
        <v/>
      </c>
      <c r="D279" s="744" t="n"/>
      <c r="E279" s="312" t="n"/>
      <c r="F279" s="350" t="n"/>
      <c r="G279" s="350" t="n"/>
      <c r="H279" s="350" t="n"/>
      <c r="I279" s="745" t="n"/>
      <c r="J279" s="350" t="n"/>
      <c r="K279" s="350" t="n"/>
      <c r="L279" s="350" t="n"/>
      <c r="M279" s="347" t="n"/>
      <c r="N279" s="350">
        <f>IF(Q279&lt;&gt;"","S"&amp;TEXT(WEEKNUM(Q279,21),"00"),"")</f>
        <v/>
      </c>
      <c r="O279" s="350">
        <f>IF(Data!$Q279="","",YEAR(Data!$Q279))</f>
        <v/>
      </c>
      <c r="P279" s="350">
        <f>IF(Data!$Q279="","",MONTH(Data!$Q279))</f>
        <v/>
      </c>
      <c r="Q279" s="310" t="n"/>
      <c r="S279" s="732" t="n"/>
      <c r="T279" s="733" t="n"/>
      <c r="U279" s="734" t="n"/>
      <c r="V279" s="347" t="n"/>
      <c r="W279" s="310" t="n"/>
      <c r="X279" s="350">
        <f>IF(AC279&lt;&gt;"","S"&amp;TEXT(WEEKNUM(AC279,21),"00"),"")</f>
        <v/>
      </c>
      <c r="Y279" s="350">
        <f>IF(Data!$AC279="","",YEAR(Data!$AC279))</f>
        <v/>
      </c>
      <c r="Z279" s="350">
        <f>IF(Data!$AC279="","",MONTH(Data!$AC279))</f>
        <v/>
      </c>
      <c r="AA279" s="310" t="n"/>
      <c r="AB279" s="312" t="n"/>
      <c r="AC279" s="310" t="n"/>
      <c r="AD279" s="732" t="n"/>
      <c r="AE279" s="310" t="n"/>
      <c r="AF279" s="302" t="n"/>
      <c r="AH279" s="347" t="n"/>
      <c r="AK279" s="347" t="n"/>
      <c r="AM279" s="347" t="n"/>
      <c r="AN279" s="350" t="n"/>
      <c r="AO279" s="347" t="n"/>
      <c r="AQ279" s="347" t="n"/>
      <c r="AS279" s="347" t="n"/>
      <c r="AV279">
        <f>IF(AT279="","",S279-AT279-AU279)</f>
        <v/>
      </c>
      <c r="AW279">
        <f>IFERROR(IF(tbl_DCFC[[#This Row],[F Montant HT]]="","",tbl_DCFC[[#This Row],[Marge]]/tbl_DCFC[[#This Row],[F Montant HT]]),"")</f>
        <v/>
      </c>
    </row>
    <row r="280" ht="14.4" customHeight="1" s="701">
      <c r="A280" s="744" t="n"/>
      <c r="B280" s="347">
        <f>IFERROR(INDEX(Tabelle2[BU],MATCH(tbl_DCFC[[#This Row],[Categorie]],CAT,0)),"")</f>
        <v/>
      </c>
      <c r="C280" s="350">
        <f>IF(D280&lt;&gt;"","S"&amp;TEXT(WEEKNUM(D280,21),"00"),"")</f>
        <v/>
      </c>
      <c r="D280" s="744" t="n"/>
      <c r="E280" s="332" t="n"/>
      <c r="F280" s="350" t="n"/>
      <c r="G280" s="350" t="n"/>
      <c r="H280" s="350" t="n"/>
      <c r="I280" s="745" t="n"/>
      <c r="J280" s="350" t="n"/>
      <c r="K280" s="350" t="n"/>
      <c r="L280" s="350" t="n"/>
      <c r="M280" s="347" t="n"/>
      <c r="N280" s="350">
        <f>IF(Q280&lt;&gt;"","S"&amp;TEXT(WEEKNUM(Q280,21),"00"),"")</f>
        <v/>
      </c>
      <c r="O280" s="350">
        <f>IF(Data!$Q280="","",YEAR(Data!$Q280))</f>
        <v/>
      </c>
      <c r="P280" s="350">
        <f>IF(Data!$Q280="","",MONTH(Data!$Q280))</f>
        <v/>
      </c>
      <c r="Q280" s="310" t="n"/>
      <c r="S280" s="732" t="n"/>
      <c r="T280" s="733" t="n"/>
      <c r="U280" s="734" t="n"/>
      <c r="V280" s="347" t="n"/>
      <c r="W280" s="310" t="n"/>
      <c r="X280" s="350">
        <f>IF(AC280&lt;&gt;"","S"&amp;TEXT(WEEKNUM(AC280,21),"00"),"")</f>
        <v/>
      </c>
      <c r="Y280" s="350">
        <f>IF(Data!$AC280="","",YEAR(Data!$AC280))</f>
        <v/>
      </c>
      <c r="Z280" s="350">
        <f>IF(Data!$AC280="","",MONTH(Data!$AC280))</f>
        <v/>
      </c>
      <c r="AA280" s="310" t="n"/>
      <c r="AB280" s="312" t="n"/>
      <c r="AC280" s="310" t="n"/>
      <c r="AD280" s="732" t="n"/>
      <c r="AE280" s="310" t="n"/>
      <c r="AF280" s="302" t="n"/>
      <c r="AH280" s="347" t="n"/>
      <c r="AK280" s="347" t="n"/>
      <c r="AM280" s="347" t="n"/>
      <c r="AN280" s="350" t="n"/>
      <c r="AO280" s="347" t="n"/>
      <c r="AQ280" s="347" t="n"/>
      <c r="AS280" s="347" t="n"/>
    </row>
    <row r="281" ht="14.4" customHeight="1" s="701">
      <c r="A281" s="744" t="n"/>
      <c r="B281" s="347">
        <f>IFERROR(INDEX(Tabelle2[BU],MATCH(tbl_DCFC[[#This Row],[Categorie]],CAT,0)),"")</f>
        <v/>
      </c>
      <c r="C281" s="350">
        <f>IF(D281&lt;&gt;"","S"&amp;TEXT(WEEKNUM(D281,21),"00"),"")</f>
        <v/>
      </c>
      <c r="D281" s="744" t="n"/>
      <c r="E281" s="312" t="n"/>
      <c r="F281" s="350" t="n"/>
      <c r="G281" s="350" t="n"/>
      <c r="H281" s="350" t="n"/>
      <c r="I281" s="745" t="n"/>
      <c r="J281" s="350" t="n"/>
      <c r="K281" s="350" t="n"/>
      <c r="L281" s="350" t="n"/>
      <c r="M281" s="347" t="n"/>
      <c r="N281" s="350">
        <f>IF(Q281&lt;&gt;"","S"&amp;TEXT(WEEKNUM(Q281,21),"00"),"")</f>
        <v/>
      </c>
      <c r="O281" s="350">
        <f>IF(Data!$Q281="","",YEAR(Data!$Q281))</f>
        <v/>
      </c>
      <c r="P281" s="350">
        <f>IF(Data!$Q281="","",MONTH(Data!$Q281))</f>
        <v/>
      </c>
      <c r="Q281" s="310" t="n"/>
      <c r="S281" s="732" t="n"/>
      <c r="T281" s="733" t="n"/>
      <c r="U281" s="734" t="n"/>
      <c r="V281" s="347" t="n"/>
      <c r="W281" s="310" t="n"/>
      <c r="X281" s="350">
        <f>IF(AC281&lt;&gt;"","S"&amp;TEXT(WEEKNUM(AC281,21),"00"),"")</f>
        <v/>
      </c>
      <c r="Y281" s="350">
        <f>IF(Data!$AC281="","",YEAR(Data!$AC281))</f>
        <v/>
      </c>
      <c r="Z281" s="350">
        <f>IF(Data!$AC281="","",MONTH(Data!$AC281))</f>
        <v/>
      </c>
      <c r="AA281" s="310" t="n"/>
      <c r="AB281" s="312" t="n"/>
      <c r="AC281" s="310" t="n"/>
      <c r="AD281" s="732" t="n"/>
      <c r="AE281" s="310" t="n"/>
      <c r="AF281" s="302" t="n"/>
      <c r="AH281" s="347" t="n"/>
      <c r="AK281" s="347" t="n"/>
      <c r="AM281" s="347" t="n"/>
      <c r="AN281" s="350" t="n"/>
      <c r="AO281" s="347" t="n"/>
      <c r="AQ281" s="347" t="n"/>
      <c r="AS281" s="347" t="n"/>
    </row>
    <row r="282" ht="14.4" customHeight="1" s="701">
      <c r="A282" s="744" t="n"/>
      <c r="B282" s="347">
        <f>IFERROR(INDEX(Tabelle2[BU],MATCH(tbl_DCFC[[#This Row],[Categorie]],CAT,0)),"")</f>
        <v/>
      </c>
      <c r="C282" s="350">
        <f>IF(D282&lt;&gt;"","S"&amp;TEXT(WEEKNUM(D282,21),"00"),"")</f>
        <v/>
      </c>
      <c r="D282" s="744" t="n"/>
      <c r="E282" s="312" t="n"/>
      <c r="F282" s="350" t="n"/>
      <c r="G282" s="350" t="n"/>
      <c r="H282" s="350" t="n"/>
      <c r="I282" s="745" t="n"/>
      <c r="J282" s="350" t="n"/>
      <c r="K282" s="350" t="n"/>
      <c r="L282" s="350" t="n"/>
      <c r="M282" s="347" t="n"/>
      <c r="N282" s="350">
        <f>IF(Q282&lt;&gt;"","S"&amp;TEXT(WEEKNUM(Q282,21),"00"),"")</f>
        <v/>
      </c>
      <c r="O282" s="350">
        <f>IF(Data!$Q282="","",YEAR(Data!$Q282))</f>
        <v/>
      </c>
      <c r="P282" s="350">
        <f>IF(Data!$Q282="","",MONTH(Data!$Q282))</f>
        <v/>
      </c>
      <c r="Q282" s="310" t="n"/>
      <c r="S282" s="732" t="n"/>
      <c r="T282" s="733" t="n"/>
      <c r="U282" s="734" t="n"/>
      <c r="V282" s="347" t="n"/>
      <c r="W282" s="310" t="n"/>
      <c r="X282" s="350">
        <f>IF(AC282&lt;&gt;"","S"&amp;TEXT(WEEKNUM(AC282,21),"00"),"")</f>
        <v/>
      </c>
      <c r="Y282" s="350">
        <f>IF(Data!$AC282="","",YEAR(Data!$AC282))</f>
        <v/>
      </c>
      <c r="Z282" s="350">
        <f>IF(Data!$AC282="","",MONTH(Data!$AC282))</f>
        <v/>
      </c>
      <c r="AA282" s="310" t="n"/>
      <c r="AB282" s="312" t="n"/>
      <c r="AC282" s="310" t="n"/>
      <c r="AD282" s="732" t="n"/>
      <c r="AE282" s="310" t="n"/>
      <c r="AF282" s="302" t="n"/>
      <c r="AH282" s="347" t="n"/>
      <c r="AK282" s="347" t="n"/>
      <c r="AM282" s="347" t="n"/>
      <c r="AN282" s="350" t="n"/>
      <c r="AO282" s="347" t="n"/>
      <c r="AQ282" s="347" t="n"/>
      <c r="AS282" s="347" t="n"/>
      <c r="AV282">
        <f>IF(AT282="","",S282-AT282-AU282)</f>
        <v/>
      </c>
      <c r="AW282">
        <f>IFERROR(IF(tbl_DCFC[[#This Row],[F Montant HT]]="","",tbl_DCFC[[#This Row],[Marge]]/tbl_DCFC[[#This Row],[F Montant HT]]),"")</f>
        <v/>
      </c>
    </row>
    <row r="283" ht="14.4" customHeight="1" s="701">
      <c r="A283" s="744" t="n"/>
      <c r="B283" s="347">
        <f>IFERROR(INDEX(Tabelle2[BU],MATCH(tbl_DCFC[[#This Row],[Categorie]],CAT,0)),"")</f>
        <v/>
      </c>
      <c r="C283" s="350">
        <f>IF(D283&lt;&gt;"","S"&amp;TEXT(WEEKNUM(D283,21),"00"),"")</f>
        <v/>
      </c>
      <c r="D283" s="744" t="n"/>
      <c r="E283" s="312" t="n"/>
      <c r="F283" s="350" t="n"/>
      <c r="G283" s="350" t="n"/>
      <c r="H283" s="350" t="n"/>
      <c r="I283" s="745" t="n"/>
      <c r="J283" s="350" t="n"/>
      <c r="K283" s="350" t="n"/>
      <c r="L283" s="350" t="n"/>
      <c r="M283" s="347" t="n"/>
      <c r="N283" s="350">
        <f>IF(Q283&lt;&gt;"","S"&amp;TEXT(WEEKNUM(Q283,21),"00"),"")</f>
        <v/>
      </c>
      <c r="O283" s="350">
        <f>IF(Data!$Q283="","",YEAR(Data!$Q283))</f>
        <v/>
      </c>
      <c r="P283" s="350">
        <f>IF(Data!$Q283="","",MONTH(Data!$Q283))</f>
        <v/>
      </c>
      <c r="Q283" s="310" t="n"/>
      <c r="S283" s="732" t="n"/>
      <c r="T283" s="733" t="n"/>
      <c r="U283" s="734" t="n"/>
      <c r="V283" s="347" t="n"/>
      <c r="W283" s="310" t="n"/>
      <c r="X283" s="350">
        <f>IF(AC283&lt;&gt;"","S"&amp;TEXT(WEEKNUM(AC283,21),"00"),"")</f>
        <v/>
      </c>
      <c r="Y283" s="350">
        <f>IF(Data!$AC283="","",YEAR(Data!$AC283))</f>
        <v/>
      </c>
      <c r="Z283" s="350">
        <f>IF(Data!$AC283="","",MONTH(Data!$AC283))</f>
        <v/>
      </c>
      <c r="AA283" s="310" t="n"/>
      <c r="AB283" s="312" t="n"/>
      <c r="AC283" s="310" t="n"/>
      <c r="AD283" s="732" t="n"/>
      <c r="AE283" s="310" t="n"/>
      <c r="AF283" s="302" t="n"/>
      <c r="AH283" s="347" t="n"/>
      <c r="AK283" s="347" t="n"/>
      <c r="AM283" s="347" t="n"/>
      <c r="AN283" s="350" t="n"/>
      <c r="AO283" s="347" t="n"/>
      <c r="AQ283" s="347" t="n"/>
      <c r="AS283" s="347" t="n"/>
      <c r="AV283">
        <f>IF(AT283="","",S283-AT283-AU283)</f>
        <v/>
      </c>
      <c r="AW283">
        <f>IFERROR(IF(tbl_DCFC[[#This Row],[F Montant HT]]="","",tbl_DCFC[[#This Row],[Marge]]/tbl_DCFC[[#This Row],[F Montant HT]]),"")</f>
        <v/>
      </c>
    </row>
    <row r="284" ht="14.4" customHeight="1" s="701">
      <c r="A284" s="744" t="n"/>
      <c r="B284" s="347">
        <f>IFERROR(INDEX(Tabelle2[BU],MATCH(tbl_DCFC[[#This Row],[Categorie]],CAT,0)),"")</f>
        <v/>
      </c>
      <c r="C284" s="350">
        <f>IF(D284&lt;&gt;"","S"&amp;TEXT(WEEKNUM(D284,21),"00"),"")</f>
        <v/>
      </c>
      <c r="D284" s="744" t="n"/>
      <c r="E284" s="312" t="n"/>
      <c r="F284" s="350" t="n"/>
      <c r="G284" s="350" t="n"/>
      <c r="H284" s="350" t="n"/>
      <c r="I284" s="745" t="n"/>
      <c r="J284" s="350" t="n"/>
      <c r="K284" s="350" t="n"/>
      <c r="L284" s="350" t="n"/>
      <c r="M284" s="347" t="n"/>
      <c r="N284" s="350">
        <f>IF(Q284&lt;&gt;"","S"&amp;TEXT(WEEKNUM(Q284,21),"00"),"")</f>
        <v/>
      </c>
      <c r="O284" s="350">
        <f>IF(Data!$Q284="","",YEAR(Data!$Q284))</f>
        <v/>
      </c>
      <c r="P284" s="350">
        <f>IF(Data!$Q284="","",MONTH(Data!$Q284))</f>
        <v/>
      </c>
      <c r="Q284" s="310" t="n"/>
      <c r="S284" s="732" t="n"/>
      <c r="T284" s="733" t="n"/>
      <c r="U284" s="734" t="n"/>
      <c r="V284" s="347" t="n"/>
      <c r="W284" s="310" t="n"/>
      <c r="X284" s="350">
        <f>IF(AC284&lt;&gt;"","S"&amp;TEXT(WEEKNUM(AC284,21),"00"),"")</f>
        <v/>
      </c>
      <c r="Y284" s="350">
        <f>IF(Data!$AC284="","",YEAR(Data!$AC284))</f>
        <v/>
      </c>
      <c r="Z284" s="350">
        <f>IF(Data!$AC284="","",MONTH(Data!$AC284))</f>
        <v/>
      </c>
      <c r="AA284" s="310" t="n"/>
      <c r="AB284" s="312" t="n"/>
      <c r="AC284" s="310" t="n"/>
      <c r="AD284" s="732" t="n"/>
      <c r="AE284" s="310" t="n"/>
      <c r="AF284" s="302" t="n"/>
      <c r="AH284" s="347" t="n"/>
      <c r="AK284" s="347" t="n"/>
      <c r="AM284" s="347" t="n"/>
      <c r="AN284" s="350" t="n"/>
      <c r="AO284" s="347" t="n"/>
      <c r="AQ284" s="347" t="n"/>
      <c r="AS284" s="347" t="n"/>
      <c r="AV284">
        <f>IF(AT284="","",S284-AT284-AU284)</f>
        <v/>
      </c>
      <c r="AW284">
        <f>IFERROR(IF(tbl_DCFC[[#This Row],[F Montant HT]]="","",tbl_DCFC[[#This Row],[Marge]]/tbl_DCFC[[#This Row],[F Montant HT]]),"")</f>
        <v/>
      </c>
    </row>
    <row r="285" ht="14.4" customHeight="1" s="701">
      <c r="A285" s="744" t="n"/>
      <c r="B285" s="347">
        <f>IFERROR(INDEX(Tabelle2[BU],MATCH(tbl_DCFC[[#This Row],[Categorie]],CAT,0)),"")</f>
        <v/>
      </c>
      <c r="C285" s="350">
        <f>IF(D285&lt;&gt;"","S"&amp;TEXT(WEEKNUM(D285,21),"00"),"")</f>
        <v/>
      </c>
      <c r="D285" s="744" t="n"/>
      <c r="E285" s="312" t="n"/>
      <c r="F285" s="350" t="n"/>
      <c r="G285" s="350" t="n"/>
      <c r="H285" s="350" t="n"/>
      <c r="I285" s="745" t="n"/>
      <c r="J285" s="350" t="n"/>
      <c r="K285" s="350" t="n"/>
      <c r="L285" s="350" t="n"/>
      <c r="M285" s="347" t="n"/>
      <c r="N285" s="350">
        <f>IF(Q285&lt;&gt;"","S"&amp;TEXT(WEEKNUM(Q285,21),"00"),"")</f>
        <v/>
      </c>
      <c r="O285" s="350">
        <f>IF(Data!$Q285="","",YEAR(Data!$Q285))</f>
        <v/>
      </c>
      <c r="P285" s="350">
        <f>IF(Data!$Q285="","",MONTH(Data!$Q285))</f>
        <v/>
      </c>
      <c r="Q285" s="310" t="n"/>
      <c r="S285" s="732" t="n"/>
      <c r="T285" s="733" t="n"/>
      <c r="U285" s="734" t="n"/>
      <c r="V285" s="347" t="n"/>
      <c r="W285" s="310" t="n"/>
      <c r="X285" s="350">
        <f>IF(AC285&lt;&gt;"","S"&amp;TEXT(WEEKNUM(AC285,21),"00"),"")</f>
        <v/>
      </c>
      <c r="Y285" s="350">
        <f>IF(Data!$AC285="","",YEAR(Data!$AC285))</f>
        <v/>
      </c>
      <c r="Z285" s="350">
        <f>IF(Data!$AC285="","",MONTH(Data!$AC285))</f>
        <v/>
      </c>
      <c r="AA285" s="310" t="n"/>
      <c r="AB285" s="312" t="n"/>
      <c r="AC285" s="310" t="n"/>
      <c r="AD285" s="732" t="n"/>
      <c r="AE285" s="310" t="n"/>
      <c r="AF285" s="302" t="n"/>
      <c r="AH285" s="347" t="n"/>
      <c r="AK285" s="347" t="n"/>
      <c r="AM285" s="347" t="n"/>
      <c r="AN285" s="350" t="n"/>
      <c r="AO285" s="347" t="n"/>
      <c r="AQ285" s="347" t="n"/>
      <c r="AS285" s="347" t="n"/>
      <c r="AV285">
        <f>IF(AT285="","",S285-AT285-AU285)</f>
        <v/>
      </c>
      <c r="AW285">
        <f>IFERROR(IF(tbl_DCFC[[#This Row],[F Montant HT]]="","",tbl_DCFC[[#This Row],[Marge]]/tbl_DCFC[[#This Row],[F Montant HT]]),"")</f>
        <v/>
      </c>
    </row>
    <row r="286" ht="14.4" customHeight="1" s="701">
      <c r="A286" s="744" t="n"/>
      <c r="B286" s="347">
        <f>IFERROR(INDEX(Tabelle2[BU],MATCH(tbl_DCFC[[#This Row],[Categorie]],CAT,0)),"")</f>
        <v/>
      </c>
      <c r="C286" s="350">
        <f>IF(D286&lt;&gt;"","S"&amp;TEXT(WEEKNUM(D286,21),"00"),"")</f>
        <v/>
      </c>
      <c r="D286" s="744" t="n"/>
      <c r="E286" s="312" t="n"/>
      <c r="F286" s="350" t="n"/>
      <c r="G286" s="350" t="n"/>
      <c r="H286" s="350" t="n"/>
      <c r="I286" s="745" t="n"/>
      <c r="J286" s="350" t="n"/>
      <c r="K286" s="350" t="n"/>
      <c r="L286" s="350" t="n"/>
      <c r="M286" s="347" t="n"/>
      <c r="N286" s="350">
        <f>IF(Q286&lt;&gt;"","S"&amp;TEXT(WEEKNUM(Q286,21),"00"),"")</f>
        <v/>
      </c>
      <c r="O286" s="350">
        <f>IF(Data!$Q286="","",YEAR(Data!$Q286))</f>
        <v/>
      </c>
      <c r="P286" s="350">
        <f>IF(Data!$Q286="","",MONTH(Data!$Q286))</f>
        <v/>
      </c>
      <c r="Q286" s="310" t="n"/>
      <c r="S286" s="732" t="n"/>
      <c r="T286" s="733" t="n"/>
      <c r="U286" s="734" t="n"/>
      <c r="V286" s="347" t="n"/>
      <c r="W286" s="310" t="n"/>
      <c r="X286" s="350">
        <f>IF(AC286&lt;&gt;"","S"&amp;TEXT(WEEKNUM(AC286,21),"00"),"")</f>
        <v/>
      </c>
      <c r="Y286" s="350">
        <f>IF(Data!$AC286="","",YEAR(Data!$AC286))</f>
        <v/>
      </c>
      <c r="Z286" s="350">
        <f>IF(Data!$AC286="","",MONTH(Data!$AC286))</f>
        <v/>
      </c>
      <c r="AA286" s="310" t="n"/>
      <c r="AB286" s="312" t="n"/>
      <c r="AC286" s="310" t="n"/>
      <c r="AD286" s="732" t="n"/>
      <c r="AE286" s="310" t="n"/>
      <c r="AF286" s="302" t="n"/>
      <c r="AH286" s="347" t="n"/>
      <c r="AK286" s="347" t="n"/>
      <c r="AM286" s="347" t="n"/>
      <c r="AN286" s="350" t="n"/>
      <c r="AO286" s="347" t="n"/>
      <c r="AQ286" s="347" t="n"/>
      <c r="AS286" s="347" t="n"/>
      <c r="AV286">
        <f>IF(AT286="","",S286-AT286-AU286)</f>
        <v/>
      </c>
      <c r="AW286">
        <f>IFERROR(IF(tbl_DCFC[[#This Row],[F Montant HT]]="","",tbl_DCFC[[#This Row],[Marge]]/tbl_DCFC[[#This Row],[F Montant HT]]),"")</f>
        <v/>
      </c>
    </row>
    <row r="287" ht="14.4" customHeight="1" s="701">
      <c r="A287" s="744" t="n"/>
      <c r="B287" s="347">
        <f>IFERROR(INDEX(Tabelle2[BU],MATCH(tbl_DCFC[[#This Row],[Categorie]],CAT,0)),"")</f>
        <v/>
      </c>
      <c r="C287" s="350">
        <f>IF(D287&lt;&gt;"","S"&amp;TEXT(WEEKNUM(D287,21),"00"),"")</f>
        <v/>
      </c>
      <c r="D287" s="744" t="n"/>
      <c r="E287" s="312" t="n"/>
      <c r="F287" s="350" t="n"/>
      <c r="G287" s="350" t="n"/>
      <c r="H287" s="350" t="n"/>
      <c r="I287" s="745" t="n"/>
      <c r="J287" s="350" t="n"/>
      <c r="K287" s="350" t="n"/>
      <c r="L287" s="350" t="n"/>
      <c r="M287" s="347" t="n"/>
      <c r="N287" s="350">
        <f>IF(Q287&lt;&gt;"","S"&amp;TEXT(WEEKNUM(Q287,21),"00"),"")</f>
        <v/>
      </c>
      <c r="O287" s="350">
        <f>IF(Data!$Q287="","",YEAR(Data!$Q287))</f>
        <v/>
      </c>
      <c r="P287" s="350">
        <f>IF(Data!$Q287="","",MONTH(Data!$Q287))</f>
        <v/>
      </c>
      <c r="Q287" s="310" t="n"/>
      <c r="S287" s="732" t="n"/>
      <c r="T287" s="733" t="n"/>
      <c r="U287" s="734" t="n"/>
      <c r="V287" s="347" t="n"/>
      <c r="W287" s="310" t="n"/>
      <c r="X287" s="350">
        <f>IF(AC287&lt;&gt;"","S"&amp;TEXT(WEEKNUM(AC287,21),"00"),"")</f>
        <v/>
      </c>
      <c r="Y287" s="350">
        <f>IF(Data!$AC287="","",YEAR(Data!$AC287))</f>
        <v/>
      </c>
      <c r="Z287" s="350">
        <f>IF(Data!$AC287="","",MONTH(Data!$AC287))</f>
        <v/>
      </c>
      <c r="AA287" s="310" t="n"/>
      <c r="AB287" s="312" t="n"/>
      <c r="AC287" s="310" t="n"/>
      <c r="AD287" s="732" t="n"/>
      <c r="AE287" s="310" t="n"/>
      <c r="AF287" s="302" t="n"/>
      <c r="AH287" s="347" t="n"/>
      <c r="AK287" s="347" t="n"/>
      <c r="AM287" s="347" t="n"/>
      <c r="AN287" s="350" t="n"/>
      <c r="AO287" s="347" t="n"/>
      <c r="AQ287" s="347" t="n"/>
      <c r="AS287" s="347" t="n"/>
      <c r="AV287">
        <f>IF(AT287="","",S287-AT287-AU287)</f>
        <v/>
      </c>
      <c r="AW287">
        <f>IFERROR(IF(tbl_DCFC[[#This Row],[F Montant HT]]="","",tbl_DCFC[[#This Row],[Marge]]/tbl_DCFC[[#This Row],[F Montant HT]]),"")</f>
        <v/>
      </c>
    </row>
    <row r="288" ht="14.4" customHeight="1" s="701">
      <c r="A288" s="744" t="n"/>
      <c r="B288" s="347">
        <f>IFERROR(INDEX(Tabelle2[BU],MATCH(tbl_DCFC[[#This Row],[Categorie]],CAT,0)),"")</f>
        <v/>
      </c>
      <c r="C288" s="350">
        <f>IF(D288&lt;&gt;"","S"&amp;TEXT(WEEKNUM(D288,21),"00"),"")</f>
        <v/>
      </c>
      <c r="D288" s="744" t="n"/>
      <c r="E288" s="312" t="n"/>
      <c r="F288" s="350" t="n"/>
      <c r="G288" s="350" t="n"/>
      <c r="H288" s="350" t="n"/>
      <c r="I288" s="745" t="n"/>
      <c r="J288" s="350" t="n"/>
      <c r="K288" s="350" t="n"/>
      <c r="L288" s="350" t="n"/>
      <c r="M288" s="347" t="n"/>
      <c r="N288" s="350">
        <f>IF(Q288&lt;&gt;"","S"&amp;TEXT(WEEKNUM(Q288,21),"00"),"")</f>
        <v/>
      </c>
      <c r="O288" s="350">
        <f>IF(Data!$Q288="","",YEAR(Data!$Q288))</f>
        <v/>
      </c>
      <c r="P288" s="350">
        <f>IF(Data!$Q288="","",MONTH(Data!$Q288))</f>
        <v/>
      </c>
      <c r="Q288" s="310" t="n"/>
      <c r="S288" s="732" t="n"/>
      <c r="T288" s="733" t="n"/>
      <c r="U288" s="734" t="n"/>
      <c r="V288" s="347" t="n"/>
      <c r="W288" s="310" t="n"/>
      <c r="X288" s="350">
        <f>IF(AC288&lt;&gt;"","S"&amp;TEXT(WEEKNUM(AC288,21),"00"),"")</f>
        <v/>
      </c>
      <c r="Y288" s="350">
        <f>IF(Data!$AC288="","",YEAR(Data!$AC288))</f>
        <v/>
      </c>
      <c r="Z288" s="350">
        <f>IF(Data!$AC288="","",MONTH(Data!$AC288))</f>
        <v/>
      </c>
      <c r="AA288" s="310" t="n"/>
      <c r="AB288" s="312" t="n"/>
      <c r="AC288" s="310" t="n"/>
      <c r="AD288" s="732" t="n"/>
      <c r="AE288" s="310" t="n"/>
      <c r="AF288" s="302" t="n"/>
      <c r="AH288" s="347" t="n"/>
      <c r="AK288" s="347" t="n"/>
      <c r="AM288" s="347" t="n"/>
      <c r="AN288" s="350" t="n"/>
      <c r="AO288" s="347" t="n"/>
      <c r="AQ288" s="347" t="n"/>
      <c r="AS288" s="347" t="n"/>
      <c r="AV288">
        <f>IF(AT288="","",S288-AT288-AU288)</f>
        <v/>
      </c>
      <c r="AW288">
        <f>IFERROR(IF(tbl_DCFC[[#This Row],[F Montant HT]]="","",tbl_DCFC[[#This Row],[Marge]]/tbl_DCFC[[#This Row],[F Montant HT]]),"")</f>
        <v/>
      </c>
    </row>
    <row r="289" ht="14.4" customHeight="1" s="701">
      <c r="A289" s="744" t="n"/>
      <c r="B289" s="347">
        <f>IFERROR(INDEX(Tabelle2[BU],MATCH(tbl_DCFC[[#This Row],[Categorie]],CAT,0)),"")</f>
        <v/>
      </c>
      <c r="C289" s="350">
        <f>IF(D289&lt;&gt;"","S"&amp;TEXT(WEEKNUM(D289,21),"00"),"")</f>
        <v/>
      </c>
      <c r="D289" s="744" t="n"/>
      <c r="E289" s="312" t="n"/>
      <c r="F289" s="350" t="n"/>
      <c r="G289" s="350" t="n"/>
      <c r="H289" s="350" t="n"/>
      <c r="I289" s="745" t="n"/>
      <c r="J289" s="350" t="n"/>
      <c r="K289" s="350" t="n"/>
      <c r="L289" s="350" t="n"/>
      <c r="M289" s="347" t="n"/>
      <c r="N289" s="350">
        <f>IF(Q289&lt;&gt;"","S"&amp;TEXT(WEEKNUM(Q289,21),"00"),"")</f>
        <v/>
      </c>
      <c r="O289" s="350">
        <f>IF(Data!$Q289="","",YEAR(Data!$Q289))</f>
        <v/>
      </c>
      <c r="P289" s="350">
        <f>IF(Data!$Q289="","",MONTH(Data!$Q289))</f>
        <v/>
      </c>
      <c r="Q289" s="310" t="n"/>
      <c r="S289" s="732" t="n"/>
      <c r="T289" s="733" t="n"/>
      <c r="U289" s="734" t="n"/>
      <c r="V289" s="347" t="n"/>
      <c r="W289" s="310" t="n"/>
      <c r="X289" s="350">
        <f>IF(AC289&lt;&gt;"","S"&amp;TEXT(WEEKNUM(AC289,21),"00"),"")</f>
        <v/>
      </c>
      <c r="Y289" s="350">
        <f>IF(Data!$AC289="","",YEAR(Data!$AC289))</f>
        <v/>
      </c>
      <c r="Z289" s="350">
        <f>IF(Data!$AC289="","",MONTH(Data!$AC289))</f>
        <v/>
      </c>
      <c r="AA289" s="310" t="n"/>
      <c r="AB289" s="312" t="n"/>
      <c r="AC289" s="310" t="n"/>
      <c r="AD289" s="732" t="n"/>
      <c r="AE289" s="310" t="n"/>
      <c r="AF289" s="302" t="n"/>
      <c r="AH289" s="347" t="n"/>
      <c r="AK289" s="347" t="n"/>
      <c r="AM289" s="347" t="n"/>
      <c r="AN289" s="350" t="n"/>
      <c r="AO289" s="347" t="n"/>
      <c r="AQ289" s="347" t="n"/>
      <c r="AS289" s="347" t="n"/>
      <c r="AV289">
        <f>IF(AT289="","",S289-AT289-AU289)</f>
        <v/>
      </c>
      <c r="AW289">
        <f>IFERROR(IF(tbl_DCFC[[#This Row],[F Montant HT]]="","",tbl_DCFC[[#This Row],[Marge]]/tbl_DCFC[[#This Row],[F Montant HT]]),"")</f>
        <v/>
      </c>
    </row>
    <row r="290" ht="14.4" customHeight="1" s="701">
      <c r="A290" s="744" t="n"/>
      <c r="B290" s="347">
        <f>IFERROR(INDEX(Tabelle2[BU],MATCH(tbl_DCFC[[#This Row],[Categorie]],CAT,0)),"")</f>
        <v/>
      </c>
      <c r="C290" s="350">
        <f>IF(D290&lt;&gt;"","S"&amp;TEXT(WEEKNUM(D290,21),"00"),"")</f>
        <v/>
      </c>
      <c r="D290" s="744" t="n"/>
      <c r="E290" s="312" t="n"/>
      <c r="F290" s="350" t="n"/>
      <c r="G290" s="350" t="n"/>
      <c r="H290" s="350" t="n"/>
      <c r="I290" s="745" t="n"/>
      <c r="J290" s="350" t="n"/>
      <c r="K290" s="350" t="n"/>
      <c r="L290" s="350" t="n"/>
      <c r="M290" s="347" t="n"/>
      <c r="N290" s="350">
        <f>IF(Q290&lt;&gt;"","S"&amp;TEXT(WEEKNUM(Q290,21),"00"),"")</f>
        <v/>
      </c>
      <c r="O290" s="350">
        <f>IF(Data!$Q290="","",YEAR(Data!$Q290))</f>
        <v/>
      </c>
      <c r="P290" s="350">
        <f>IF(Data!$Q290="","",MONTH(Data!$Q290))</f>
        <v/>
      </c>
      <c r="Q290" s="310" t="n"/>
      <c r="S290" s="732" t="n"/>
      <c r="T290" s="733" t="n"/>
      <c r="U290" s="734" t="n"/>
      <c r="V290" s="347" t="n"/>
      <c r="W290" s="310" t="n"/>
      <c r="X290" s="350">
        <f>IF(AC290&lt;&gt;"","S"&amp;TEXT(WEEKNUM(AC290,21),"00"),"")</f>
        <v/>
      </c>
      <c r="Y290" s="350">
        <f>IF(Data!$AC290="","",YEAR(Data!$AC290))</f>
        <v/>
      </c>
      <c r="Z290" s="350">
        <f>IF(Data!$AC290="","",MONTH(Data!$AC290))</f>
        <v/>
      </c>
      <c r="AA290" s="310" t="n"/>
      <c r="AB290" s="312" t="n"/>
      <c r="AC290" s="310" t="n"/>
      <c r="AD290" s="732" t="n"/>
      <c r="AE290" s="310" t="n"/>
      <c r="AF290" s="302" t="n"/>
      <c r="AH290" s="347" t="n"/>
      <c r="AK290" s="347" t="n"/>
      <c r="AM290" s="347" t="n"/>
      <c r="AN290" s="350" t="n"/>
      <c r="AO290" s="347" t="n"/>
      <c r="AQ290" s="347" t="n"/>
      <c r="AS290" s="347" t="n"/>
      <c r="AV290">
        <f>IF(AT290="","",S290-AT290-AU290)</f>
        <v/>
      </c>
      <c r="AW290">
        <f>IFERROR(IF(tbl_DCFC[[#This Row],[F Montant HT]]="","",tbl_DCFC[[#This Row],[Marge]]/tbl_DCFC[[#This Row],[F Montant HT]]),"")</f>
        <v/>
      </c>
    </row>
    <row r="291" ht="14.4" customHeight="1" s="701">
      <c r="A291" s="744" t="n"/>
      <c r="B291" s="347">
        <f>IFERROR(INDEX(Tabelle2[BU],MATCH(tbl_DCFC[[#This Row],[Categorie]],CAT,0)),"")</f>
        <v/>
      </c>
      <c r="C291" s="350">
        <f>IF(D291&lt;&gt;"","S"&amp;TEXT(WEEKNUM(D291,21),"00"),"")</f>
        <v/>
      </c>
      <c r="D291" s="744" t="n"/>
      <c r="E291" s="312" t="n"/>
      <c r="F291" s="350" t="n"/>
      <c r="G291" s="350" t="n"/>
      <c r="H291" s="350" t="n"/>
      <c r="I291" s="745" t="n"/>
      <c r="J291" s="350" t="n"/>
      <c r="K291" s="350" t="n"/>
      <c r="L291" s="350" t="n"/>
      <c r="M291" s="347" t="n"/>
      <c r="N291" s="350">
        <f>IF(Q291&lt;&gt;"","S"&amp;TEXT(WEEKNUM(Q291,21),"00"),"")</f>
        <v/>
      </c>
      <c r="O291" s="350">
        <f>IF(Data!$Q291="","",YEAR(Data!$Q291))</f>
        <v/>
      </c>
      <c r="P291" s="350">
        <f>IF(Data!$Q291="","",MONTH(Data!$Q291))</f>
        <v/>
      </c>
      <c r="Q291" s="310" t="n"/>
      <c r="S291" s="732" t="n"/>
      <c r="T291" s="733" t="n"/>
      <c r="U291" s="734" t="n"/>
      <c r="V291" s="347" t="n"/>
      <c r="W291" s="310" t="n"/>
      <c r="X291" s="350">
        <f>IF(AC291&lt;&gt;"","S"&amp;TEXT(WEEKNUM(AC291,21),"00"),"")</f>
        <v/>
      </c>
      <c r="Y291" s="350">
        <f>IF(Data!$AC291="","",YEAR(Data!$AC291))</f>
        <v/>
      </c>
      <c r="Z291" s="350">
        <f>IF(Data!$AC291="","",MONTH(Data!$AC291))</f>
        <v/>
      </c>
      <c r="AA291" s="310" t="n"/>
      <c r="AB291" s="312" t="n"/>
      <c r="AC291" s="310" t="n"/>
      <c r="AD291" s="732" t="n"/>
      <c r="AE291" s="310" t="n"/>
      <c r="AF291" s="302" t="n"/>
      <c r="AH291" s="347" t="n"/>
      <c r="AK291" s="347" t="n"/>
      <c r="AM291" s="347" t="n"/>
      <c r="AN291" s="350" t="n"/>
      <c r="AO291" s="347" t="n"/>
      <c r="AQ291" s="347" t="n"/>
      <c r="AS291" s="347" t="n"/>
      <c r="AV291">
        <f>IF(AT291="","",S291-AT291-AU291)</f>
        <v/>
      </c>
      <c r="AW291">
        <f>IFERROR(IF(tbl_DCFC[[#This Row],[F Montant HT]]="","",tbl_DCFC[[#This Row],[Marge]]/tbl_DCFC[[#This Row],[F Montant HT]]),"")</f>
        <v/>
      </c>
    </row>
    <row r="292" ht="14.4" customHeight="1" s="701">
      <c r="A292" s="744" t="n"/>
      <c r="B292" s="347">
        <f>IFERROR(INDEX(Tabelle2[BU],MATCH(tbl_DCFC[[#This Row],[Categorie]],CAT,0)),"")</f>
        <v/>
      </c>
      <c r="C292" s="350">
        <f>IF(D292&lt;&gt;"","S"&amp;TEXT(WEEKNUM(D292,21),"00"),"")</f>
        <v/>
      </c>
      <c r="D292" s="744" t="n"/>
      <c r="E292" s="312" t="n"/>
      <c r="F292" s="350" t="n"/>
      <c r="G292" s="350" t="n"/>
      <c r="H292" s="350" t="n"/>
      <c r="I292" s="745" t="n"/>
      <c r="J292" s="350" t="n"/>
      <c r="K292" s="350" t="n"/>
      <c r="L292" s="350" t="n"/>
      <c r="M292" s="347" t="n"/>
      <c r="N292" s="350">
        <f>IF(Q292&lt;&gt;"","S"&amp;TEXT(WEEKNUM(Q292,21),"00"),"")</f>
        <v/>
      </c>
      <c r="O292" s="350">
        <f>IF(Data!$Q292="","",YEAR(Data!$Q292))</f>
        <v/>
      </c>
      <c r="P292" s="350">
        <f>IF(Data!$Q292="","",MONTH(Data!$Q292))</f>
        <v/>
      </c>
      <c r="Q292" s="310" t="n"/>
      <c r="S292" s="732" t="n"/>
      <c r="T292" s="733" t="n"/>
      <c r="U292" s="734" t="n"/>
      <c r="V292" s="347" t="n"/>
      <c r="W292" s="310" t="n"/>
      <c r="X292" s="350">
        <f>IF(AC292&lt;&gt;"","S"&amp;TEXT(WEEKNUM(AC292,21),"00"),"")</f>
        <v/>
      </c>
      <c r="Y292" s="350">
        <f>IF(Data!$AC292="","",YEAR(Data!$AC292))</f>
        <v/>
      </c>
      <c r="Z292" s="350">
        <f>IF(Data!$AC292="","",MONTH(Data!$AC292))</f>
        <v/>
      </c>
      <c r="AA292" s="310" t="n"/>
      <c r="AB292" s="312" t="n"/>
      <c r="AC292" s="310" t="n"/>
      <c r="AD292" s="732" t="n"/>
      <c r="AE292" s="310" t="n"/>
      <c r="AF292" s="302" t="n"/>
      <c r="AH292" s="347" t="n"/>
      <c r="AK292" s="347" t="n"/>
      <c r="AM292" s="347" t="n"/>
      <c r="AN292" s="350" t="n"/>
      <c r="AO292" s="347" t="n"/>
      <c r="AQ292" s="347" t="n"/>
      <c r="AS292" s="347" t="n"/>
      <c r="AV292">
        <f>IF(AT292="","",S292-AT292-AU292)</f>
        <v/>
      </c>
      <c r="AW292">
        <f>IFERROR(IF(tbl_DCFC[[#This Row],[F Montant HT]]="","",tbl_DCFC[[#This Row],[Marge]]/tbl_DCFC[[#This Row],[F Montant HT]]),"")</f>
        <v/>
      </c>
    </row>
    <row r="293" ht="14.4" customHeight="1" s="701">
      <c r="A293" s="744" t="n"/>
      <c r="B293" s="347">
        <f>IFERROR(INDEX(Tabelle2[BU],MATCH(tbl_DCFC[[#This Row],[Categorie]],CAT,0)),"")</f>
        <v/>
      </c>
      <c r="C293" s="350">
        <f>IF(D293&lt;&gt;"","S"&amp;TEXT(WEEKNUM(D293,21),"00"),"")</f>
        <v/>
      </c>
      <c r="D293" s="744" t="n"/>
      <c r="E293" s="312" t="n"/>
      <c r="F293" s="350" t="n"/>
      <c r="G293" s="350" t="n"/>
      <c r="H293" s="350" t="n"/>
      <c r="I293" s="745" t="n"/>
      <c r="J293" s="350" t="n"/>
      <c r="K293" s="350" t="n"/>
      <c r="L293" s="350" t="n"/>
      <c r="M293" s="347" t="n"/>
      <c r="N293" s="350">
        <f>IF(Q293&lt;&gt;"","S"&amp;TEXT(WEEKNUM(Q293,21),"00"),"")</f>
        <v/>
      </c>
      <c r="O293" s="350">
        <f>IF(Data!$Q293="","",YEAR(Data!$Q293))</f>
        <v/>
      </c>
      <c r="P293" s="350">
        <f>IF(Data!$Q293="","",MONTH(Data!$Q293))</f>
        <v/>
      </c>
      <c r="Q293" s="310" t="n"/>
      <c r="S293" s="732" t="n"/>
      <c r="T293" s="733" t="n"/>
      <c r="U293" s="734" t="n"/>
      <c r="V293" s="347" t="n"/>
      <c r="W293" s="310" t="n"/>
      <c r="X293" s="350">
        <f>IF(AC293&lt;&gt;"","S"&amp;TEXT(WEEKNUM(AC293,21),"00"),"")</f>
        <v/>
      </c>
      <c r="Y293" s="350">
        <f>IF(Data!$AC293="","",YEAR(Data!$AC293))</f>
        <v/>
      </c>
      <c r="Z293" s="350">
        <f>IF(Data!$AC293="","",MONTH(Data!$AC293))</f>
        <v/>
      </c>
      <c r="AA293" s="310" t="n"/>
      <c r="AB293" s="312" t="n"/>
      <c r="AC293" s="310" t="n"/>
      <c r="AD293" s="732" t="n"/>
      <c r="AE293" s="310" t="n"/>
      <c r="AF293" s="302" t="n"/>
      <c r="AH293" s="347" t="n"/>
      <c r="AK293" s="347" t="n"/>
      <c r="AM293" s="347" t="n"/>
      <c r="AN293" s="350" t="n"/>
      <c r="AO293" s="347" t="n"/>
      <c r="AQ293" s="347" t="n"/>
      <c r="AS293" s="347" t="n"/>
      <c r="AV293">
        <f>IF(AT293="","",S293-AT293-AU293)</f>
        <v/>
      </c>
      <c r="AW293">
        <f>IFERROR(IF(tbl_DCFC[[#This Row],[F Montant HT]]="","",tbl_DCFC[[#This Row],[Marge]]/tbl_DCFC[[#This Row],[F Montant HT]]),"")</f>
        <v/>
      </c>
    </row>
    <row r="294" ht="14.4" customHeight="1" s="701">
      <c r="A294" s="744" t="n"/>
      <c r="B294" s="347">
        <f>IFERROR(INDEX(Tabelle2[BU],MATCH(tbl_DCFC[[#This Row],[Categorie]],CAT,0)),"")</f>
        <v/>
      </c>
      <c r="C294" s="350">
        <f>IF(D294&lt;&gt;"","S"&amp;TEXT(WEEKNUM(D294,21),"00"),"")</f>
        <v/>
      </c>
      <c r="D294" s="744" t="n"/>
      <c r="E294" s="312" t="n"/>
      <c r="F294" s="350" t="n"/>
      <c r="G294" s="350" t="n"/>
      <c r="H294" s="350" t="n"/>
      <c r="I294" s="745" t="n"/>
      <c r="J294" s="350" t="n"/>
      <c r="K294" s="350" t="n"/>
      <c r="L294" s="350" t="n"/>
      <c r="M294" s="347" t="n"/>
      <c r="N294" s="350">
        <f>IF(Q294&lt;&gt;"","S"&amp;TEXT(WEEKNUM(Q294,21),"00"),"")</f>
        <v/>
      </c>
      <c r="O294" s="350">
        <f>IF(Data!$Q294="","",YEAR(Data!$Q294))</f>
        <v/>
      </c>
      <c r="P294" s="350">
        <f>IF(Data!$Q294="","",MONTH(Data!$Q294))</f>
        <v/>
      </c>
      <c r="Q294" s="310" t="n"/>
      <c r="S294" s="732" t="n"/>
      <c r="T294" s="733" t="n"/>
      <c r="U294" s="734" t="n"/>
      <c r="V294" s="347" t="n"/>
      <c r="W294" s="310" t="n"/>
      <c r="X294" s="350">
        <f>IF(AC294&lt;&gt;"","S"&amp;TEXT(WEEKNUM(AC294,21),"00"),"")</f>
        <v/>
      </c>
      <c r="Y294" s="350">
        <f>IF(Data!$AC294="","",YEAR(Data!$AC294))</f>
        <v/>
      </c>
      <c r="Z294" s="350">
        <f>IF(Data!$AC294="","",MONTH(Data!$AC294))</f>
        <v/>
      </c>
      <c r="AA294" s="310" t="n"/>
      <c r="AB294" s="312" t="n"/>
      <c r="AC294" s="310" t="n"/>
      <c r="AD294" s="732" t="n"/>
      <c r="AE294" s="310" t="n"/>
      <c r="AF294" s="302" t="n"/>
      <c r="AH294" s="347" t="n"/>
      <c r="AK294" s="347" t="n"/>
      <c r="AM294" s="347" t="n"/>
      <c r="AN294" s="350" t="n"/>
      <c r="AO294" s="347" t="n"/>
      <c r="AQ294" s="347" t="n"/>
      <c r="AS294" s="347" t="n"/>
      <c r="AV294">
        <f>IF(AT294="","",S294-AT294-AU294)</f>
        <v/>
      </c>
      <c r="AW294">
        <f>IFERROR(IF(tbl_DCFC[[#This Row],[F Montant HT]]="","",tbl_DCFC[[#This Row],[Marge]]/tbl_DCFC[[#This Row],[F Montant HT]]),"")</f>
        <v/>
      </c>
    </row>
    <row r="295" ht="14.4" customHeight="1" s="701">
      <c r="A295" s="744" t="n"/>
      <c r="B295" s="347">
        <f>IFERROR(INDEX(Tabelle2[BU],MATCH(tbl_DCFC[[#This Row],[Categorie]],CAT,0)),"")</f>
        <v/>
      </c>
      <c r="C295" s="350">
        <f>IF(D295&lt;&gt;"","S"&amp;TEXT(WEEKNUM(D295,21),"00"),"")</f>
        <v/>
      </c>
      <c r="D295" s="744" t="n"/>
      <c r="E295" s="312" t="n"/>
      <c r="F295" s="350" t="n"/>
      <c r="G295" s="350" t="n"/>
      <c r="H295" s="350" t="n"/>
      <c r="I295" s="745" t="n"/>
      <c r="J295" s="350" t="n"/>
      <c r="K295" s="350" t="n"/>
      <c r="L295" s="350" t="n"/>
      <c r="M295" s="347" t="n"/>
      <c r="N295" s="350">
        <f>IF(Q295&lt;&gt;"","S"&amp;TEXT(WEEKNUM(Q295,21),"00"),"")</f>
        <v/>
      </c>
      <c r="O295" s="350">
        <f>IF(Data!$Q295="","",YEAR(Data!$Q295))</f>
        <v/>
      </c>
      <c r="P295" s="350">
        <f>IF(Data!$Q295="","",MONTH(Data!$Q295))</f>
        <v/>
      </c>
      <c r="Q295" s="310" t="n"/>
      <c r="S295" s="732" t="n"/>
      <c r="T295" s="733" t="n"/>
      <c r="U295" s="734" t="n"/>
      <c r="V295" s="347" t="n"/>
      <c r="W295" s="310" t="n"/>
      <c r="X295" s="350">
        <f>IF(AC295&lt;&gt;"","S"&amp;TEXT(WEEKNUM(AC295,21),"00"),"")</f>
        <v/>
      </c>
      <c r="Y295" s="350">
        <f>IF(Data!$AC295="","",YEAR(Data!$AC295))</f>
        <v/>
      </c>
      <c r="Z295" s="350">
        <f>IF(Data!$AC295="","",MONTH(Data!$AC295))</f>
        <v/>
      </c>
      <c r="AA295" s="310" t="n"/>
      <c r="AB295" s="312" t="n"/>
      <c r="AC295" s="310" t="n"/>
      <c r="AD295" s="732" t="n"/>
      <c r="AE295" s="310" t="n"/>
      <c r="AF295" s="302" t="n"/>
      <c r="AH295" s="347" t="n"/>
      <c r="AK295" s="347" t="n"/>
      <c r="AM295" s="347" t="n"/>
      <c r="AN295" s="350" t="n"/>
      <c r="AO295" s="347" t="n"/>
      <c r="AQ295" s="347" t="n"/>
      <c r="AS295" s="347" t="n"/>
      <c r="AV295">
        <f>IF(AT295="","",S295-AT295-AU295)</f>
        <v/>
      </c>
      <c r="AW295">
        <f>IFERROR(IF(tbl_DCFC[[#This Row],[F Montant HT]]="","",tbl_DCFC[[#This Row],[Marge]]/tbl_DCFC[[#This Row],[F Montant HT]]),"")</f>
        <v/>
      </c>
    </row>
    <row r="296" ht="14.4" customHeight="1" s="701">
      <c r="A296" s="744" t="n"/>
      <c r="B296" s="347">
        <f>IFERROR(INDEX(Tabelle2[BU],MATCH(tbl_DCFC[[#This Row],[Categorie]],CAT,0)),"")</f>
        <v/>
      </c>
      <c r="C296" s="350">
        <f>IF(D296&lt;&gt;"","S"&amp;TEXT(WEEKNUM(D296,21),"00"),"")</f>
        <v/>
      </c>
      <c r="D296" s="744" t="n"/>
      <c r="E296" s="312" t="n"/>
      <c r="F296" s="350" t="n"/>
      <c r="G296" s="350" t="n"/>
      <c r="H296" s="350" t="n"/>
      <c r="I296" s="745" t="n"/>
      <c r="J296" s="350" t="n"/>
      <c r="K296" s="350" t="n"/>
      <c r="L296" s="350" t="n"/>
      <c r="M296" s="347" t="n"/>
      <c r="N296" s="350">
        <f>IF(Q296&lt;&gt;"","S"&amp;TEXT(WEEKNUM(Q296,21),"00"),"")</f>
        <v/>
      </c>
      <c r="O296" s="350">
        <f>IF(Data!$Q296="","",YEAR(Data!$Q296))</f>
        <v/>
      </c>
      <c r="P296" s="350">
        <f>IF(Data!$Q296="","",MONTH(Data!$Q296))</f>
        <v/>
      </c>
      <c r="Q296" s="310" t="n"/>
      <c r="S296" s="732" t="n"/>
      <c r="T296" s="733" t="n"/>
      <c r="U296" s="734" t="n"/>
      <c r="V296" s="347" t="n"/>
      <c r="W296" s="310" t="n"/>
      <c r="X296" s="350">
        <f>IF(AC296&lt;&gt;"","S"&amp;TEXT(WEEKNUM(AC296,21),"00"),"")</f>
        <v/>
      </c>
      <c r="Y296" s="350">
        <f>IF(Data!$AC296="","",YEAR(Data!$AC296))</f>
        <v/>
      </c>
      <c r="Z296" s="350">
        <f>IF(Data!$AC296="","",MONTH(Data!$AC296))</f>
        <v/>
      </c>
      <c r="AA296" s="310" t="n"/>
      <c r="AB296" s="312" t="n"/>
      <c r="AC296" s="310" t="n"/>
      <c r="AD296" s="732" t="n"/>
      <c r="AE296" s="310" t="n"/>
      <c r="AF296" s="302" t="n"/>
      <c r="AH296" s="347" t="n"/>
      <c r="AK296" s="347" t="n"/>
      <c r="AM296" s="347" t="n"/>
      <c r="AN296" s="350" t="n"/>
      <c r="AO296" s="347" t="n"/>
      <c r="AQ296" s="347" t="n"/>
      <c r="AS296" s="347" t="n"/>
      <c r="AV296">
        <f>IF(AT296="","",S296-AT296-AU296)</f>
        <v/>
      </c>
      <c r="AW296">
        <f>IFERROR(IF(tbl_DCFC[[#This Row],[F Montant HT]]="","",tbl_DCFC[[#This Row],[Marge]]/tbl_DCFC[[#This Row],[F Montant HT]]),"")</f>
        <v/>
      </c>
    </row>
    <row r="297" ht="14.4" customHeight="1" s="701">
      <c r="A297" s="744" t="n"/>
      <c r="B297" s="347">
        <f>IFERROR(INDEX(Tabelle2[BU],MATCH(tbl_DCFC[[#This Row],[Categorie]],CAT,0)),"")</f>
        <v/>
      </c>
      <c r="C297" s="350">
        <f>IF(D297&lt;&gt;"","S"&amp;TEXT(WEEKNUM(D297,21),"00"),"")</f>
        <v/>
      </c>
      <c r="D297" s="744" t="n"/>
      <c r="E297" s="312" t="n"/>
      <c r="F297" s="350" t="n"/>
      <c r="G297" s="350" t="n"/>
      <c r="H297" s="350" t="n"/>
      <c r="I297" s="745" t="n"/>
      <c r="J297" s="350" t="n"/>
      <c r="K297" s="350" t="n"/>
      <c r="L297" s="350" t="n"/>
      <c r="M297" s="347" t="n"/>
      <c r="N297" s="350">
        <f>IF(Q297&lt;&gt;"","S"&amp;TEXT(WEEKNUM(Q297,21),"00"),"")</f>
        <v/>
      </c>
      <c r="O297" s="350">
        <f>IF(Data!$Q297="","",YEAR(Data!$Q297))</f>
        <v/>
      </c>
      <c r="P297" s="350">
        <f>IF(Data!$Q297="","",MONTH(Data!$Q297))</f>
        <v/>
      </c>
      <c r="Q297" s="310" t="n"/>
      <c r="S297" s="732" t="n"/>
      <c r="T297" s="733" t="n"/>
      <c r="U297" s="734" t="n"/>
      <c r="V297" s="347" t="n"/>
      <c r="W297" s="310" t="n"/>
      <c r="X297" s="350">
        <f>IF(AC297&lt;&gt;"","S"&amp;TEXT(WEEKNUM(AC297,21),"00"),"")</f>
        <v/>
      </c>
      <c r="Y297" s="350">
        <f>IF(Data!$AC297="","",YEAR(Data!$AC297))</f>
        <v/>
      </c>
      <c r="Z297" s="350">
        <f>IF(Data!$AC297="","",MONTH(Data!$AC297))</f>
        <v/>
      </c>
      <c r="AA297" s="310" t="n"/>
      <c r="AB297" s="312" t="n"/>
      <c r="AC297" s="310" t="n"/>
      <c r="AD297" s="732" t="n"/>
      <c r="AE297" s="310" t="n"/>
      <c r="AF297" s="302" t="n"/>
      <c r="AH297" s="347" t="n"/>
      <c r="AK297" s="347" t="n"/>
      <c r="AM297" s="347" t="n"/>
      <c r="AN297" s="350" t="n"/>
      <c r="AO297" s="347" t="n"/>
      <c r="AQ297" s="347" t="n"/>
      <c r="AS297" s="347" t="n"/>
      <c r="AV297">
        <f>IF(AT297="","",S297-AT297-AU297)</f>
        <v/>
      </c>
      <c r="AW297">
        <f>IFERROR(IF(tbl_DCFC[[#This Row],[F Montant HT]]="","",tbl_DCFC[[#This Row],[Marge]]/tbl_DCFC[[#This Row],[F Montant HT]]),"")</f>
        <v/>
      </c>
    </row>
    <row r="298" ht="14.4" customHeight="1" s="701">
      <c r="A298" s="744" t="n"/>
      <c r="B298" s="347">
        <f>IFERROR(INDEX(Tabelle2[BU],MATCH(tbl_DCFC[[#This Row],[Categorie]],CAT,0)),"")</f>
        <v/>
      </c>
      <c r="C298" s="350">
        <f>IF(D298&lt;&gt;"","S"&amp;TEXT(WEEKNUM(D298,21),"00"),"")</f>
        <v/>
      </c>
      <c r="D298" s="744" t="n"/>
      <c r="E298" s="312" t="n"/>
      <c r="F298" s="350" t="n"/>
      <c r="G298" s="350" t="n"/>
      <c r="H298" s="350" t="n"/>
      <c r="I298" s="745" t="n"/>
      <c r="J298" s="350" t="n"/>
      <c r="K298" s="350" t="n"/>
      <c r="L298" s="350" t="n"/>
      <c r="M298" s="347" t="n"/>
      <c r="N298" s="350">
        <f>IF(Q298&lt;&gt;"","S"&amp;TEXT(WEEKNUM(Q298,21),"00"),"")</f>
        <v/>
      </c>
      <c r="O298" s="350">
        <f>IF(Data!$Q298="","",YEAR(Data!$Q298))</f>
        <v/>
      </c>
      <c r="P298" s="350">
        <f>IF(Data!$Q298="","",MONTH(Data!$Q298))</f>
        <v/>
      </c>
      <c r="Q298" s="310" t="n"/>
      <c r="S298" s="732" t="n"/>
      <c r="T298" s="733" t="n"/>
      <c r="U298" s="734" t="n"/>
      <c r="V298" s="347" t="n"/>
      <c r="W298" s="310" t="n"/>
      <c r="X298" s="350">
        <f>IF(AC298&lt;&gt;"","S"&amp;TEXT(WEEKNUM(AC298,21),"00"),"")</f>
        <v/>
      </c>
      <c r="Y298" s="350">
        <f>IF(Data!$AC298="","",YEAR(Data!$AC298))</f>
        <v/>
      </c>
      <c r="Z298" s="350">
        <f>IF(Data!$AC298="","",MONTH(Data!$AC298))</f>
        <v/>
      </c>
      <c r="AA298" s="310" t="n"/>
      <c r="AB298" s="312" t="n"/>
      <c r="AC298" s="310" t="n"/>
      <c r="AD298" s="732" t="n"/>
      <c r="AE298" s="310" t="n"/>
      <c r="AF298" s="302" t="n"/>
      <c r="AH298" s="347" t="n"/>
      <c r="AI298" s="315" t="n"/>
      <c r="AJ298" s="340" t="n"/>
      <c r="AK298" s="347" t="n"/>
      <c r="AM298" s="347" t="n"/>
      <c r="AN298" s="350" t="n"/>
      <c r="AO298" s="347" t="n"/>
      <c r="AQ298" s="347" t="n"/>
      <c r="AS298" s="347" t="n"/>
      <c r="AV298">
        <f>IF(AT298="","",S298-AT298-AU298)</f>
        <v/>
      </c>
      <c r="AW298">
        <f>IFERROR(IF(tbl_DCFC[[#This Row],[F Montant HT]]="","",tbl_DCFC[[#This Row],[Marge]]/tbl_DCFC[[#This Row],[F Montant HT]]),"")</f>
        <v/>
      </c>
    </row>
    <row r="299" ht="14.4" customHeight="1" s="701">
      <c r="A299" s="744" t="n"/>
      <c r="B299" s="347">
        <f>IFERROR(INDEX(Tabelle2[BU],MATCH(tbl_DCFC[[#This Row],[Categorie]],CAT,0)),"")</f>
        <v/>
      </c>
      <c r="C299" s="350">
        <f>IF(D299&lt;&gt;"","S"&amp;TEXT(WEEKNUM(D299,21),"00"),"")</f>
        <v/>
      </c>
      <c r="D299" s="744" t="n"/>
      <c r="E299" s="312" t="n"/>
      <c r="F299" s="350" t="n"/>
      <c r="G299" s="350" t="n"/>
      <c r="H299" s="350" t="n"/>
      <c r="I299" s="745" t="n"/>
      <c r="J299" s="350" t="n"/>
      <c r="K299" s="350" t="n"/>
      <c r="L299" s="350" t="n"/>
      <c r="M299" s="347" t="n"/>
      <c r="N299" s="350">
        <f>IF(Q299&lt;&gt;"","S"&amp;TEXT(WEEKNUM(Q299,21),"00"),"")</f>
        <v/>
      </c>
      <c r="O299" s="350">
        <f>IF(Data!$Q299="","",YEAR(Data!$Q299))</f>
        <v/>
      </c>
      <c r="P299" s="350">
        <f>IF(Data!$Q299="","",MONTH(Data!$Q299))</f>
        <v/>
      </c>
      <c r="Q299" s="310" t="n"/>
      <c r="S299" s="732" t="n"/>
      <c r="T299" s="733" t="n"/>
      <c r="U299" s="734" t="n"/>
      <c r="V299" s="347" t="n"/>
      <c r="W299" s="310" t="n"/>
      <c r="X299" s="350">
        <f>IF(AC299&lt;&gt;"","S"&amp;TEXT(WEEKNUM(AC299,21),"00"),"")</f>
        <v/>
      </c>
      <c r="Y299" s="350">
        <f>IF(Data!$AC299="","",YEAR(Data!$AC299))</f>
        <v/>
      </c>
      <c r="Z299" s="350">
        <f>IF(Data!$AC299="","",MONTH(Data!$AC299))</f>
        <v/>
      </c>
      <c r="AA299" s="310" t="n"/>
      <c r="AB299" s="312" t="n"/>
      <c r="AC299" s="310" t="n"/>
      <c r="AD299" s="732" t="n"/>
      <c r="AE299" s="310" t="n"/>
      <c r="AF299" s="302" t="n"/>
      <c r="AH299" s="347" t="n"/>
      <c r="AI299" s="340" t="n"/>
      <c r="AJ299" s="340" t="n"/>
      <c r="AK299" s="347" t="n"/>
      <c r="AM299" s="347" t="n"/>
      <c r="AN299" s="350" t="n"/>
      <c r="AO299" s="347" t="n"/>
      <c r="AQ299" s="347" t="n"/>
      <c r="AS299" s="347" t="n"/>
      <c r="AV299">
        <f>IF(AT299="","",S299-AT299-AU299)</f>
        <v/>
      </c>
      <c r="AW299">
        <f>IFERROR(IF(tbl_DCFC[[#This Row],[F Montant HT]]="","",tbl_DCFC[[#This Row],[Marge]]/tbl_DCFC[[#This Row],[F Montant HT]]),"")</f>
        <v/>
      </c>
    </row>
    <row r="300" ht="14.4" customHeight="1" s="701">
      <c r="A300" s="744" t="n"/>
      <c r="B300" s="347">
        <f>IFERROR(INDEX(Tabelle2[BU],MATCH(tbl_DCFC[[#This Row],[Categorie]],CAT,0)),"")</f>
        <v/>
      </c>
      <c r="C300" s="350">
        <f>IF(D300&lt;&gt;"","S"&amp;TEXT(WEEKNUM(D300,21),"00"),"")</f>
        <v/>
      </c>
      <c r="D300" s="744" t="n"/>
      <c r="E300" s="312" t="n"/>
      <c r="F300" s="350" t="n"/>
      <c r="G300" s="350" t="n"/>
      <c r="H300" s="350" t="n"/>
      <c r="I300" s="745" t="n"/>
      <c r="J300" s="350" t="n"/>
      <c r="K300" s="350" t="n"/>
      <c r="L300" s="350" t="n"/>
      <c r="M300" s="347" t="n"/>
      <c r="N300" s="350">
        <f>IF(Q300&lt;&gt;"","S"&amp;TEXT(WEEKNUM(Q300,21),"00"),"")</f>
        <v/>
      </c>
      <c r="O300" s="350">
        <f>IF(Data!$Q300="","",YEAR(Data!$Q300))</f>
        <v/>
      </c>
      <c r="P300" s="350">
        <f>IF(Data!$Q300="","",MONTH(Data!$Q300))</f>
        <v/>
      </c>
      <c r="Q300" s="310" t="n"/>
      <c r="S300" s="732" t="n"/>
      <c r="T300" s="733" t="n"/>
      <c r="U300" s="734" t="n"/>
      <c r="V300" s="347" t="n"/>
      <c r="W300" s="310" t="n"/>
      <c r="X300" s="350">
        <f>IF(AC300&lt;&gt;"","S"&amp;TEXT(WEEKNUM(AC300,21),"00"),"")</f>
        <v/>
      </c>
      <c r="Y300" s="350">
        <f>IF(Data!$AC300="","",YEAR(Data!$AC300))</f>
        <v/>
      </c>
      <c r="Z300" s="350">
        <f>IF(Data!$AC300="","",MONTH(Data!$AC300))</f>
        <v/>
      </c>
      <c r="AA300" s="310" t="n"/>
      <c r="AB300" s="312" t="n"/>
      <c r="AC300" s="310" t="n"/>
      <c r="AD300" s="732" t="n"/>
      <c r="AE300" s="310" t="n"/>
      <c r="AF300" s="302" t="n"/>
      <c r="AH300" s="347" t="n"/>
      <c r="AI300" s="315" t="n"/>
      <c r="AJ300" s="340" t="n"/>
      <c r="AK300" s="347" t="n"/>
      <c r="AM300" s="347" t="n"/>
      <c r="AN300" s="350" t="n"/>
      <c r="AO300" s="347" t="n"/>
      <c r="AQ300" s="347" t="n"/>
      <c r="AS300" s="347" t="n"/>
      <c r="AV300">
        <f>IF(AT300="","",S300-AT300-AU300)</f>
        <v/>
      </c>
      <c r="AW300">
        <f>IFERROR(IF(tbl_DCFC[[#This Row],[F Montant HT]]="","",tbl_DCFC[[#This Row],[Marge]]/tbl_DCFC[[#This Row],[F Montant HT]]),"")</f>
        <v/>
      </c>
    </row>
    <row r="301" ht="14.4" customHeight="1" s="701">
      <c r="A301" s="744" t="n"/>
      <c r="B301" s="347">
        <f>IFERROR(INDEX(Tabelle2[BU],MATCH(tbl_DCFC[[#This Row],[Categorie]],CAT,0)),"")</f>
        <v/>
      </c>
      <c r="C301" s="350">
        <f>IF(D301&lt;&gt;"","S"&amp;TEXT(WEEKNUM(D301,21),"00"),"")</f>
        <v/>
      </c>
      <c r="D301" s="744" t="n"/>
      <c r="E301" s="312" t="n"/>
      <c r="F301" s="350" t="n"/>
      <c r="G301" s="350" t="n"/>
      <c r="H301" s="350" t="n"/>
      <c r="I301" s="745" t="n"/>
      <c r="J301" s="350" t="n"/>
      <c r="K301" s="350" t="n"/>
      <c r="L301" s="350" t="n"/>
      <c r="M301" s="347" t="n"/>
      <c r="N301" s="350">
        <f>IF(Q301&lt;&gt;"","S"&amp;TEXT(WEEKNUM(Q301,21),"00"),"")</f>
        <v/>
      </c>
      <c r="O301" s="350">
        <f>IF(Data!$Q301="","",YEAR(Data!$Q301))</f>
        <v/>
      </c>
      <c r="P301" s="350">
        <f>IF(Data!$Q301="","",MONTH(Data!$Q301))</f>
        <v/>
      </c>
      <c r="Q301" s="310" t="n"/>
      <c r="S301" s="732" t="n"/>
      <c r="T301" s="733" t="n"/>
      <c r="U301" s="734" t="n"/>
      <c r="V301" s="347" t="n"/>
      <c r="W301" s="310" t="n"/>
      <c r="X301" s="350">
        <f>IF(AC301&lt;&gt;"","S"&amp;TEXT(WEEKNUM(AC301,21),"00"),"")</f>
        <v/>
      </c>
      <c r="Y301" s="350">
        <f>IF(Data!$AC301="","",YEAR(Data!$AC301))</f>
        <v/>
      </c>
      <c r="Z301" s="350">
        <f>IF(Data!$AC301="","",MONTH(Data!$AC301))</f>
        <v/>
      </c>
      <c r="AA301" s="310" t="n"/>
      <c r="AB301" s="312" t="n"/>
      <c r="AC301" s="310" t="n"/>
      <c r="AD301" s="732" t="n"/>
      <c r="AE301" s="310" t="n"/>
      <c r="AF301" s="302" t="n"/>
      <c r="AH301" s="347" t="n"/>
      <c r="AI301" s="340" t="n"/>
      <c r="AJ301" s="340" t="n"/>
      <c r="AK301" s="347" t="n"/>
      <c r="AM301" s="347" t="n"/>
      <c r="AN301" s="350" t="n"/>
      <c r="AO301" s="347" t="n"/>
      <c r="AQ301" s="347" t="n"/>
      <c r="AS301" s="347" t="n"/>
      <c r="AV301">
        <f>IF(AT301="","",S301-AT301-AU301)</f>
        <v/>
      </c>
      <c r="AW301">
        <f>IFERROR(IF(tbl_DCFC[[#This Row],[F Montant HT]]="","",tbl_DCFC[[#This Row],[Marge]]/tbl_DCFC[[#This Row],[F Montant HT]]),"")</f>
        <v/>
      </c>
    </row>
    <row r="302" ht="14.4" customHeight="1" s="701">
      <c r="A302" s="744" t="n"/>
      <c r="B302" s="347">
        <f>IFERROR(INDEX(Tabelle2[BU],MATCH(tbl_DCFC[[#This Row],[Categorie]],CAT,0)),"")</f>
        <v/>
      </c>
      <c r="C302" s="350">
        <f>IF(D302&lt;&gt;"","S"&amp;TEXT(WEEKNUM(D302,21),"00"),"")</f>
        <v/>
      </c>
      <c r="D302" s="744" t="n"/>
      <c r="E302" s="312" t="n"/>
      <c r="F302" s="350" t="n"/>
      <c r="G302" s="350" t="n"/>
      <c r="H302" s="350" t="n"/>
      <c r="I302" s="745" t="n"/>
      <c r="J302" s="350" t="n"/>
      <c r="K302" s="350" t="n"/>
      <c r="L302" s="350" t="n"/>
      <c r="M302" s="347" t="n"/>
      <c r="N302" s="350">
        <f>IF(Q302&lt;&gt;"","S"&amp;TEXT(WEEKNUM(Q302,21),"00"),"")</f>
        <v/>
      </c>
      <c r="O302" s="350">
        <f>IF(Data!$Q302="","",YEAR(Data!$Q302))</f>
        <v/>
      </c>
      <c r="P302" s="350">
        <f>IF(Data!$Q302="","",MONTH(Data!$Q302))</f>
        <v/>
      </c>
      <c r="Q302" s="310" t="n"/>
      <c r="S302" s="732" t="n"/>
      <c r="T302" s="733" t="n"/>
      <c r="U302" s="734" t="n"/>
      <c r="V302" s="347" t="n"/>
      <c r="W302" s="310" t="n"/>
      <c r="X302" s="350">
        <f>IF(AC302&lt;&gt;"","S"&amp;TEXT(WEEKNUM(AC302,21),"00"),"")</f>
        <v/>
      </c>
      <c r="Y302" s="350">
        <f>IF(Data!$AC302="","",YEAR(Data!$AC302))</f>
        <v/>
      </c>
      <c r="Z302" s="350">
        <f>IF(Data!$AC302="","",MONTH(Data!$AC302))</f>
        <v/>
      </c>
      <c r="AA302" s="310" t="n"/>
      <c r="AB302" s="312" t="n"/>
      <c r="AC302" s="310" t="n"/>
      <c r="AD302" s="732" t="n"/>
      <c r="AE302" s="310" t="n"/>
      <c r="AF302" s="302" t="n"/>
      <c r="AH302" s="347" t="n"/>
      <c r="AI302" s="315" t="n"/>
      <c r="AJ302" s="340" t="n"/>
      <c r="AK302" s="347" t="n"/>
      <c r="AM302" s="347" t="n"/>
      <c r="AN302" s="350" t="n"/>
      <c r="AO302" s="347" t="n"/>
      <c r="AQ302" s="347" t="n"/>
      <c r="AS302" s="347" t="n"/>
      <c r="AV302">
        <f>IF(AT302="","",S302-AT302-AU302)</f>
        <v/>
      </c>
      <c r="AW302">
        <f>IFERROR(IF(tbl_DCFC[[#This Row],[F Montant HT]]="","",tbl_DCFC[[#This Row],[Marge]]/tbl_DCFC[[#This Row],[F Montant HT]]),"")</f>
        <v/>
      </c>
    </row>
    <row r="303" ht="14.4" customHeight="1" s="701">
      <c r="A303" s="744" t="n"/>
      <c r="B303" s="347">
        <f>IFERROR(INDEX(Tabelle2[BU],MATCH(tbl_DCFC[[#This Row],[Categorie]],CAT,0)),"")</f>
        <v/>
      </c>
      <c r="C303" s="350">
        <f>IF(D303&lt;&gt;"","S"&amp;TEXT(WEEKNUM(D303,21),"00"),"")</f>
        <v/>
      </c>
      <c r="D303" s="744" t="n"/>
      <c r="E303" s="312" t="n"/>
      <c r="F303" s="350" t="n"/>
      <c r="G303" s="350" t="n"/>
      <c r="H303" s="350" t="n"/>
      <c r="I303" s="745" t="n"/>
      <c r="J303" s="350" t="n"/>
      <c r="K303" s="350" t="n"/>
      <c r="L303" s="350" t="n"/>
      <c r="M303" s="347" t="n"/>
      <c r="N303" s="350">
        <f>IF(Q303&lt;&gt;"","S"&amp;TEXT(WEEKNUM(Q303,21),"00"),"")</f>
        <v/>
      </c>
      <c r="O303" s="350">
        <f>IF(Data!$Q303="","",YEAR(Data!$Q303))</f>
        <v/>
      </c>
      <c r="P303" s="350">
        <f>IF(Data!$Q303="","",MONTH(Data!$Q303))</f>
        <v/>
      </c>
      <c r="Q303" s="310" t="n"/>
      <c r="S303" s="732" t="n"/>
      <c r="T303" s="733" t="n"/>
      <c r="U303" s="734" t="n"/>
      <c r="V303" s="347" t="n"/>
      <c r="W303" s="310" t="n"/>
      <c r="X303" s="350">
        <f>IF(AC303&lt;&gt;"","S"&amp;TEXT(WEEKNUM(AC303,21),"00"),"")</f>
        <v/>
      </c>
      <c r="Y303" s="350">
        <f>IF(Data!$AC303="","",YEAR(Data!$AC303))</f>
        <v/>
      </c>
      <c r="Z303" s="350">
        <f>IF(Data!$AC303="","",MONTH(Data!$AC303))</f>
        <v/>
      </c>
      <c r="AA303" s="310" t="n"/>
      <c r="AB303" s="312" t="n"/>
      <c r="AC303" s="310" t="n"/>
      <c r="AD303" s="732" t="n"/>
      <c r="AE303" s="310" t="n"/>
      <c r="AF303" s="302" t="n"/>
      <c r="AH303" s="347" t="n"/>
      <c r="AI303" s="340" t="n"/>
      <c r="AJ303" s="340" t="n"/>
      <c r="AK303" s="347" t="n"/>
      <c r="AM303" s="347" t="n"/>
      <c r="AN303" s="350" t="n"/>
      <c r="AO303" s="347" t="n"/>
      <c r="AQ303" s="347" t="n"/>
      <c r="AS303" s="347" t="n"/>
      <c r="AV303">
        <f>IF(AT303="","",S303-AT303-AU303)</f>
        <v/>
      </c>
      <c r="AW303">
        <f>IFERROR(IF(tbl_DCFC[[#This Row],[F Montant HT]]="","",tbl_DCFC[[#This Row],[Marge]]/tbl_DCFC[[#This Row],[F Montant HT]]),"")</f>
        <v/>
      </c>
    </row>
    <row r="304" ht="14.4" customHeight="1" s="701">
      <c r="A304" s="744" t="n"/>
      <c r="B304" s="347">
        <f>IFERROR(INDEX(Tabelle2[BU],MATCH(tbl_DCFC[[#This Row],[Categorie]],CAT,0)),"")</f>
        <v/>
      </c>
      <c r="C304" s="350">
        <f>IF(D304&lt;&gt;"","S"&amp;TEXT(WEEKNUM(D304,21),"00"),"")</f>
        <v/>
      </c>
      <c r="D304" s="744" t="n"/>
      <c r="E304" s="312" t="n"/>
      <c r="F304" s="350" t="n"/>
      <c r="G304" s="350" t="n"/>
      <c r="H304" s="350" t="n"/>
      <c r="I304" s="745" t="n"/>
      <c r="J304" s="350" t="n"/>
      <c r="K304" s="350" t="n"/>
      <c r="L304" s="350" t="n"/>
      <c r="M304" s="347" t="n"/>
      <c r="N304" s="350">
        <f>IF(Q304&lt;&gt;"","S"&amp;TEXT(WEEKNUM(Q304,21),"00"),"")</f>
        <v/>
      </c>
      <c r="O304" s="350">
        <f>IF(Data!$Q304="","",YEAR(Data!$Q304))</f>
        <v/>
      </c>
      <c r="P304" s="350">
        <f>IF(Data!$Q304="","",MONTH(Data!$Q304))</f>
        <v/>
      </c>
      <c r="Q304" s="310" t="n"/>
      <c r="S304" s="732" t="n"/>
      <c r="T304" s="733" t="n"/>
      <c r="U304" s="734" t="n"/>
      <c r="V304" s="347" t="n"/>
      <c r="W304" s="310" t="n"/>
      <c r="X304" s="350">
        <f>IF(AC304&lt;&gt;"","S"&amp;TEXT(WEEKNUM(AC304,21),"00"),"")</f>
        <v/>
      </c>
      <c r="Y304" s="350">
        <f>IF(Data!$AC304="","",YEAR(Data!$AC304))</f>
        <v/>
      </c>
      <c r="Z304" s="350">
        <f>IF(Data!$AC304="","",MONTH(Data!$AC304))</f>
        <v/>
      </c>
      <c r="AA304" s="310" t="n"/>
      <c r="AB304" s="312" t="n"/>
      <c r="AC304" s="310" t="n"/>
      <c r="AD304" s="732" t="n"/>
      <c r="AE304" s="310" t="n"/>
      <c r="AF304" s="302" t="n"/>
      <c r="AH304" s="347" t="n"/>
      <c r="AI304" s="315" t="n"/>
      <c r="AJ304" s="340" t="n"/>
      <c r="AK304" s="347" t="n"/>
      <c r="AM304" s="347" t="n"/>
      <c r="AN304" s="350" t="n"/>
      <c r="AO304" s="347" t="n"/>
      <c r="AQ304" s="347" t="n"/>
      <c r="AS304" s="347" t="n"/>
      <c r="AV304">
        <f>IF(AT304="","",S304-AT304-AU304)</f>
        <v/>
      </c>
      <c r="AW304">
        <f>IFERROR(IF(tbl_DCFC[[#This Row],[F Montant HT]]="","",tbl_DCFC[[#This Row],[Marge]]/tbl_DCFC[[#This Row],[F Montant HT]]),"")</f>
        <v/>
      </c>
    </row>
    <row r="305" ht="14.4" customHeight="1" s="701">
      <c r="A305" s="746" t="n"/>
      <c r="B305" s="322">
        <f>IFERROR(INDEX(Tabelle2[BU],MATCH(tbl_DCFC[[#This Row],[Categorie]],CAT,0)),"")</f>
        <v/>
      </c>
      <c r="C305" s="324">
        <f>IF(D305&lt;&gt;"","S"&amp;TEXT(WEEKNUM(D305,21),"00"),"")</f>
        <v/>
      </c>
      <c r="D305" s="746" t="n"/>
      <c r="E305" s="323" t="n"/>
      <c r="F305" s="324" t="n"/>
      <c r="G305" s="324" t="n"/>
      <c r="H305" s="324" t="n"/>
      <c r="I305" s="747" t="n"/>
      <c r="J305" s="324" t="n"/>
      <c r="K305" s="324" t="n"/>
      <c r="L305" s="324" t="n"/>
      <c r="M305" s="322" t="n"/>
      <c r="N305" s="324">
        <f>IF(Q305&lt;&gt;"","S"&amp;TEXT(WEEKNUM(Q305,21),"00"),"")</f>
        <v/>
      </c>
      <c r="O305" s="350">
        <f>IF(Data!$Q305="","",YEAR(Data!$Q305))</f>
        <v/>
      </c>
      <c r="P305" s="350">
        <f>IF(Data!$Q305="","",MONTH(Data!$Q305))</f>
        <v/>
      </c>
      <c r="Q305" s="325" t="n"/>
      <c r="S305" s="748" t="n"/>
      <c r="T305" s="749" t="n"/>
      <c r="U305" s="750" t="n"/>
      <c r="V305" s="322" t="n"/>
      <c r="W305" s="325" t="n"/>
      <c r="X305" s="324">
        <f>IF(AC305&lt;&gt;"","S"&amp;TEXT(WEEKNUM(AC305,21),"00"),"")</f>
        <v/>
      </c>
      <c r="Y305" s="324">
        <f>IF(Data!$AC305="","",YEAR(Data!$AC305))</f>
        <v/>
      </c>
      <c r="Z305" s="324">
        <f>IF(Data!$AC305="","",MONTH(Data!$AC305))</f>
        <v/>
      </c>
      <c r="AA305" s="325" t="n"/>
      <c r="AB305" s="323" t="n"/>
      <c r="AC305" s="325" t="n"/>
      <c r="AD305" s="748" t="n"/>
      <c r="AE305" s="325" t="n"/>
      <c r="AF305" s="302" t="n"/>
      <c r="AH305" s="322" t="n"/>
      <c r="AI305" s="326" t="n"/>
      <c r="AJ305" s="326" t="n"/>
      <c r="AK305" s="322" t="n"/>
      <c r="AM305" s="322" t="n"/>
      <c r="AN305" s="324" t="n"/>
      <c r="AO305" s="322" t="n"/>
      <c r="AQ305" s="322" t="n"/>
      <c r="AS305" s="322" t="n"/>
      <c r="AV305">
        <f>IF(AT305="","",S305-AT305-AU305)</f>
        <v/>
      </c>
      <c r="AW305">
        <f>IFERROR(IF(tbl_DCFC[[#This Row],[F Montant HT]]="","",tbl_DCFC[[#This Row],[Marge]]/tbl_DCFC[[#This Row],[F Montant HT]]),"")</f>
        <v/>
      </c>
    </row>
    <row r="306" ht="14.4" customHeight="1" s="701">
      <c r="A306" s="744" t="n"/>
      <c r="B306" s="347">
        <f>IFERROR(INDEX(Tabelle2[BU],MATCH(tbl_DCFC[[#This Row],[Categorie]],CAT,0)),"")</f>
        <v/>
      </c>
      <c r="C306" s="350">
        <f>IF(D306&lt;&gt;"","S"&amp;TEXT(WEEKNUM(D306,21),"00"),"")</f>
        <v/>
      </c>
      <c r="D306" s="744" t="n"/>
      <c r="E306" s="312" t="n"/>
      <c r="F306" s="350" t="n"/>
      <c r="G306" s="350" t="n"/>
      <c r="H306" s="350" t="n"/>
      <c r="I306" s="745" t="n"/>
      <c r="J306" s="350" t="n"/>
      <c r="K306" s="350" t="n"/>
      <c r="L306" s="350" t="n"/>
      <c r="M306" s="347" t="n"/>
      <c r="N306" s="350">
        <f>IF(Q306&lt;&gt;"","S"&amp;TEXT(WEEKNUM(Q306,21),"00"),"")</f>
        <v/>
      </c>
      <c r="O306" s="350">
        <f>IF(Data!$Q306="","",YEAR(Data!$Q306))</f>
        <v/>
      </c>
      <c r="P306" s="350">
        <f>IF(Data!$Q306="","",MONTH(Data!$Q306))</f>
        <v/>
      </c>
      <c r="Q306" s="310" t="n"/>
      <c r="S306" s="732" t="n"/>
      <c r="T306" s="733" t="n"/>
      <c r="U306" s="734" t="n"/>
      <c r="V306" s="347" t="n"/>
      <c r="W306" s="310" t="n"/>
      <c r="X306" s="350">
        <f>IF(AC306&lt;&gt;"","S"&amp;TEXT(WEEKNUM(AC306,21),"00"),"")</f>
        <v/>
      </c>
      <c r="Y306" s="350">
        <f>IF(Data!$AC306="","",YEAR(Data!$AC306))</f>
        <v/>
      </c>
      <c r="Z306" s="350">
        <f>IF(Data!$AC306="","",MONTH(Data!$AC306))</f>
        <v/>
      </c>
      <c r="AA306" s="310" t="n"/>
      <c r="AB306" s="312" t="n"/>
      <c r="AC306" s="310" t="n"/>
      <c r="AD306" s="732" t="n"/>
      <c r="AE306" s="310" t="n"/>
      <c r="AF306" s="302" t="n"/>
      <c r="AH306" s="347" t="n"/>
      <c r="AI306" s="340" t="n"/>
      <c r="AJ306" s="340" t="n"/>
      <c r="AK306" s="347" t="n"/>
      <c r="AM306" s="347" t="n"/>
      <c r="AN306" s="350" t="n"/>
      <c r="AO306" s="347" t="n"/>
      <c r="AQ306" s="347" t="n"/>
      <c r="AS306" s="347" t="n"/>
      <c r="AV306">
        <f>IF(AT306="","",S306-AT306-AU306)</f>
        <v/>
      </c>
      <c r="AW306">
        <f>IFERROR(IF(tbl_DCFC[[#This Row],[F Montant HT]]="","",tbl_DCFC[[#This Row],[Marge]]/tbl_DCFC[[#This Row],[F Montant HT]]),"")</f>
        <v/>
      </c>
    </row>
    <row r="307" ht="14.4" customHeight="1" s="701">
      <c r="A307" s="751" t="n"/>
      <c r="B307" s="327">
        <f>IFERROR(INDEX(Tabelle2[BU],MATCH(tbl_DCFC[[#This Row],[Categorie]],CAT,0)),"")</f>
        <v/>
      </c>
      <c r="C307" s="329">
        <f>IF(D307&lt;&gt;"","S"&amp;TEXT(WEEKNUM(D307,21),"00"),"")</f>
        <v/>
      </c>
      <c r="D307" s="751" t="n"/>
      <c r="E307" s="328" t="n"/>
      <c r="F307" s="329" t="n"/>
      <c r="G307" s="329" t="n"/>
      <c r="H307" s="329" t="n"/>
      <c r="I307" s="752" t="n"/>
      <c r="J307" s="329" t="n"/>
      <c r="K307" s="329" t="n"/>
      <c r="L307" s="329" t="n"/>
      <c r="N307" s="329">
        <f>IF(Q307&lt;&gt;"","S"&amp;TEXT(WEEKNUM(Q307,21),"00"),"")</f>
        <v/>
      </c>
      <c r="O307" s="350">
        <f>IF(Data!$Q307="","",YEAR(Data!$Q307))</f>
        <v/>
      </c>
      <c r="P307" s="350">
        <f>IF(Data!$Q307="","",MONTH(Data!$Q307))</f>
        <v/>
      </c>
      <c r="Q307" s="330" t="n"/>
      <c r="S307" s="753" t="n"/>
      <c r="T307" s="754" t="n"/>
      <c r="U307" s="755" t="n"/>
      <c r="W307" s="330" t="n"/>
      <c r="X307" s="329">
        <f>IF(AC307&lt;&gt;"","S"&amp;TEXT(WEEKNUM(AC307,21),"00"),"")</f>
        <v/>
      </c>
      <c r="Y307" s="329">
        <f>IF(Data!$AC307="","",YEAR(Data!$AC307))</f>
        <v/>
      </c>
      <c r="Z307" s="329">
        <f>IF(Data!$AC307="","",MONTH(Data!$AC307))</f>
        <v/>
      </c>
      <c r="AA307" s="330" t="n"/>
      <c r="AB307" s="328" t="n"/>
      <c r="AC307" s="330" t="n"/>
      <c r="AD307" s="753" t="n"/>
      <c r="AE307" s="330" t="n"/>
      <c r="AF307" s="302" t="n"/>
      <c r="AV307">
        <f>IF(AT307="","",S307-AT307-AU307)</f>
        <v/>
      </c>
      <c r="AW307">
        <f>IFERROR(IF(tbl_DCFC[[#This Row],[F Montant HT]]="","",tbl_DCFC[[#This Row],[Marge]]/tbl_DCFC[[#This Row],[F Montant HT]]),"")</f>
        <v/>
      </c>
    </row>
    <row r="308" ht="14.4" customHeight="1" s="701">
      <c r="A308" s="751" t="n"/>
      <c r="B308" s="327">
        <f>IFERROR(INDEX(Tabelle2[BU],MATCH(tbl_DCFC[[#This Row],[Categorie]],CAT,0)),"")</f>
        <v/>
      </c>
      <c r="C308" s="329">
        <f>IF(D308&lt;&gt;"","S"&amp;TEXT(WEEKNUM(D308,21),"00"),"")</f>
        <v/>
      </c>
      <c r="D308" s="751" t="n"/>
      <c r="E308" s="328" t="n"/>
      <c r="F308" s="329" t="n"/>
      <c r="G308" s="329" t="n"/>
      <c r="H308" s="329" t="n"/>
      <c r="I308" s="752" t="n"/>
      <c r="J308" s="329" t="n"/>
      <c r="K308" s="329" t="n"/>
      <c r="L308" s="329" t="n"/>
      <c r="N308" s="329">
        <f>IF(Q308&lt;&gt;"","S"&amp;TEXT(WEEKNUM(Q308,21),"00"),"")</f>
        <v/>
      </c>
      <c r="O308" s="350">
        <f>IF(Data!$Q308="","",YEAR(Data!$Q308))</f>
        <v/>
      </c>
      <c r="P308" s="350">
        <f>IF(Data!$Q308="","",MONTH(Data!$Q308))</f>
        <v/>
      </c>
      <c r="Q308" s="330" t="n"/>
      <c r="S308" s="753" t="n"/>
      <c r="T308" s="754" t="n"/>
      <c r="U308" s="755" t="n"/>
      <c r="W308" s="330" t="n"/>
      <c r="X308" s="329">
        <f>IF(AC308&lt;&gt;"","S"&amp;TEXT(WEEKNUM(AC308,21),"00"),"")</f>
        <v/>
      </c>
      <c r="Y308" s="329">
        <f>IF(Data!$AC308="","",YEAR(Data!$AC308))</f>
        <v/>
      </c>
      <c r="Z308" s="329">
        <f>IF(Data!$AC308="","",MONTH(Data!$AC308))</f>
        <v/>
      </c>
      <c r="AA308" s="330" t="n"/>
      <c r="AB308" s="328" t="n"/>
      <c r="AC308" s="330" t="n"/>
      <c r="AD308" s="753" t="n"/>
      <c r="AE308" s="330" t="n"/>
      <c r="AF308" s="302" t="n"/>
      <c r="AV308">
        <f>IF(AT308="","",S308-AT308-AU308)</f>
        <v/>
      </c>
      <c r="AW308">
        <f>IFERROR(IF(tbl_DCFC[[#This Row],[F Montant HT]]="","",tbl_DCFC[[#This Row],[Marge]]/tbl_DCFC[[#This Row],[F Montant HT]]),"")</f>
        <v/>
      </c>
    </row>
    <row r="309" ht="14.4" customHeight="1" s="701">
      <c r="A309" s="751" t="n"/>
      <c r="B309" s="327">
        <f>IFERROR(INDEX(Tabelle2[BU],MATCH(tbl_DCFC[[#This Row],[Categorie]],CAT,0)),"")</f>
        <v/>
      </c>
      <c r="C309" s="329">
        <f>IF(D309&lt;&gt;"","S"&amp;TEXT(WEEKNUM(D309,21),"00"),"")</f>
        <v/>
      </c>
      <c r="D309" s="751" t="n"/>
      <c r="E309" s="328" t="n"/>
      <c r="F309" s="329" t="n"/>
      <c r="G309" s="329" t="n"/>
      <c r="H309" s="329" t="n"/>
      <c r="I309" s="752" t="n"/>
      <c r="J309" s="329" t="n"/>
      <c r="K309" s="329" t="n"/>
      <c r="L309" s="329" t="n"/>
      <c r="N309" s="329">
        <f>IF(Q309&lt;&gt;"","S"&amp;TEXT(WEEKNUM(Q309,21),"00"),"")</f>
        <v/>
      </c>
      <c r="O309" s="350">
        <f>IF(Data!$Q309="","",YEAR(Data!$Q309))</f>
        <v/>
      </c>
      <c r="P309" s="350">
        <f>IF(Data!$Q309="","",MONTH(Data!$Q309))</f>
        <v/>
      </c>
      <c r="Q309" s="330" t="n"/>
      <c r="S309" s="753" t="n"/>
      <c r="T309" s="754" t="n"/>
      <c r="U309" s="755" t="n"/>
      <c r="W309" s="330" t="n"/>
      <c r="X309" s="329">
        <f>IF(AC309&lt;&gt;"","S"&amp;TEXT(WEEKNUM(AC309,21),"00"),"")</f>
        <v/>
      </c>
      <c r="Y309" s="329">
        <f>IF(Data!$AC309="","",YEAR(Data!$AC309))</f>
        <v/>
      </c>
      <c r="Z309" s="329">
        <f>IF(Data!$AC309="","",MONTH(Data!$AC309))</f>
        <v/>
      </c>
      <c r="AA309" s="330" t="n"/>
      <c r="AB309" s="328" t="n"/>
      <c r="AC309" s="330" t="n"/>
      <c r="AD309" s="753" t="n"/>
      <c r="AE309" s="330" t="n"/>
      <c r="AF309" s="302" t="n"/>
      <c r="AV309">
        <f>IF(AT309="","",S309-AT309-AU309)</f>
        <v/>
      </c>
      <c r="AW309">
        <f>IFERROR(IF(tbl_DCFC[[#This Row],[F Montant HT]]="","",tbl_DCFC[[#This Row],[Marge]]/tbl_DCFC[[#This Row],[F Montant HT]]),"")</f>
        <v/>
      </c>
    </row>
    <row r="310" ht="14.4" customHeight="1" s="701">
      <c r="A310" s="751" t="n"/>
      <c r="B310" s="327">
        <f>IFERROR(INDEX(Tabelle2[BU],MATCH(tbl_DCFC[[#This Row],[Categorie]],CAT,0)),"")</f>
        <v/>
      </c>
      <c r="C310" s="329">
        <f>IF(D310&lt;&gt;"","S"&amp;TEXT(WEEKNUM(D310,21),"00"),"")</f>
        <v/>
      </c>
      <c r="D310" s="751" t="n"/>
      <c r="E310" s="328" t="n"/>
      <c r="F310" s="329" t="n"/>
      <c r="G310" s="329" t="n"/>
      <c r="H310" s="329" t="n"/>
      <c r="I310" s="752" t="n"/>
      <c r="J310" s="329" t="n"/>
      <c r="K310" s="329" t="n"/>
      <c r="L310" s="329" t="n"/>
      <c r="N310" s="329">
        <f>IF(Q310&lt;&gt;"","S"&amp;TEXT(WEEKNUM(Q310,21),"00"),"")</f>
        <v/>
      </c>
      <c r="O310" s="350">
        <f>IF(Data!$Q310="","",YEAR(Data!$Q310))</f>
        <v/>
      </c>
      <c r="P310" s="350">
        <f>IF(Data!$Q310="","",MONTH(Data!$Q310))</f>
        <v/>
      </c>
      <c r="Q310" s="330" t="n"/>
      <c r="S310" s="753" t="n"/>
      <c r="T310" s="754" t="n"/>
      <c r="U310" s="755" t="n"/>
      <c r="W310" s="330" t="n"/>
      <c r="X310" s="329">
        <f>IF(AC310&lt;&gt;"","S"&amp;TEXT(WEEKNUM(AC310,21),"00"),"")</f>
        <v/>
      </c>
      <c r="Y310" s="329">
        <f>IF(Data!$AC310="","",YEAR(Data!$AC310))</f>
        <v/>
      </c>
      <c r="Z310" s="329">
        <f>IF(Data!$AC310="","",MONTH(Data!$AC310))</f>
        <v/>
      </c>
      <c r="AA310" s="330" t="n"/>
      <c r="AB310" s="328" t="n"/>
      <c r="AC310" s="330" t="n"/>
      <c r="AD310" s="753" t="n"/>
      <c r="AE310" s="330" t="n"/>
      <c r="AF310" s="302" t="n"/>
      <c r="AV310">
        <f>IF(AT310="","",S310-AT310-AU310)</f>
        <v/>
      </c>
      <c r="AW310">
        <f>IFERROR(IF(tbl_DCFC[[#This Row],[F Montant HT]]="","",tbl_DCFC[[#This Row],[Marge]]/tbl_DCFC[[#This Row],[F Montant HT]]),"")</f>
        <v/>
      </c>
    </row>
    <row r="311" ht="14.4" customHeight="1" s="701">
      <c r="A311" s="751" t="n"/>
      <c r="B311" s="327">
        <f>IFERROR(INDEX(Tabelle2[BU],MATCH(tbl_DCFC[[#This Row],[Categorie]],CAT,0)),"")</f>
        <v/>
      </c>
      <c r="C311" s="329">
        <f>IF(D311&lt;&gt;"","S"&amp;TEXT(WEEKNUM(D311,21),"00"),"")</f>
        <v/>
      </c>
      <c r="D311" s="751" t="n"/>
      <c r="E311" s="328" t="n"/>
      <c r="F311" s="329" t="n"/>
      <c r="G311" s="329" t="n"/>
      <c r="H311" s="329" t="n"/>
      <c r="I311" s="752" t="n"/>
      <c r="J311" s="329" t="n"/>
      <c r="K311" s="329" t="n"/>
      <c r="L311" s="329" t="n"/>
      <c r="N311" s="329">
        <f>IF(Q311&lt;&gt;"","S"&amp;TEXT(WEEKNUM(Q311,21),"00"),"")</f>
        <v/>
      </c>
      <c r="O311" s="350">
        <f>IF(Data!$Q311="","",YEAR(Data!$Q311))</f>
        <v/>
      </c>
      <c r="P311" s="350">
        <f>IF(Data!$Q311="","",MONTH(Data!$Q311))</f>
        <v/>
      </c>
      <c r="Q311" s="330" t="n"/>
      <c r="S311" s="753" t="n"/>
      <c r="T311" s="754" t="n"/>
      <c r="U311" s="755" t="n"/>
      <c r="W311" s="330" t="n"/>
      <c r="X311" s="329">
        <f>IF(AC311&lt;&gt;"","S"&amp;TEXT(WEEKNUM(AC311,21),"00"),"")</f>
        <v/>
      </c>
      <c r="Y311" s="329">
        <f>IF(Data!$AC311="","",YEAR(Data!$AC311))</f>
        <v/>
      </c>
      <c r="Z311" s="329">
        <f>IF(Data!$AC311="","",MONTH(Data!$AC311))</f>
        <v/>
      </c>
      <c r="AA311" s="330" t="n"/>
      <c r="AB311" s="328" t="n"/>
      <c r="AC311" s="330" t="n"/>
      <c r="AD311" s="753" t="n"/>
      <c r="AE311" s="330" t="n"/>
      <c r="AF311" s="302" t="n"/>
      <c r="AV311">
        <f>IF(AT311="","",S311-AT311-AU311)</f>
        <v/>
      </c>
      <c r="AW311">
        <f>IFERROR(IF(tbl_DCFC[[#This Row],[F Montant HT]]="","",tbl_DCFC[[#This Row],[Marge]]/tbl_DCFC[[#This Row],[F Montant HT]]),"")</f>
        <v/>
      </c>
    </row>
    <row r="312" ht="14.4" customHeight="1" s="701">
      <c r="A312" s="751" t="n"/>
      <c r="B312" s="327">
        <f>IFERROR(INDEX(Tabelle2[BU],MATCH(tbl_DCFC[[#This Row],[Categorie]],CAT,0)),"")</f>
        <v/>
      </c>
      <c r="C312" s="329">
        <f>IF(D312&lt;&gt;"","S"&amp;TEXT(WEEKNUM(D312,21),"00"),"")</f>
        <v/>
      </c>
      <c r="D312" s="751" t="n"/>
      <c r="E312" s="328" t="n"/>
      <c r="F312" s="329" t="n"/>
      <c r="G312" s="329" t="n"/>
      <c r="H312" s="329" t="n"/>
      <c r="I312" s="752" t="n"/>
      <c r="J312" s="329" t="n"/>
      <c r="K312" s="329" t="n"/>
      <c r="L312" s="329" t="n"/>
      <c r="N312" s="329">
        <f>IF(Q312&lt;&gt;"","S"&amp;TEXT(WEEKNUM(Q312,21),"00"),"")</f>
        <v/>
      </c>
      <c r="O312" s="350">
        <f>IF(Data!$Q312="","",YEAR(Data!$Q312))</f>
        <v/>
      </c>
      <c r="P312" s="350">
        <f>IF(Data!$Q312="","",MONTH(Data!$Q312))</f>
        <v/>
      </c>
      <c r="Q312" s="330" t="n"/>
      <c r="S312" s="753" t="n"/>
      <c r="T312" s="754" t="n"/>
      <c r="U312" s="755" t="n"/>
      <c r="W312" s="330" t="n"/>
      <c r="X312" s="329">
        <f>IF(AC312&lt;&gt;"","S"&amp;TEXT(WEEKNUM(AC312,21),"00"),"")</f>
        <v/>
      </c>
      <c r="Y312" s="329">
        <f>IF(Data!$AC312="","",YEAR(Data!$AC312))</f>
        <v/>
      </c>
      <c r="Z312" s="329">
        <f>IF(Data!$AC312="","",MONTH(Data!$AC312))</f>
        <v/>
      </c>
      <c r="AA312" s="330" t="n"/>
      <c r="AB312" s="328" t="n"/>
      <c r="AC312" s="330" t="n"/>
      <c r="AD312" s="753" t="n"/>
      <c r="AE312" s="330" t="n"/>
      <c r="AF312" s="302" t="n"/>
      <c r="AV312">
        <f>IF(AT312="","",S312-AT312-AU312)</f>
        <v/>
      </c>
      <c r="AW312">
        <f>IFERROR(IF(tbl_DCFC[[#This Row],[F Montant HT]]="","",tbl_DCFC[[#This Row],[Marge]]/tbl_DCFC[[#This Row],[F Montant HT]]),"")</f>
        <v/>
      </c>
    </row>
    <row r="313" ht="14.4" customHeight="1" s="701">
      <c r="A313" s="751" t="n"/>
      <c r="B313" s="327">
        <f>IFERROR(INDEX(Tabelle2[BU],MATCH(tbl_DCFC[[#This Row],[Categorie]],CAT,0)),"")</f>
        <v/>
      </c>
      <c r="C313" s="329">
        <f>IF(D313&lt;&gt;"","S"&amp;TEXT(WEEKNUM(D313,21),"00"),"")</f>
        <v/>
      </c>
      <c r="D313" s="751" t="n"/>
      <c r="E313" s="328" t="n"/>
      <c r="F313" s="329" t="n"/>
      <c r="G313" s="329" t="n"/>
      <c r="H313" s="329" t="n"/>
      <c r="I313" s="752" t="n"/>
      <c r="J313" s="329" t="n"/>
      <c r="K313" s="329" t="n"/>
      <c r="L313" s="329" t="n"/>
      <c r="N313" s="329">
        <f>IF(Q313&lt;&gt;"","S"&amp;TEXT(WEEKNUM(Q313,21),"00"),"")</f>
        <v/>
      </c>
      <c r="O313" s="350">
        <f>IF(Data!$Q313="","",YEAR(Data!$Q313))</f>
        <v/>
      </c>
      <c r="P313" s="350">
        <f>IF(Data!$Q313="","",MONTH(Data!$Q313))</f>
        <v/>
      </c>
      <c r="Q313" s="330" t="n"/>
      <c r="S313" s="753" t="n"/>
      <c r="T313" s="754" t="n"/>
      <c r="U313" s="755" t="n"/>
      <c r="W313" s="330" t="n"/>
      <c r="X313" s="329">
        <f>IF(AC313&lt;&gt;"","S"&amp;TEXT(WEEKNUM(AC313,21),"00"),"")</f>
        <v/>
      </c>
      <c r="Y313" s="329">
        <f>IF(Data!$AC313="","",YEAR(Data!$AC313))</f>
        <v/>
      </c>
      <c r="Z313" s="329">
        <f>IF(Data!$AC313="","",MONTH(Data!$AC313))</f>
        <v/>
      </c>
      <c r="AA313" s="330" t="n"/>
      <c r="AB313" s="328" t="n"/>
      <c r="AC313" s="330" t="n"/>
      <c r="AD313" s="753" t="n"/>
      <c r="AE313" s="330" t="n"/>
      <c r="AF313" s="302" t="n"/>
      <c r="AV313">
        <f>IF(AT313="","",S313-AT313-AU313)</f>
        <v/>
      </c>
      <c r="AW313">
        <f>IFERROR(IF(tbl_DCFC[[#This Row],[F Montant HT]]="","",tbl_DCFC[[#This Row],[Marge]]/tbl_DCFC[[#This Row],[F Montant HT]]),"")</f>
        <v/>
      </c>
    </row>
    <row r="314" ht="14.4" customHeight="1" s="701">
      <c r="A314" s="751" t="n"/>
      <c r="B314" s="327">
        <f>IFERROR(INDEX(Tabelle2[BU],MATCH(tbl_DCFC[[#This Row],[Categorie]],CAT,0)),"")</f>
        <v/>
      </c>
      <c r="C314" s="329">
        <f>IF(D314&lt;&gt;"","S"&amp;TEXT(WEEKNUM(D314,21),"00"),"")</f>
        <v/>
      </c>
      <c r="D314" s="751" t="n"/>
      <c r="E314" s="328" t="n"/>
      <c r="F314" s="329" t="n"/>
      <c r="G314" s="329" t="n"/>
      <c r="H314" s="329" t="n"/>
      <c r="I314" s="752" t="n"/>
      <c r="J314" s="329" t="n"/>
      <c r="K314" s="329" t="n"/>
      <c r="L314" s="329" t="n"/>
      <c r="N314" s="329">
        <f>IF(Q314&lt;&gt;"","S"&amp;TEXT(WEEKNUM(Q314,21),"00"),"")</f>
        <v/>
      </c>
      <c r="O314" s="350">
        <f>IF(Data!$Q314="","",YEAR(Data!$Q314))</f>
        <v/>
      </c>
      <c r="P314" s="350">
        <f>IF(Data!$Q314="","",MONTH(Data!$Q314))</f>
        <v/>
      </c>
      <c r="Q314" s="330" t="n"/>
      <c r="S314" s="753" t="n"/>
      <c r="T314" s="754" t="n"/>
      <c r="U314" s="755" t="n"/>
      <c r="W314" s="330" t="n"/>
      <c r="X314" s="329">
        <f>IF(AC314&lt;&gt;"","S"&amp;TEXT(WEEKNUM(AC314,21),"00"),"")</f>
        <v/>
      </c>
      <c r="Y314" s="329">
        <f>IF(Data!$AC314="","",YEAR(Data!$AC314))</f>
        <v/>
      </c>
      <c r="Z314" s="329">
        <f>IF(Data!$AC314="","",MONTH(Data!$AC314))</f>
        <v/>
      </c>
      <c r="AA314" s="330" t="n"/>
      <c r="AB314" s="328" t="n"/>
      <c r="AC314" s="330" t="n"/>
      <c r="AD314" s="753" t="n"/>
      <c r="AE314" s="330" t="n"/>
      <c r="AF314" s="302" t="n"/>
      <c r="AV314">
        <f>IF(AT314="","",S314-AT314-AU314)</f>
        <v/>
      </c>
      <c r="AW314">
        <f>IFERROR(IF(tbl_DCFC[[#This Row],[F Montant HT]]="","",tbl_DCFC[[#This Row],[Marge]]/tbl_DCFC[[#This Row],[F Montant HT]]),"")</f>
        <v/>
      </c>
    </row>
    <row r="315" ht="14.4" customHeight="1" s="701">
      <c r="A315" s="751" t="n"/>
      <c r="B315" s="327">
        <f>IFERROR(INDEX(Tabelle2[BU],MATCH(tbl_DCFC[[#This Row],[Categorie]],CAT,0)),"")</f>
        <v/>
      </c>
      <c r="C315" s="329">
        <f>IF(D315&lt;&gt;"","S"&amp;TEXT(WEEKNUM(D315,21),"00"),"")</f>
        <v/>
      </c>
      <c r="D315" s="751" t="n"/>
      <c r="E315" s="328" t="n"/>
      <c r="F315" s="329" t="n"/>
      <c r="G315" s="329" t="n"/>
      <c r="H315" s="329" t="n"/>
      <c r="I315" s="752" t="n"/>
      <c r="J315" s="329" t="n"/>
      <c r="K315" s="329" t="n"/>
      <c r="L315" s="329" t="n"/>
      <c r="N315" s="329">
        <f>IF(Q315&lt;&gt;"","S"&amp;TEXT(WEEKNUM(Q315,21),"00"),"")</f>
        <v/>
      </c>
      <c r="O315" s="350">
        <f>IF(Data!$Q315="","",YEAR(Data!$Q315))</f>
        <v/>
      </c>
      <c r="P315" s="350">
        <f>IF(Data!$Q315="","",MONTH(Data!$Q315))</f>
        <v/>
      </c>
      <c r="Q315" s="330" t="n"/>
      <c r="S315" s="753" t="n"/>
      <c r="T315" s="754" t="n"/>
      <c r="U315" s="755" t="n"/>
      <c r="W315" s="330" t="n"/>
      <c r="X315" s="329">
        <f>IF(AC315&lt;&gt;"","S"&amp;TEXT(WEEKNUM(AC315,21),"00"),"")</f>
        <v/>
      </c>
      <c r="Y315" s="329">
        <f>IF(Data!$AC315="","",YEAR(Data!$AC315))</f>
        <v/>
      </c>
      <c r="Z315" s="329">
        <f>IF(Data!$AC315="","",MONTH(Data!$AC315))</f>
        <v/>
      </c>
      <c r="AA315" s="330" t="n"/>
      <c r="AB315" s="328" t="n"/>
      <c r="AC315" s="330" t="n"/>
      <c r="AD315" s="753" t="n"/>
      <c r="AE315" s="330" t="n"/>
      <c r="AF315" s="302" t="n"/>
      <c r="AV315">
        <f>IF(AT315="","",S315-AT315-AU315)</f>
        <v/>
      </c>
      <c r="AW315">
        <f>IFERROR(IF(tbl_DCFC[[#This Row],[F Montant HT]]="","",tbl_DCFC[[#This Row],[Marge]]/tbl_DCFC[[#This Row],[F Montant HT]]),"")</f>
        <v/>
      </c>
    </row>
    <row r="316" ht="14.4" customHeight="1" s="701">
      <c r="A316" s="744" t="n"/>
      <c r="B316" s="347">
        <f>IFERROR(INDEX(Tabelle2[BU],MATCH(tbl_DCFC[[#This Row],[Categorie]],CAT,0)),"")</f>
        <v/>
      </c>
      <c r="C316" s="350">
        <f>IF(D316&lt;&gt;"","S"&amp;TEXT(WEEKNUM(D316,21),"00"),"")</f>
        <v/>
      </c>
      <c r="D316" s="744" t="n"/>
      <c r="E316" s="312" t="n"/>
      <c r="F316" s="350" t="n"/>
      <c r="G316" s="350" t="n"/>
      <c r="H316" s="350" t="n"/>
      <c r="I316" s="745" t="n"/>
      <c r="J316" s="350" t="n"/>
      <c r="K316" s="350" t="n"/>
      <c r="L316" s="350" t="n"/>
      <c r="M316" s="347" t="n"/>
      <c r="N316" s="350">
        <f>IF(Q316&lt;&gt;"","S"&amp;TEXT(WEEKNUM(Q316,21),"00"),"")</f>
        <v/>
      </c>
      <c r="O316" s="350">
        <f>IF(Data!$Q316="","",YEAR(Data!$Q316))</f>
        <v/>
      </c>
      <c r="P316" s="350">
        <f>IF(Data!$Q316="","",MONTH(Data!$Q316))</f>
        <v/>
      </c>
      <c r="Q316" s="310" t="n"/>
      <c r="R316" s="311" t="n"/>
      <c r="S316" s="732" t="n"/>
      <c r="T316" s="733" t="n"/>
      <c r="U316" s="734" t="n"/>
      <c r="V316" s="347" t="n"/>
      <c r="W316" s="310" t="n"/>
      <c r="X316" s="350">
        <f>IF(AC316&lt;&gt;"","S"&amp;TEXT(WEEKNUM(AC316,21),"00"),"")</f>
        <v/>
      </c>
      <c r="Y316" s="350">
        <f>IF(Data!$AC316="","",YEAR(Data!$AC316))</f>
        <v/>
      </c>
      <c r="Z316" s="350">
        <f>IF(Data!$AC316="","",MONTH(Data!$AC316))</f>
        <v/>
      </c>
      <c r="AA316" s="310" t="n"/>
      <c r="AB316" s="312" t="n"/>
      <c r="AC316" s="310" t="n"/>
      <c r="AD316" s="732" t="n"/>
      <c r="AE316" s="310" t="n"/>
      <c r="AF316" s="347" t="n"/>
      <c r="AG316" s="340" t="n"/>
      <c r="AH316" s="347" t="n"/>
      <c r="AI316" s="340" t="n"/>
      <c r="AJ316" s="340" t="n"/>
      <c r="AK316" s="347" t="n"/>
      <c r="AL316" s="340" t="n"/>
      <c r="AM316" s="347" t="n"/>
      <c r="AN316" s="350" t="n"/>
      <c r="AO316" s="347" t="n"/>
      <c r="AP316" s="340" t="n"/>
      <c r="AQ316" s="347" t="n"/>
      <c r="AR316" s="313" t="n"/>
      <c r="AS316" s="347" t="n"/>
      <c r="AT316" s="756" t="n"/>
      <c r="AU316" s="756" t="n"/>
      <c r="AV316" s="757">
        <f>IF(AT316="","",S316-AT316)</f>
        <v/>
      </c>
      <c r="AW316" s="348">
        <f>IFERROR(IF(tbl_DCFC[[#This Row],[F Montant HT]]="","",tbl_DCFC[[#This Row],[Marge]]/tbl_DCFC[[#This Row],[F Montant HT]]),"")</f>
        <v/>
      </c>
    </row>
    <row r="317" ht="14.4" customHeight="1" s="701">
      <c r="A317" s="751" t="n"/>
      <c r="C317" s="329" t="n"/>
      <c r="D317" s="751" t="n"/>
      <c r="E317" s="329" t="n"/>
      <c r="F317" s="329" t="n"/>
      <c r="G317" s="329" t="n"/>
      <c r="H317" s="329" t="n"/>
      <c r="I317" s="752" t="n"/>
      <c r="J317" s="329" t="n"/>
      <c r="K317" s="329" t="n"/>
      <c r="L317" s="329" t="n"/>
      <c r="N317" s="329" t="n"/>
      <c r="O317" s="329" t="n"/>
      <c r="P317" s="329" t="n"/>
      <c r="Q317" s="330" t="n"/>
      <c r="R317" s="106" t="n"/>
      <c r="S317" s="753" t="n"/>
      <c r="T317" s="754" t="n"/>
      <c r="U317" s="755" t="n"/>
      <c r="W317" s="163" t="n"/>
      <c r="AE317" s="163" t="n"/>
    </row>
    <row r="318" ht="14.4" customHeight="1" s="701">
      <c r="A318" s="751" t="n"/>
      <c r="C318" s="329" t="n"/>
      <c r="D318" s="751" t="n"/>
      <c r="E318" s="329" t="n"/>
      <c r="F318" s="329" t="n"/>
      <c r="G318" s="329" t="n"/>
      <c r="H318" s="329" t="n"/>
      <c r="I318" s="752" t="n"/>
      <c r="J318" s="329" t="n"/>
      <c r="K318" s="329" t="n"/>
      <c r="L318" s="329" t="n"/>
      <c r="N318" s="329" t="n"/>
      <c r="O318" s="329" t="n"/>
      <c r="P318" s="329" t="n"/>
      <c r="Q318" s="330" t="n"/>
      <c r="R318" s="106" t="n"/>
      <c r="S318" s="753" t="n"/>
      <c r="T318" s="754" t="n"/>
      <c r="U318" s="755" t="n"/>
      <c r="W318" s="163" t="n"/>
      <c r="AE318" s="163" t="n"/>
    </row>
    <row r="319" ht="14.4" customHeight="1" s="701">
      <c r="A319" s="751" t="n"/>
      <c r="C319" s="329" t="n"/>
      <c r="D319" s="751" t="n"/>
      <c r="E319" s="329" t="n"/>
      <c r="F319" s="329" t="n"/>
      <c r="G319" s="329" t="n"/>
      <c r="H319" s="329" t="n"/>
      <c r="I319" s="752" t="n"/>
      <c r="J319" s="329" t="n"/>
      <c r="K319" s="329" t="n"/>
      <c r="L319" s="329" t="n"/>
      <c r="N319" s="329" t="n"/>
      <c r="O319" s="329" t="n"/>
      <c r="P319" s="329" t="n"/>
      <c r="Q319" s="330" t="n"/>
      <c r="R319" s="106" t="n"/>
      <c r="S319" s="753" t="n"/>
      <c r="T319" s="754" t="n"/>
      <c r="U319" s="755" t="n"/>
      <c r="W319" s="163" t="n"/>
      <c r="AE319" s="163" t="n"/>
    </row>
    <row r="320" ht="14.4" customHeight="1" s="701">
      <c r="A320" s="751" t="n"/>
      <c r="C320" s="329" t="n"/>
      <c r="D320" s="751" t="n"/>
      <c r="E320" s="329" t="n"/>
      <c r="F320" s="329" t="n"/>
      <c r="G320" s="329" t="n"/>
      <c r="H320" s="329" t="n"/>
      <c r="I320" s="752" t="n"/>
      <c r="J320" s="329" t="n"/>
      <c r="K320" s="329" t="n"/>
      <c r="L320" s="329" t="n"/>
      <c r="N320" s="329" t="n"/>
      <c r="O320" s="329" t="n"/>
      <c r="P320" s="329" t="n"/>
      <c r="Q320" s="330" t="n"/>
      <c r="R320" s="106" t="n"/>
      <c r="S320" s="753" t="n"/>
      <c r="T320" s="754" t="n"/>
      <c r="U320" s="755" t="n"/>
      <c r="W320" s="163" t="n"/>
      <c r="AE320" s="163" t="n"/>
    </row>
    <row r="321" ht="14.4" customHeight="1" s="701">
      <c r="A321" s="751" t="n"/>
      <c r="C321" s="329" t="n"/>
      <c r="D321" s="751" t="n"/>
      <c r="E321" s="329" t="n"/>
      <c r="F321" s="329" t="n"/>
      <c r="G321" s="329" t="n"/>
      <c r="H321" s="329" t="n"/>
      <c r="I321" s="752" t="n"/>
      <c r="J321" s="329" t="n"/>
      <c r="K321" s="329" t="n"/>
      <c r="L321" s="329" t="n"/>
      <c r="N321" s="329" t="n"/>
      <c r="O321" s="329" t="n"/>
      <c r="P321" s="329" t="n"/>
      <c r="Q321" s="330" t="n"/>
      <c r="R321" s="106" t="n"/>
      <c r="S321" s="753" t="n"/>
      <c r="T321" s="754" t="n"/>
      <c r="U321" s="755" t="n"/>
      <c r="W321" s="163" t="n"/>
      <c r="AE321" s="163" t="n"/>
    </row>
    <row r="322" ht="14.4" customHeight="1" s="701">
      <c r="A322" s="751" t="n"/>
      <c r="C322" s="329" t="n"/>
      <c r="D322" s="751" t="n"/>
      <c r="E322" s="329" t="n"/>
      <c r="F322" s="329" t="n"/>
      <c r="G322" s="329" t="n"/>
      <c r="H322" s="329" t="n"/>
      <c r="I322" s="752" t="n"/>
      <c r="J322" s="329" t="n"/>
      <c r="K322" s="329" t="n"/>
      <c r="L322" s="329" t="n"/>
      <c r="N322" s="329" t="n"/>
      <c r="O322" s="329" t="n"/>
      <c r="P322" s="329" t="n"/>
      <c r="Q322" s="330" t="n"/>
      <c r="R322" s="106" t="n"/>
      <c r="S322" s="753" t="n"/>
      <c r="T322" s="754" t="n"/>
      <c r="U322" s="755" t="n"/>
      <c r="W322" s="163" t="n"/>
      <c r="AE322" s="163" t="n"/>
    </row>
    <row r="323" ht="14.4" customHeight="1" s="701">
      <c r="A323" s="751" t="n"/>
      <c r="C323" s="329" t="n"/>
      <c r="D323" s="751" t="n"/>
      <c r="E323" s="329" t="n"/>
      <c r="F323" s="329" t="n"/>
      <c r="G323" s="329" t="n"/>
      <c r="H323" s="329" t="n"/>
      <c r="I323" s="752" t="n"/>
      <c r="J323" s="329" t="n"/>
      <c r="K323" s="329" t="n"/>
      <c r="L323" s="329" t="n"/>
      <c r="N323" s="329" t="n"/>
      <c r="O323" s="329" t="n"/>
      <c r="P323" s="329" t="n"/>
      <c r="Q323" s="330" t="n"/>
      <c r="R323" s="106" t="n"/>
      <c r="S323" s="753" t="n"/>
      <c r="T323" s="754" t="n"/>
      <c r="U323" s="755" t="n"/>
      <c r="W323" s="163" t="n"/>
      <c r="AE323" s="163" t="n"/>
    </row>
    <row r="324" ht="14.4" customHeight="1" s="701">
      <c r="A324" s="751" t="n"/>
      <c r="C324" s="329" t="n"/>
      <c r="D324" s="751" t="n"/>
      <c r="E324" s="329" t="n"/>
      <c r="F324" s="329" t="n"/>
      <c r="G324" s="329" t="n"/>
      <c r="H324" s="329" t="n"/>
      <c r="I324" s="752" t="n"/>
      <c r="J324" s="329" t="n"/>
      <c r="K324" s="329" t="n"/>
      <c r="L324" s="329" t="n"/>
      <c r="N324" s="329" t="n"/>
      <c r="O324" s="329" t="n"/>
      <c r="P324" s="329" t="n"/>
      <c r="Q324" s="330" t="n"/>
      <c r="R324" s="106" t="n"/>
      <c r="S324" s="753" t="n"/>
      <c r="T324" s="754" t="n"/>
      <c r="U324" s="755" t="n"/>
      <c r="W324" s="163" t="n"/>
      <c r="AE324" s="163" t="n"/>
    </row>
    <row r="325" ht="14.4" customHeight="1" s="701">
      <c r="A325" s="751" t="n"/>
      <c r="C325" s="329" t="n"/>
      <c r="D325" s="751" t="n"/>
      <c r="E325" s="329" t="n"/>
      <c r="F325" s="329" t="n"/>
      <c r="G325" s="329" t="n"/>
      <c r="H325" s="329" t="n"/>
      <c r="I325" s="752" t="n"/>
      <c r="J325" s="329" t="n"/>
      <c r="K325" s="329" t="n"/>
      <c r="L325" s="329" t="n"/>
      <c r="N325" s="329" t="n"/>
      <c r="O325" s="329" t="n"/>
      <c r="P325" s="329" t="n"/>
      <c r="Q325" s="330" t="n"/>
      <c r="R325" s="106" t="n"/>
      <c r="S325" s="753" t="n"/>
      <c r="T325" s="754" t="n"/>
      <c r="U325" s="755" t="n"/>
      <c r="W325" s="163" t="n"/>
      <c r="AE325" s="163" t="n"/>
    </row>
    <row r="326" ht="14.4" customHeight="1" s="701">
      <c r="A326" s="751" t="n"/>
      <c r="C326" s="329" t="n"/>
      <c r="D326" s="751" t="n"/>
      <c r="E326" s="329" t="n"/>
      <c r="F326" s="329" t="n"/>
      <c r="G326" s="329" t="n"/>
      <c r="H326" s="329" t="n"/>
      <c r="I326" s="752" t="n"/>
      <c r="J326" s="329" t="n"/>
      <c r="K326" s="329" t="n"/>
      <c r="L326" s="329" t="n"/>
      <c r="N326" s="329" t="n"/>
      <c r="O326" s="329" t="n"/>
      <c r="P326" s="329" t="n"/>
      <c r="Q326" s="330" t="n"/>
      <c r="R326" s="106" t="n"/>
      <c r="S326" s="753" t="n"/>
      <c r="T326" s="754" t="n"/>
      <c r="U326" s="755" t="n"/>
      <c r="W326" s="163" t="n"/>
      <c r="AE326" s="163" t="n"/>
    </row>
    <row r="327" ht="14.4" customHeight="1" s="701">
      <c r="A327" s="751" t="n"/>
      <c r="C327" s="329" t="n"/>
      <c r="D327" s="751" t="n"/>
      <c r="E327" s="329" t="n"/>
      <c r="F327" s="329" t="n"/>
      <c r="G327" s="329" t="n"/>
      <c r="H327" s="329" t="n"/>
      <c r="I327" s="752" t="n"/>
      <c r="J327" s="329" t="n"/>
      <c r="K327" s="329" t="n"/>
      <c r="L327" s="329" t="n"/>
      <c r="N327" s="329" t="n"/>
      <c r="O327" s="329" t="n"/>
      <c r="P327" s="329" t="n"/>
      <c r="Q327" s="330" t="n"/>
      <c r="R327" s="106" t="n"/>
      <c r="S327" s="753" t="n"/>
      <c r="T327" s="754" t="n"/>
      <c r="U327" s="755" t="n"/>
      <c r="AE327" s="163" t="n"/>
      <c r="AT327" s="758" t="n"/>
      <c r="AU327" s="758" t="n"/>
      <c r="AV327" s="758" t="n"/>
      <c r="AW327" s="758" t="n"/>
    </row>
    <row r="328" ht="14.4" customHeight="1" s="701">
      <c r="A328" s="751" t="n"/>
      <c r="C328" s="329" t="n"/>
      <c r="D328" s="751" t="n"/>
      <c r="E328" s="329" t="n"/>
      <c r="F328" s="329" t="n"/>
      <c r="G328" s="329" t="n"/>
      <c r="H328" s="329" t="n"/>
      <c r="I328" s="752" t="n"/>
      <c r="J328" s="329" t="n"/>
      <c r="K328" s="329" t="n"/>
      <c r="L328" s="329" t="n"/>
      <c r="N328" s="329" t="n"/>
      <c r="O328" s="329" t="n"/>
      <c r="P328" s="329" t="n"/>
      <c r="Q328" s="330" t="n"/>
      <c r="R328" s="106" t="n"/>
      <c r="S328" s="753" t="n"/>
      <c r="T328" s="754" t="n"/>
      <c r="U328" s="755" t="n"/>
      <c r="AE328" s="163" t="n"/>
      <c r="AT328" s="758" t="n"/>
      <c r="AU328" s="758" t="n"/>
      <c r="AV328" s="758" t="n"/>
      <c r="AW328" s="758" t="n"/>
    </row>
    <row r="329" ht="14.4" customHeight="1" s="701">
      <c r="A329" s="751" t="n"/>
      <c r="C329" s="329" t="n"/>
      <c r="D329" s="751" t="n"/>
      <c r="E329" s="329" t="n"/>
      <c r="F329" s="329" t="n"/>
      <c r="G329" s="329" t="n"/>
      <c r="H329" s="329" t="n"/>
      <c r="I329" s="752" t="n"/>
      <c r="J329" s="329" t="n"/>
      <c r="K329" s="329" t="n"/>
      <c r="L329" s="329" t="n"/>
      <c r="N329" s="329" t="n"/>
      <c r="O329" s="329" t="n"/>
      <c r="P329" s="329" t="n"/>
      <c r="Q329" s="330" t="n"/>
      <c r="R329" s="106" t="n"/>
      <c r="S329" s="753" t="n"/>
      <c r="T329" s="754" t="n"/>
      <c r="U329" s="755" t="n"/>
      <c r="AE329" s="163" t="n"/>
      <c r="AT329" s="758" t="n"/>
      <c r="AU329" s="758" t="n"/>
      <c r="AV329" s="758" t="n"/>
      <c r="AW329" s="758" t="n"/>
    </row>
    <row r="330" ht="14.4" customHeight="1" s="701">
      <c r="A330" s="751" t="n"/>
      <c r="C330" s="329" t="n"/>
      <c r="D330" s="751" t="n"/>
      <c r="E330" s="329" t="n"/>
      <c r="F330" s="329" t="n"/>
      <c r="G330" s="329" t="n"/>
      <c r="H330" s="329" t="n"/>
      <c r="I330" s="752" t="n"/>
      <c r="J330" s="329" t="n"/>
      <c r="K330" s="329" t="n"/>
      <c r="L330" s="329" t="n"/>
      <c r="N330" s="329" t="n"/>
      <c r="O330" s="329" t="n"/>
      <c r="P330" s="329" t="n"/>
      <c r="Q330" s="330" t="n"/>
      <c r="R330" s="106" t="n"/>
      <c r="S330" s="753" t="n"/>
      <c r="T330" s="754" t="n"/>
      <c r="U330" s="755" t="n"/>
      <c r="AE330" s="163" t="n"/>
      <c r="AT330" s="758" t="n"/>
      <c r="AU330" s="758" t="n"/>
      <c r="AV330" s="758" t="n"/>
      <c r="AW330" s="758" t="n"/>
    </row>
    <row r="331" ht="14.4" customHeight="1" s="701">
      <c r="A331" s="751" t="n"/>
      <c r="C331" s="329" t="n"/>
      <c r="D331" s="751" t="n"/>
      <c r="E331" s="329" t="n"/>
      <c r="F331" s="329" t="n"/>
      <c r="G331" s="329" t="n"/>
      <c r="H331" s="329" t="n"/>
      <c r="I331" s="752" t="n"/>
      <c r="J331" s="329" t="n"/>
      <c r="K331" s="329" t="n"/>
      <c r="L331" s="329" t="n"/>
      <c r="N331" s="329" t="n"/>
      <c r="O331" s="329" t="n"/>
      <c r="P331" s="329" t="n"/>
      <c r="Q331" s="330" t="n"/>
      <c r="R331" s="106" t="n"/>
      <c r="S331" s="753" t="n"/>
      <c r="T331" s="754" t="n"/>
      <c r="U331" s="755" t="n"/>
      <c r="AE331" s="163" t="n"/>
      <c r="AT331" s="758" t="n"/>
      <c r="AU331" s="758" t="n"/>
      <c r="AV331" s="758" t="n"/>
      <c r="AW331" s="758" t="n"/>
    </row>
    <row r="332" ht="14.4" customHeight="1" s="701">
      <c r="A332" s="751" t="n"/>
      <c r="C332" s="329" t="n"/>
      <c r="D332" s="751" t="n"/>
      <c r="E332" s="329" t="n"/>
      <c r="F332" s="329" t="n"/>
      <c r="G332" s="329" t="n"/>
      <c r="H332" s="329" t="n"/>
      <c r="I332" s="752" t="n"/>
      <c r="J332" s="329" t="n"/>
      <c r="K332" s="329" t="n"/>
      <c r="L332" s="329" t="n"/>
      <c r="N332" s="329" t="n"/>
      <c r="O332" s="329" t="n"/>
      <c r="P332" s="329" t="n"/>
      <c r="Q332" s="330" t="n"/>
      <c r="R332" s="106" t="n"/>
      <c r="S332" s="753" t="n"/>
      <c r="T332" s="754" t="n"/>
      <c r="U332" s="755" t="n"/>
      <c r="AE332" s="163" t="n"/>
      <c r="AT332" s="758" t="n"/>
      <c r="AU332" s="758" t="n"/>
      <c r="AV332" s="758" t="n"/>
      <c r="AW332" s="758" t="n"/>
    </row>
    <row r="333" ht="14.4" customHeight="1" s="701">
      <c r="A333" s="751" t="n"/>
      <c r="C333" s="329" t="n"/>
      <c r="D333" s="751" t="n"/>
      <c r="E333" s="329" t="n"/>
      <c r="F333" s="329" t="n"/>
      <c r="G333" s="329" t="n"/>
      <c r="H333" s="329" t="n"/>
      <c r="I333" s="752" t="n"/>
      <c r="J333" s="329" t="n"/>
      <c r="K333" s="329" t="n"/>
      <c r="L333" s="329" t="n"/>
      <c r="N333" s="329" t="n"/>
      <c r="O333" s="329" t="n"/>
      <c r="P333" s="329" t="n"/>
      <c r="Q333" s="330" t="n"/>
      <c r="R333" s="106" t="n"/>
      <c r="S333" s="753" t="n"/>
      <c r="T333" s="754" t="n"/>
      <c r="U333" s="755" t="n"/>
      <c r="AE333" s="163" t="n"/>
      <c r="AT333" s="758" t="n"/>
      <c r="AU333" s="758" t="n"/>
      <c r="AV333" s="758" t="n"/>
      <c r="AW333" s="758" t="n"/>
    </row>
    <row r="334" ht="14.4" customHeight="1" s="701">
      <c r="A334" s="751" t="n"/>
      <c r="C334" s="329" t="n"/>
      <c r="D334" s="751" t="n"/>
      <c r="E334" s="329" t="n"/>
      <c r="F334" s="329" t="n"/>
      <c r="G334" s="329" t="n"/>
      <c r="H334" s="329" t="n"/>
      <c r="I334" s="752" t="n"/>
      <c r="J334" s="329" t="n"/>
      <c r="K334" s="329" t="n"/>
      <c r="L334" s="329" t="n"/>
      <c r="N334" s="329" t="n"/>
      <c r="O334" s="329" t="n"/>
      <c r="P334" s="329" t="n"/>
      <c r="Q334" s="330" t="n"/>
      <c r="R334" s="106" t="n"/>
      <c r="S334" s="753" t="n"/>
      <c r="T334" s="754" t="n"/>
      <c r="U334" s="755" t="n"/>
      <c r="AE334" s="163" t="n"/>
      <c r="AT334" s="758" t="n"/>
      <c r="AU334" s="758" t="n"/>
      <c r="AV334" s="758" t="n"/>
      <c r="AW334" s="758" t="n"/>
    </row>
    <row r="335" ht="14.4" customHeight="1" s="701">
      <c r="A335" s="751" t="n"/>
      <c r="C335" s="329" t="n"/>
      <c r="D335" s="751" t="n"/>
      <c r="E335" s="329" t="n"/>
      <c r="F335" s="329" t="n"/>
      <c r="G335" s="329" t="n"/>
      <c r="H335" s="329" t="n"/>
      <c r="I335" s="752" t="n"/>
      <c r="J335" s="329" t="n"/>
      <c r="K335" s="329" t="n"/>
      <c r="L335" s="329" t="n"/>
      <c r="N335" s="329" t="n"/>
      <c r="O335" s="329" t="n"/>
      <c r="P335" s="329" t="n"/>
      <c r="Q335" s="330" t="n"/>
      <c r="R335" s="106" t="n"/>
      <c r="S335" s="753" t="n"/>
      <c r="T335" s="754" t="n"/>
      <c r="U335" s="755" t="n"/>
      <c r="AE335" s="163" t="n"/>
      <c r="AT335" s="758" t="n"/>
      <c r="AU335" s="758" t="n"/>
      <c r="AV335" s="758" t="n"/>
      <c r="AW335" s="758" t="n"/>
    </row>
    <row r="336" ht="14.4" customHeight="1" s="701">
      <c r="A336" s="751" t="n"/>
      <c r="C336" s="329" t="n"/>
      <c r="D336" s="751" t="n"/>
      <c r="E336" s="329" t="n"/>
      <c r="F336" s="329" t="n"/>
      <c r="G336" s="329" t="n"/>
      <c r="H336" s="329" t="n"/>
      <c r="I336" s="752" t="n"/>
      <c r="J336" s="329" t="n"/>
      <c r="K336" s="329" t="n"/>
      <c r="L336" s="329" t="n"/>
      <c r="N336" s="329" t="n"/>
      <c r="O336" s="329" t="n"/>
      <c r="P336" s="329" t="n"/>
      <c r="Q336" s="330" t="n"/>
      <c r="R336" s="106" t="n"/>
      <c r="S336" s="753" t="n"/>
      <c r="T336" s="754" t="n"/>
      <c r="U336" s="755" t="n"/>
      <c r="AE336" s="163" t="n"/>
      <c r="AT336" s="758" t="n"/>
      <c r="AU336" s="758" t="n"/>
      <c r="AV336" s="758" t="n"/>
      <c r="AW336" s="758" t="n"/>
    </row>
    <row r="337" ht="14.4" customHeight="1" s="701">
      <c r="A337" s="751" t="n"/>
      <c r="C337" s="329" t="n"/>
      <c r="D337" s="751" t="n"/>
      <c r="E337" s="329" t="n"/>
      <c r="F337" s="329" t="n"/>
      <c r="G337" s="329" t="n"/>
      <c r="H337" s="329" t="n"/>
      <c r="I337" s="752" t="n"/>
      <c r="J337" s="329" t="n"/>
      <c r="K337" s="329" t="n"/>
      <c r="L337" s="329" t="n"/>
      <c r="N337" s="329" t="n"/>
      <c r="O337" s="329" t="n"/>
      <c r="P337" s="329" t="n"/>
      <c r="Q337" s="330" t="n"/>
      <c r="R337" s="106" t="n"/>
      <c r="S337" s="753" t="n"/>
      <c r="T337" s="754" t="n"/>
      <c r="U337" s="755" t="n"/>
      <c r="AE337" s="163" t="n"/>
      <c r="AT337" s="758" t="n"/>
      <c r="AU337" s="758" t="n"/>
      <c r="AV337" s="758" t="n"/>
      <c r="AW337" s="758" t="n"/>
    </row>
    <row r="338" ht="14.4" customHeight="1" s="701">
      <c r="A338" s="751" t="n"/>
      <c r="C338" s="329" t="n"/>
      <c r="D338" s="751" t="n"/>
      <c r="E338" s="329" t="n"/>
      <c r="F338" s="329" t="n"/>
      <c r="G338" s="329" t="n"/>
      <c r="H338" s="329" t="n"/>
      <c r="I338" s="752" t="n"/>
      <c r="J338" s="329" t="n"/>
      <c r="K338" s="329" t="n"/>
      <c r="L338" s="329" t="n"/>
      <c r="N338" s="329" t="n"/>
      <c r="O338" s="329" t="n"/>
      <c r="P338" s="329" t="n"/>
      <c r="Q338" s="330" t="n"/>
      <c r="R338" s="106" t="n"/>
      <c r="S338" s="753" t="n"/>
      <c r="T338" s="754" t="n"/>
      <c r="U338" s="755" t="n"/>
      <c r="AE338" s="163" t="n"/>
      <c r="AT338" s="758" t="n"/>
      <c r="AU338" s="758" t="n"/>
      <c r="AV338" s="758" t="n"/>
      <c r="AW338" s="758" t="n"/>
    </row>
    <row r="339" ht="14.4" customHeight="1" s="701">
      <c r="A339" s="751" t="n"/>
      <c r="C339" s="329" t="n"/>
      <c r="D339" s="751" t="n"/>
      <c r="E339" s="329" t="n"/>
      <c r="F339" s="329" t="n"/>
      <c r="G339" s="329" t="n"/>
      <c r="H339" s="329" t="n"/>
      <c r="I339" s="752" t="n"/>
      <c r="J339" s="329" t="n"/>
      <c r="K339" s="329" t="n"/>
      <c r="L339" s="329" t="n"/>
      <c r="N339" s="329" t="n"/>
      <c r="O339" s="329" t="n"/>
      <c r="P339" s="329" t="n"/>
      <c r="Q339" s="330" t="n"/>
      <c r="R339" s="106" t="n"/>
      <c r="S339" s="753" t="n"/>
      <c r="T339" s="754" t="n"/>
      <c r="U339" s="755" t="n"/>
      <c r="AE339" s="163" t="n"/>
      <c r="AT339" s="758" t="n"/>
      <c r="AU339" s="758" t="n"/>
      <c r="AV339" s="758" t="n"/>
      <c r="AW339" s="758" t="n"/>
    </row>
    <row r="340" ht="14.4" customHeight="1" s="701">
      <c r="A340" s="751" t="n"/>
      <c r="C340" s="329" t="n"/>
      <c r="D340" s="751" t="n"/>
      <c r="E340" s="329" t="n"/>
      <c r="F340" s="329" t="n"/>
      <c r="G340" s="329" t="n"/>
      <c r="H340" s="329" t="n"/>
      <c r="I340" s="752" t="n"/>
      <c r="J340" s="329" t="n"/>
      <c r="K340" s="329" t="n"/>
      <c r="L340" s="329" t="n"/>
      <c r="N340" s="329" t="n"/>
      <c r="O340" s="329" t="n"/>
      <c r="P340" s="329" t="n"/>
      <c r="Q340" s="330" t="n"/>
      <c r="R340" s="106" t="n"/>
      <c r="S340" s="753" t="n"/>
      <c r="T340" s="754" t="n"/>
      <c r="U340" s="755" t="n"/>
      <c r="AE340" s="163" t="n"/>
      <c r="AT340" s="758" t="n"/>
      <c r="AU340" s="758" t="n"/>
      <c r="AV340" s="758" t="n"/>
      <c r="AW340" s="758" t="n"/>
    </row>
    <row r="341" ht="14.4" customHeight="1" s="701">
      <c r="A341" s="751" t="n"/>
      <c r="C341" s="329" t="n"/>
      <c r="D341" s="751" t="n"/>
      <c r="E341" s="329" t="n"/>
      <c r="F341" s="329" t="n"/>
      <c r="G341" s="329" t="n"/>
      <c r="H341" s="329" t="n"/>
      <c r="I341" s="752" t="n"/>
      <c r="J341" s="329" t="n"/>
      <c r="K341" s="329" t="n"/>
      <c r="L341" s="329" t="n"/>
      <c r="N341" s="329" t="n"/>
      <c r="O341" s="329" t="n"/>
      <c r="P341" s="329" t="n"/>
      <c r="Q341" s="330" t="n"/>
      <c r="R341" s="106" t="n"/>
      <c r="S341" s="753" t="n"/>
      <c r="T341" s="754" t="n"/>
      <c r="U341" s="755" t="n"/>
      <c r="AE341" s="163" t="n"/>
      <c r="AT341" s="758" t="n"/>
      <c r="AU341" s="758" t="n"/>
      <c r="AV341" s="758" t="n"/>
      <c r="AW341" s="758" t="n"/>
    </row>
    <row r="342" ht="14.4" customHeight="1" s="701">
      <c r="A342" s="751" t="n"/>
      <c r="C342" s="329" t="n"/>
      <c r="D342" s="751" t="n"/>
      <c r="E342" s="329" t="n"/>
      <c r="F342" s="329" t="n"/>
      <c r="G342" s="329" t="n"/>
      <c r="H342" s="329" t="n"/>
      <c r="I342" s="752" t="n"/>
      <c r="J342" s="329" t="n"/>
      <c r="K342" s="329" t="n"/>
      <c r="L342" s="329" t="n"/>
      <c r="N342" s="329" t="n"/>
      <c r="O342" s="329" t="n"/>
      <c r="P342" s="329" t="n"/>
      <c r="Q342" s="330" t="n"/>
      <c r="R342" s="106" t="n"/>
      <c r="S342" s="753" t="n"/>
      <c r="T342" s="754" t="n"/>
      <c r="U342" s="755" t="n"/>
      <c r="AE342" s="163" t="n"/>
      <c r="AT342" s="758" t="n"/>
      <c r="AU342" s="758" t="n"/>
      <c r="AV342" s="758" t="n"/>
      <c r="AW342" s="758" t="n"/>
    </row>
    <row r="343" ht="14.4" customHeight="1" s="701">
      <c r="A343" s="751" t="n"/>
      <c r="C343" s="329" t="n"/>
      <c r="D343" s="751" t="n"/>
      <c r="E343" s="329" t="n"/>
      <c r="F343" s="329" t="n"/>
      <c r="G343" s="329" t="n"/>
      <c r="H343" s="329" t="n"/>
      <c r="I343" s="752" t="n"/>
      <c r="J343" s="329" t="n"/>
      <c r="K343" s="329" t="n"/>
      <c r="L343" s="329" t="n"/>
      <c r="N343" s="329" t="n"/>
      <c r="O343" s="329" t="n"/>
      <c r="P343" s="329" t="n"/>
      <c r="Q343" s="330" t="n"/>
      <c r="R343" s="106" t="n"/>
      <c r="S343" s="753" t="n"/>
      <c r="T343" s="754" t="n"/>
      <c r="U343" s="755" t="n"/>
      <c r="AE343" s="163" t="n"/>
      <c r="AT343" s="758" t="n"/>
      <c r="AU343" s="758" t="n"/>
      <c r="AV343" s="758" t="n"/>
      <c r="AW343" s="758" t="n"/>
    </row>
    <row r="344" ht="14.4" customHeight="1" s="701">
      <c r="A344" s="751" t="n"/>
      <c r="C344" s="329" t="n"/>
      <c r="D344" s="751" t="n"/>
      <c r="E344" s="329" t="n"/>
      <c r="F344" s="329" t="n"/>
      <c r="G344" s="329" t="n"/>
      <c r="H344" s="329" t="n"/>
      <c r="I344" s="752" t="n"/>
      <c r="J344" s="329" t="n"/>
      <c r="K344" s="329" t="n"/>
      <c r="L344" s="329" t="n"/>
      <c r="N344" s="329" t="n"/>
      <c r="O344" s="329" t="n"/>
      <c r="P344" s="329" t="n"/>
      <c r="Q344" s="330" t="n"/>
      <c r="R344" s="106" t="n"/>
      <c r="S344" s="753" t="n"/>
      <c r="T344" s="754" t="n"/>
      <c r="U344" s="755" t="n"/>
      <c r="AE344" s="163" t="n"/>
      <c r="AT344" s="758" t="n"/>
      <c r="AU344" s="758" t="n"/>
      <c r="AV344" s="758" t="n"/>
      <c r="AW344" s="758" t="n"/>
    </row>
    <row r="345" ht="14.4" customHeight="1" s="701">
      <c r="A345" s="751" t="n"/>
      <c r="C345" s="329" t="n"/>
      <c r="D345" s="751" t="n"/>
      <c r="E345" s="329" t="n"/>
      <c r="F345" s="329" t="n"/>
      <c r="G345" s="329" t="n"/>
      <c r="H345" s="329" t="n"/>
      <c r="I345" s="752" t="n"/>
      <c r="J345" s="329" t="n"/>
      <c r="K345" s="329" t="n"/>
      <c r="L345" s="329" t="n"/>
      <c r="N345" s="329" t="n"/>
      <c r="O345" s="329" t="n"/>
      <c r="P345" s="329" t="n"/>
      <c r="Q345" s="330" t="n"/>
      <c r="R345" s="106" t="n"/>
      <c r="S345" s="753" t="n"/>
      <c r="T345" s="754" t="n"/>
      <c r="U345" s="755" t="n"/>
      <c r="AE345" s="163" t="n"/>
      <c r="AT345" s="758" t="n"/>
      <c r="AU345" s="758" t="n"/>
      <c r="AV345" s="758" t="n"/>
      <c r="AW345" s="758" t="n"/>
    </row>
    <row r="346" ht="14.4" customHeight="1" s="701">
      <c r="A346" s="751" t="n"/>
      <c r="C346" s="329" t="n"/>
      <c r="D346" s="751" t="n"/>
      <c r="E346" s="329" t="n"/>
      <c r="F346" s="329" t="n"/>
      <c r="G346" s="329" t="n"/>
      <c r="H346" s="329" t="n"/>
      <c r="I346" s="752" t="n"/>
      <c r="J346" s="329" t="n"/>
      <c r="K346" s="329" t="n"/>
      <c r="L346" s="329" t="n"/>
      <c r="N346" s="329" t="n"/>
      <c r="O346" s="329" t="n"/>
      <c r="P346" s="329" t="n"/>
      <c r="Q346" s="330" t="n"/>
      <c r="R346" s="106" t="n"/>
      <c r="S346" s="753" t="n"/>
      <c r="T346" s="754" t="n"/>
      <c r="U346" s="755" t="n"/>
      <c r="AE346" s="163" t="n"/>
      <c r="AT346" s="758" t="n"/>
      <c r="AU346" s="758" t="n"/>
      <c r="AV346" s="758" t="n"/>
      <c r="AW346" s="758" t="n"/>
    </row>
    <row r="347" ht="14.4" customHeight="1" s="701">
      <c r="A347" s="751" t="n"/>
      <c r="C347" s="329" t="n"/>
      <c r="D347" s="751" t="n"/>
      <c r="E347" s="329" t="n"/>
      <c r="F347" s="329" t="n"/>
      <c r="G347" s="329" t="n"/>
      <c r="H347" s="329" t="n"/>
      <c r="I347" s="752" t="n"/>
      <c r="J347" s="329" t="n"/>
      <c r="K347" s="329" t="n"/>
      <c r="L347" s="329" t="n"/>
      <c r="N347" s="329" t="n"/>
      <c r="O347" s="329" t="n"/>
      <c r="P347" s="329" t="n"/>
      <c r="Q347" s="330" t="n"/>
      <c r="R347" s="106" t="n"/>
      <c r="S347" s="753" t="n"/>
      <c r="T347" s="754" t="n"/>
      <c r="U347" s="755" t="n"/>
      <c r="AE347" s="163" t="n"/>
      <c r="AT347" s="758" t="n"/>
      <c r="AU347" s="758" t="n"/>
      <c r="AV347" s="758" t="n"/>
      <c r="AW347" s="758" t="n"/>
    </row>
    <row r="348" ht="14.4" customHeight="1" s="701">
      <c r="A348" s="751" t="n"/>
      <c r="C348" s="329" t="n"/>
      <c r="D348" s="751" t="n"/>
      <c r="E348" s="329" t="n"/>
      <c r="F348" s="329" t="n"/>
      <c r="G348" s="329" t="n"/>
      <c r="H348" s="329" t="n"/>
      <c r="I348" s="752" t="n"/>
      <c r="J348" s="329" t="n"/>
      <c r="K348" s="329" t="n"/>
      <c r="L348" s="329" t="n"/>
      <c r="N348" s="329" t="n"/>
      <c r="O348" s="329" t="n"/>
      <c r="P348" s="329" t="n"/>
      <c r="Q348" s="330" t="n"/>
      <c r="R348" s="106" t="n"/>
      <c r="S348" s="753" t="n"/>
      <c r="T348" s="754" t="n"/>
      <c r="U348" s="755" t="n"/>
      <c r="AE348" s="163" t="n"/>
      <c r="AT348" s="758" t="n"/>
      <c r="AU348" s="758" t="n"/>
      <c r="AV348" s="758" t="n"/>
      <c r="AW348" s="758" t="n"/>
    </row>
    <row r="349" ht="14.4" customHeight="1" s="701">
      <c r="A349" s="751" t="n"/>
      <c r="C349" s="329" t="n"/>
      <c r="D349" s="751" t="n"/>
      <c r="E349" s="329" t="n"/>
      <c r="F349" s="329" t="n"/>
      <c r="G349" s="329" t="n"/>
      <c r="H349" s="329" t="n"/>
      <c r="I349" s="752" t="n"/>
      <c r="J349" s="329" t="n"/>
      <c r="K349" s="329" t="n"/>
      <c r="L349" s="329" t="n"/>
      <c r="N349" s="329" t="n"/>
      <c r="O349" s="329" t="n"/>
      <c r="P349" s="329" t="n"/>
      <c r="Q349" s="330" t="n"/>
      <c r="R349" s="106" t="n"/>
      <c r="S349" s="753" t="n"/>
      <c r="T349" s="754" t="n"/>
      <c r="U349" s="755" t="n"/>
      <c r="AE349" s="163" t="n"/>
      <c r="AT349" s="758" t="n"/>
      <c r="AU349" s="758" t="n"/>
      <c r="AV349" s="758" t="n"/>
      <c r="AW349" s="758" t="n"/>
    </row>
    <row r="350" ht="14.4" customHeight="1" s="701">
      <c r="A350" s="751" t="n"/>
      <c r="C350" s="329" t="n"/>
      <c r="D350" s="751" t="n"/>
      <c r="E350" s="329" t="n"/>
      <c r="F350" s="329" t="n"/>
      <c r="G350" s="329" t="n"/>
      <c r="H350" s="329" t="n"/>
      <c r="I350" s="752" t="n"/>
      <c r="J350" s="329" t="n"/>
      <c r="K350" s="329" t="n"/>
      <c r="L350" s="329" t="n"/>
      <c r="N350" s="329" t="n"/>
      <c r="O350" s="329" t="n"/>
      <c r="P350" s="329" t="n"/>
      <c r="Q350" s="330" t="n"/>
      <c r="R350" s="106" t="n"/>
      <c r="S350" s="753" t="n"/>
      <c r="T350" s="754" t="n"/>
      <c r="U350" s="755" t="n"/>
      <c r="AE350" s="163" t="n"/>
      <c r="AT350" s="758" t="n"/>
      <c r="AU350" s="758" t="n"/>
      <c r="AV350" s="758" t="n"/>
      <c r="AW350" s="758" t="n"/>
    </row>
    <row r="351" ht="14.4" customHeight="1" s="701">
      <c r="A351" s="751" t="n"/>
      <c r="C351" s="329" t="n"/>
      <c r="D351" s="751" t="n"/>
      <c r="E351" s="329" t="n"/>
      <c r="F351" s="329" t="n"/>
      <c r="G351" s="329" t="n"/>
      <c r="H351" s="329" t="n"/>
      <c r="I351" s="752" t="n"/>
      <c r="J351" s="329" t="n"/>
      <c r="K351" s="329" t="n"/>
      <c r="L351" s="329" t="n"/>
      <c r="N351" s="329" t="n"/>
      <c r="O351" s="329" t="n"/>
      <c r="P351" s="329" t="n"/>
      <c r="Q351" s="330" t="n"/>
      <c r="R351" s="106" t="n"/>
      <c r="S351" s="753" t="n"/>
      <c r="T351" s="754" t="n"/>
      <c r="U351" s="121" t="n"/>
      <c r="AE351" s="163" t="n"/>
      <c r="AT351" s="758" t="n"/>
      <c r="AU351" s="758" t="n"/>
      <c r="AV351" s="758" t="n"/>
      <c r="AW351" s="758" t="n"/>
    </row>
    <row r="352" ht="14.4" customHeight="1" s="701">
      <c r="A352" s="751" t="n"/>
      <c r="C352" s="329" t="n"/>
      <c r="D352" s="751" t="n"/>
      <c r="E352" s="329" t="n"/>
      <c r="F352" s="329" t="n"/>
      <c r="G352" s="329" t="n"/>
      <c r="H352" s="329" t="n"/>
      <c r="I352" s="752" t="n"/>
      <c r="J352" s="329" t="n"/>
      <c r="K352" s="329" t="n"/>
      <c r="L352" s="329" t="n"/>
      <c r="N352" s="329" t="n"/>
      <c r="O352" s="329" t="n"/>
      <c r="P352" s="329" t="n"/>
      <c r="Q352" s="330" t="n"/>
      <c r="R352" s="106" t="n"/>
      <c r="S352" s="753" t="n"/>
      <c r="T352" s="754" t="n"/>
      <c r="U352" s="121" t="n"/>
      <c r="AE352" s="163" t="n"/>
      <c r="AT352" s="758" t="n"/>
      <c r="AU352" s="758" t="n"/>
      <c r="AV352" s="758" t="n"/>
      <c r="AW352" s="758" t="n"/>
    </row>
    <row r="353" ht="14.4" customHeight="1" s="701">
      <c r="A353" s="751" t="n"/>
      <c r="C353" s="329" t="n"/>
      <c r="D353" s="751" t="n"/>
      <c r="E353" s="329" t="n"/>
      <c r="F353" s="329" t="n"/>
      <c r="G353" s="329" t="n"/>
      <c r="H353" s="329" t="n"/>
      <c r="I353" s="752" t="n"/>
      <c r="J353" s="329" t="n"/>
      <c r="K353" s="329" t="n"/>
      <c r="L353" s="329" t="n"/>
      <c r="N353" s="329" t="n"/>
      <c r="O353" s="329" t="n"/>
      <c r="P353" s="329" t="n"/>
      <c r="S353" s="753" t="n"/>
      <c r="AE353" s="163" t="n"/>
      <c r="AT353" s="758" t="n"/>
      <c r="AU353" s="758" t="n"/>
      <c r="AV353" s="758" t="n"/>
      <c r="AW353" s="758" t="n"/>
    </row>
    <row r="354" ht="14.4" customHeight="1" s="701">
      <c r="A354" s="751" t="n"/>
      <c r="C354" s="329" t="n"/>
      <c r="D354" s="751" t="n"/>
      <c r="E354" s="329" t="n"/>
      <c r="F354" s="329" t="n"/>
      <c r="G354" s="329" t="n"/>
      <c r="H354" s="329" t="n"/>
      <c r="I354" s="752" t="n"/>
      <c r="J354" s="329" t="n"/>
      <c r="K354" s="329" t="n"/>
      <c r="L354" s="329" t="n"/>
      <c r="N354" s="329" t="n"/>
      <c r="O354" s="329" t="n"/>
      <c r="P354" s="329" t="n"/>
      <c r="S354" s="753" t="n"/>
      <c r="AE354" s="163" t="n"/>
      <c r="AT354" s="758" t="n"/>
      <c r="AU354" s="758" t="n"/>
      <c r="AV354" s="758" t="n"/>
      <c r="AW354" s="758" t="n"/>
    </row>
    <row r="355" ht="14.4" customHeight="1" s="701">
      <c r="A355" s="751" t="n"/>
      <c r="C355" s="329" t="n"/>
      <c r="D355" s="751" t="n"/>
      <c r="E355" s="329" t="n"/>
      <c r="F355" s="329" t="n"/>
      <c r="G355" s="329" t="n"/>
      <c r="H355" s="329" t="n"/>
      <c r="I355" s="752" t="n"/>
      <c r="J355" s="329" t="n"/>
      <c r="K355" s="329" t="n"/>
      <c r="L355" s="329" t="n"/>
      <c r="N355" s="329" t="n"/>
      <c r="O355" s="329" t="n"/>
      <c r="P355" s="329" t="n"/>
      <c r="S355" s="753" t="n"/>
      <c r="AE355" s="163" t="n"/>
      <c r="AT355" s="758" t="n"/>
      <c r="AU355" s="758" t="n"/>
      <c r="AV355" s="758" t="n"/>
      <c r="AW355" s="758" t="n"/>
    </row>
    <row r="356" ht="14.4" customHeight="1" s="701">
      <c r="A356" s="751" t="n"/>
      <c r="C356" s="329" t="n"/>
      <c r="D356" s="751" t="n"/>
      <c r="E356" s="329" t="n"/>
      <c r="F356" s="329" t="n"/>
      <c r="G356" s="329" t="n"/>
      <c r="H356" s="329" t="n"/>
      <c r="I356" s="752" t="n"/>
      <c r="J356" s="329" t="n"/>
      <c r="K356" s="329" t="n"/>
      <c r="L356" s="329" t="n"/>
      <c r="N356" s="329" t="n"/>
      <c r="O356" s="329" t="n"/>
      <c r="P356" s="329" t="n"/>
      <c r="S356" s="753" t="n"/>
      <c r="AE356" s="163" t="n"/>
      <c r="AT356" s="758" t="n"/>
      <c r="AU356" s="758" t="n"/>
      <c r="AV356" s="758" t="n"/>
      <c r="AW356" s="758" t="n"/>
    </row>
    <row r="357" ht="14.4" customHeight="1" s="701">
      <c r="A357" s="751" t="n"/>
      <c r="C357" s="329" t="n"/>
      <c r="D357" s="751" t="n"/>
      <c r="E357" s="329" t="n"/>
      <c r="F357" s="329" t="n"/>
      <c r="G357" s="329" t="n"/>
      <c r="H357" s="329" t="n"/>
      <c r="I357" s="752" t="n"/>
      <c r="J357" s="329" t="n"/>
      <c r="K357" s="329" t="n"/>
      <c r="L357" s="329" t="n"/>
      <c r="N357" s="329" t="n"/>
      <c r="O357" s="329" t="n"/>
      <c r="P357" s="329" t="n"/>
      <c r="S357" s="753" t="n"/>
      <c r="AE357" s="163" t="n"/>
      <c r="AT357" s="758" t="n"/>
      <c r="AU357" s="758" t="n"/>
      <c r="AV357" s="758" t="n"/>
      <c r="AW357" s="758" t="n"/>
    </row>
    <row r="358" ht="14.4" customHeight="1" s="701">
      <c r="A358" s="751" t="n"/>
      <c r="C358" s="329" t="n"/>
      <c r="D358" s="751" t="n"/>
      <c r="E358" s="329" t="n"/>
      <c r="F358" s="329" t="n"/>
      <c r="G358" s="329" t="n"/>
      <c r="H358" s="329" t="n"/>
      <c r="I358" s="752" t="n"/>
      <c r="J358" s="329" t="n"/>
      <c r="K358" s="329" t="n"/>
      <c r="L358" s="329" t="n"/>
      <c r="N358" s="329" t="n"/>
      <c r="O358" s="329" t="n"/>
      <c r="P358" s="329" t="n"/>
      <c r="S358" s="753" t="n"/>
      <c r="AE358" s="163" t="n"/>
      <c r="AT358" s="758" t="n"/>
      <c r="AU358" s="758" t="n"/>
      <c r="AV358" s="758" t="n"/>
      <c r="AW358" s="758" t="n"/>
    </row>
    <row r="359" ht="14.4" customHeight="1" s="701">
      <c r="A359" s="751" t="n"/>
      <c r="C359" s="329" t="n"/>
      <c r="D359" s="751" t="n"/>
      <c r="E359" s="329" t="n"/>
      <c r="F359" s="329" t="n"/>
      <c r="G359" s="329" t="n"/>
      <c r="H359" s="329" t="n"/>
      <c r="I359" s="752" t="n"/>
      <c r="J359" s="329" t="n"/>
      <c r="K359" s="329" t="n"/>
      <c r="L359" s="329" t="n"/>
      <c r="N359" s="329" t="n"/>
      <c r="O359" s="329" t="n"/>
      <c r="P359" s="329" t="n"/>
      <c r="S359" s="753" t="n"/>
      <c r="AE359" s="163" t="n"/>
      <c r="AT359" s="758" t="n"/>
      <c r="AU359" s="758" t="n"/>
      <c r="AV359" s="758" t="n"/>
      <c r="AW359" s="758" t="n"/>
    </row>
    <row r="360" ht="14.4" customHeight="1" s="701">
      <c r="A360" s="751" t="n"/>
      <c r="C360" s="329" t="n"/>
      <c r="D360" s="751" t="n"/>
      <c r="E360" s="329" t="n"/>
      <c r="F360" s="329" t="n"/>
      <c r="G360" s="329" t="n"/>
      <c r="H360" s="329" t="n"/>
      <c r="I360" s="752" t="n"/>
      <c r="J360" s="329" t="n"/>
      <c r="K360" s="329" t="n"/>
      <c r="L360" s="329" t="n"/>
      <c r="N360" s="329" t="n"/>
      <c r="O360" s="329" t="n"/>
      <c r="P360" s="329" t="n"/>
      <c r="S360" s="753" t="n"/>
      <c r="AE360" s="163" t="n"/>
      <c r="AT360" s="758" t="n"/>
      <c r="AU360" s="758" t="n"/>
      <c r="AV360" s="758" t="n"/>
      <c r="AW360" s="758" t="n"/>
    </row>
    <row r="361" ht="14.4" customHeight="1" s="701">
      <c r="A361" s="751" t="n"/>
      <c r="C361" s="329" t="n"/>
      <c r="D361" s="751" t="n"/>
      <c r="E361" s="329" t="n"/>
      <c r="F361" s="329" t="n"/>
      <c r="G361" s="329" t="n"/>
      <c r="H361" s="329" t="n"/>
      <c r="I361" s="752" t="n"/>
      <c r="J361" s="329" t="n"/>
      <c r="K361" s="329" t="n"/>
      <c r="L361" s="329" t="n"/>
      <c r="S361" s="753" t="n"/>
      <c r="AE361" s="163" t="n"/>
      <c r="AT361" s="758" t="n"/>
      <c r="AU361" s="758" t="n"/>
      <c r="AV361" s="758" t="n"/>
      <c r="AW361" s="758" t="n"/>
    </row>
    <row r="362" ht="14.4" customHeight="1" s="701">
      <c r="A362" s="751" t="n"/>
      <c r="C362" s="329" t="n"/>
      <c r="D362" s="751" t="n"/>
      <c r="E362" s="329" t="n"/>
      <c r="F362" s="329" t="n"/>
      <c r="G362" s="329" t="n"/>
      <c r="H362" s="329" t="n"/>
      <c r="I362" s="752" t="n"/>
      <c r="J362" s="329" t="n"/>
      <c r="K362" s="329" t="n"/>
      <c r="L362" s="329" t="n"/>
      <c r="S362" s="753" t="n"/>
      <c r="AE362" s="163" t="n"/>
      <c r="AT362" s="758" t="n"/>
      <c r="AU362" s="758" t="n"/>
      <c r="AV362" s="758" t="n"/>
      <c r="AW362" s="758" t="n"/>
    </row>
    <row r="363" ht="14.4" customHeight="1" s="701">
      <c r="A363" s="751" t="n"/>
      <c r="C363" s="329" t="n"/>
      <c r="D363" s="751" t="n"/>
      <c r="E363" s="329" t="n"/>
      <c r="F363" s="329" t="n"/>
      <c r="G363" s="329" t="n"/>
      <c r="H363" s="329" t="n"/>
      <c r="I363" s="752" t="n"/>
      <c r="J363" s="329" t="n"/>
      <c r="K363" s="329" t="n"/>
      <c r="L363" s="329" t="n"/>
      <c r="S363" s="753" t="n"/>
      <c r="AE363" s="163" t="n"/>
      <c r="AT363" s="758" t="n"/>
      <c r="AU363" s="758" t="n"/>
      <c r="AV363" s="758" t="n"/>
      <c r="AW363" s="758" t="n"/>
    </row>
    <row r="364" ht="14.4" customHeight="1" s="701">
      <c r="A364" s="751" t="n"/>
      <c r="C364" s="329" t="n"/>
      <c r="D364" s="751" t="n"/>
      <c r="E364" s="329" t="n"/>
      <c r="F364" s="329" t="n"/>
      <c r="G364" s="329" t="n"/>
      <c r="H364" s="329" t="n"/>
      <c r="I364" s="752" t="n"/>
      <c r="J364" s="329" t="n"/>
      <c r="K364" s="329" t="n"/>
      <c r="L364" s="329" t="n"/>
      <c r="S364" s="753" t="n"/>
      <c r="AE364" s="163" t="n"/>
      <c r="AT364" s="758" t="n"/>
      <c r="AU364" s="758" t="n"/>
      <c r="AV364" s="758" t="n"/>
      <c r="AW364" s="758" t="n"/>
    </row>
    <row r="365" ht="14.4" customHeight="1" s="701">
      <c r="A365" s="751" t="n"/>
      <c r="C365" s="329" t="n"/>
      <c r="D365" s="751" t="n"/>
      <c r="E365" s="329" t="n"/>
      <c r="F365" s="329" t="n"/>
      <c r="G365" s="329" t="n"/>
      <c r="H365" s="329" t="n"/>
      <c r="I365" s="752" t="n"/>
      <c r="J365" s="329" t="n"/>
      <c r="K365" s="329" t="n"/>
      <c r="L365" s="329" t="n"/>
      <c r="S365" s="753" t="n"/>
      <c r="AE365" s="163" t="n"/>
      <c r="AT365" s="758" t="n"/>
      <c r="AU365" s="758" t="n"/>
      <c r="AV365" s="758" t="n"/>
      <c r="AW365" s="758" t="n"/>
    </row>
    <row r="366" ht="14.4" customHeight="1" s="701">
      <c r="A366" s="751" t="n"/>
      <c r="C366" s="329" t="n"/>
      <c r="D366" s="751" t="n"/>
      <c r="E366" s="329" t="n"/>
      <c r="F366" s="329" t="n"/>
      <c r="G366" s="329" t="n"/>
      <c r="H366" s="329" t="n"/>
      <c r="I366" s="752" t="n"/>
      <c r="J366" s="329" t="n"/>
      <c r="K366" s="329" t="n"/>
      <c r="L366" s="329" t="n"/>
      <c r="S366" s="753" t="n"/>
      <c r="AE366" s="163" t="n"/>
      <c r="AT366" s="758" t="n"/>
      <c r="AU366" s="758" t="n"/>
      <c r="AV366" s="758" t="n"/>
      <c r="AW366" s="758" t="n"/>
    </row>
    <row r="367" ht="14.4" customHeight="1" s="701">
      <c r="A367" s="751" t="n"/>
      <c r="C367" s="329" t="n"/>
      <c r="D367" s="751" t="n"/>
      <c r="E367" s="329" t="n"/>
      <c r="F367" s="329" t="n"/>
      <c r="G367" s="329" t="n"/>
      <c r="H367" s="329" t="n"/>
      <c r="I367" s="752" t="n"/>
      <c r="J367" s="329" t="n"/>
      <c r="K367" s="329" t="n"/>
      <c r="L367" s="329" t="n"/>
      <c r="S367" s="753" t="n"/>
      <c r="AE367" s="163" t="n"/>
      <c r="AT367" s="758" t="n"/>
      <c r="AU367" s="758" t="n"/>
      <c r="AV367" s="758" t="n"/>
      <c r="AW367" s="758" t="n"/>
    </row>
    <row r="368" ht="14.4" customHeight="1" s="701">
      <c r="A368" s="751" t="n"/>
      <c r="C368" s="329" t="n"/>
      <c r="D368" s="751" t="n"/>
      <c r="E368" s="329" t="n"/>
      <c r="F368" s="329" t="n"/>
      <c r="G368" s="329" t="n"/>
      <c r="H368" s="329" t="n"/>
      <c r="I368" s="752" t="n"/>
      <c r="J368" s="329" t="n"/>
      <c r="K368" s="329" t="n"/>
      <c r="L368" s="329" t="n"/>
      <c r="S368" s="753" t="n"/>
      <c r="AE368" s="163" t="n"/>
      <c r="AT368" s="758" t="n"/>
      <c r="AU368" s="758" t="n"/>
      <c r="AV368" s="758" t="n"/>
      <c r="AW368" s="758" t="n"/>
    </row>
    <row r="369" ht="14.4" customHeight="1" s="701">
      <c r="A369" s="751" t="n"/>
      <c r="C369" s="329" t="n"/>
      <c r="D369" s="751" t="n"/>
      <c r="E369" s="329" t="n"/>
      <c r="F369" s="329" t="n"/>
      <c r="G369" s="329" t="n"/>
      <c r="H369" s="329" t="n"/>
      <c r="I369" s="752" t="n"/>
      <c r="J369" s="329" t="n"/>
      <c r="K369" s="329" t="n"/>
      <c r="L369" s="329" t="n"/>
      <c r="S369" s="753" t="n"/>
      <c r="AE369" s="163" t="n"/>
      <c r="AT369" s="758" t="n"/>
      <c r="AU369" s="758" t="n"/>
      <c r="AV369" s="758" t="n"/>
      <c r="AW369" s="758" t="n"/>
    </row>
    <row r="370" ht="14.4" customHeight="1" s="701">
      <c r="A370" s="751" t="n"/>
      <c r="C370" s="329" t="n"/>
      <c r="D370" s="751" t="n"/>
      <c r="E370" s="329" t="n"/>
      <c r="F370" s="329" t="n"/>
      <c r="G370" s="329" t="n"/>
      <c r="H370" s="329" t="n"/>
      <c r="I370" s="752" t="n"/>
      <c r="J370" s="329" t="n"/>
      <c r="K370" s="329" t="n"/>
      <c r="L370" s="329" t="n"/>
      <c r="S370" s="753" t="n"/>
      <c r="AE370" s="163" t="n"/>
      <c r="AT370" s="758" t="n"/>
      <c r="AU370" s="758" t="n"/>
      <c r="AV370" s="758" t="n"/>
      <c r="AW370" s="758" t="n"/>
    </row>
    <row r="371" ht="14.4" customHeight="1" s="701">
      <c r="A371" s="751" t="n"/>
      <c r="C371" s="329" t="n"/>
      <c r="D371" s="751" t="n"/>
      <c r="E371" s="329" t="n"/>
      <c r="F371" s="329" t="n"/>
      <c r="G371" s="329" t="n"/>
      <c r="H371" s="329" t="n"/>
      <c r="I371" s="752" t="n"/>
      <c r="J371" s="329" t="n"/>
      <c r="K371" s="329" t="n"/>
      <c r="L371" s="329" t="n"/>
      <c r="S371" s="753" t="n"/>
      <c r="AE371" s="163" t="n"/>
      <c r="AT371" s="758" t="n"/>
      <c r="AU371" s="758" t="n"/>
      <c r="AV371" s="758" t="n"/>
      <c r="AW371" s="758" t="n"/>
    </row>
    <row r="372" ht="14.4" customHeight="1" s="701">
      <c r="A372" s="751" t="n"/>
      <c r="C372" s="329" t="n"/>
      <c r="D372" s="751" t="n"/>
      <c r="E372" s="329" t="n"/>
      <c r="F372" s="329" t="n"/>
      <c r="G372" s="329" t="n"/>
      <c r="H372" s="329" t="n"/>
      <c r="I372" s="752" t="n"/>
      <c r="J372" s="329" t="n"/>
      <c r="K372" s="329" t="n"/>
      <c r="L372" s="329" t="n"/>
      <c r="S372" s="753" t="n"/>
      <c r="AE372" s="163" t="n"/>
      <c r="AT372" s="758" t="n"/>
      <c r="AU372" s="758" t="n"/>
      <c r="AV372" s="758" t="n"/>
      <c r="AW372" s="758" t="n"/>
    </row>
    <row r="373" ht="14.4" customHeight="1" s="701">
      <c r="A373" s="751" t="n"/>
      <c r="C373" s="329" t="n"/>
      <c r="D373" s="751" t="n"/>
      <c r="E373" s="329" t="n"/>
      <c r="F373" s="329" t="n"/>
      <c r="G373" s="329" t="n"/>
      <c r="H373" s="329" t="n"/>
      <c r="I373" s="752" t="n"/>
      <c r="J373" s="329" t="n"/>
      <c r="K373" s="329" t="n"/>
      <c r="L373" s="329" t="n"/>
      <c r="S373" s="753" t="n"/>
      <c r="AE373" s="163" t="n"/>
      <c r="AT373" s="758" t="n"/>
      <c r="AU373" s="758" t="n"/>
      <c r="AV373" s="758" t="n"/>
      <c r="AW373" s="758" t="n"/>
    </row>
    <row r="374" ht="14.4" customHeight="1" s="701">
      <c r="A374" s="751" t="n"/>
      <c r="C374" s="329" t="n"/>
      <c r="D374" s="751" t="n"/>
      <c r="E374" s="329" t="n"/>
      <c r="F374" s="329" t="n"/>
      <c r="G374" s="329" t="n"/>
      <c r="H374" s="329" t="n"/>
      <c r="I374" s="752" t="n"/>
      <c r="J374" s="329" t="n"/>
      <c r="K374" s="329" t="n"/>
      <c r="L374" s="329" t="n"/>
      <c r="S374" s="753" t="n"/>
      <c r="AE374" s="163" t="n"/>
      <c r="AT374" s="758" t="n"/>
      <c r="AU374" s="758" t="n"/>
      <c r="AV374" s="758" t="n"/>
      <c r="AW374" s="758" t="n"/>
    </row>
    <row r="375" ht="14.4" customHeight="1" s="701">
      <c r="A375" s="751" t="n"/>
      <c r="C375" s="329" t="n"/>
      <c r="D375" s="751" t="n"/>
      <c r="E375" s="329" t="n"/>
      <c r="F375" s="329" t="n"/>
      <c r="G375" s="329" t="n"/>
      <c r="H375" s="329" t="n"/>
      <c r="I375" s="752" t="n"/>
      <c r="J375" s="329" t="n"/>
      <c r="K375" s="329" t="n"/>
      <c r="L375" s="329" t="n"/>
      <c r="S375" s="753" t="n"/>
      <c r="AE375" s="163" t="n"/>
      <c r="AT375" s="758" t="n"/>
      <c r="AU375" s="758" t="n"/>
      <c r="AV375" s="758" t="n"/>
      <c r="AW375" s="758" t="n"/>
    </row>
    <row r="376" ht="14.4" customHeight="1" s="701">
      <c r="A376" s="751" t="n"/>
      <c r="C376" s="329" t="n"/>
      <c r="D376" s="751" t="n"/>
      <c r="E376" s="329" t="n"/>
      <c r="F376" s="329" t="n"/>
      <c r="G376" s="329" t="n"/>
      <c r="H376" s="329" t="n"/>
      <c r="I376" s="752" t="n"/>
      <c r="J376" s="329" t="n"/>
      <c r="K376" s="329" t="n"/>
      <c r="L376" s="329" t="n"/>
      <c r="S376" s="753" t="n"/>
      <c r="AE376" s="163" t="n"/>
      <c r="AT376" s="758" t="n"/>
      <c r="AU376" s="758" t="n"/>
      <c r="AV376" s="758" t="n"/>
      <c r="AW376" s="758" t="n"/>
    </row>
    <row r="377" ht="14.4" customHeight="1" s="701">
      <c r="A377" s="751" t="n"/>
      <c r="C377" s="329" t="n"/>
      <c r="D377" s="751" t="n"/>
      <c r="E377" s="329" t="n"/>
      <c r="F377" s="329" t="n"/>
      <c r="G377" s="329" t="n"/>
      <c r="H377" s="329" t="n"/>
      <c r="I377" s="752" t="n"/>
      <c r="J377" s="329" t="n"/>
      <c r="K377" s="329" t="n"/>
      <c r="L377" s="329" t="n"/>
      <c r="S377" s="753" t="n"/>
      <c r="AE377" s="163" t="n"/>
      <c r="AT377" s="758" t="n"/>
      <c r="AU377" s="758" t="n"/>
      <c r="AV377" s="758" t="n"/>
      <c r="AW377" s="758" t="n"/>
    </row>
    <row r="378" ht="14.4" customHeight="1" s="701">
      <c r="A378" s="751" t="n"/>
      <c r="C378" s="329" t="n"/>
      <c r="D378" s="751" t="n"/>
      <c r="E378" s="329" t="n"/>
      <c r="F378" s="329" t="n"/>
      <c r="G378" s="329" t="n"/>
      <c r="H378" s="329" t="n"/>
      <c r="I378" s="752" t="n"/>
      <c r="J378" s="329" t="n"/>
      <c r="K378" s="329" t="n"/>
      <c r="L378" s="329" t="n"/>
      <c r="S378" s="753" t="n"/>
      <c r="AE378" s="163" t="n"/>
      <c r="AT378" s="758" t="n"/>
      <c r="AU378" s="758" t="n"/>
      <c r="AV378" s="758" t="n"/>
      <c r="AW378" s="758" t="n"/>
    </row>
    <row r="379" ht="14.4" customHeight="1" s="701">
      <c r="A379" s="751" t="n"/>
      <c r="C379" s="329" t="n"/>
      <c r="D379" s="751" t="n"/>
      <c r="E379" s="329" t="n"/>
      <c r="F379" s="329" t="n"/>
      <c r="G379" s="329" t="n"/>
      <c r="H379" s="329" t="n"/>
      <c r="I379" s="752" t="n"/>
      <c r="J379" s="329" t="n"/>
      <c r="K379" s="329" t="n"/>
      <c r="L379" s="329" t="n"/>
      <c r="S379" s="753" t="n"/>
      <c r="AE379" s="163" t="n"/>
      <c r="AT379" s="758" t="n"/>
      <c r="AU379" s="758" t="n"/>
      <c r="AV379" s="758" t="n"/>
      <c r="AW379" s="758" t="n"/>
    </row>
    <row r="380" ht="14.4" customHeight="1" s="701">
      <c r="A380" s="751" t="n"/>
      <c r="C380" s="329" t="n"/>
      <c r="D380" s="751" t="n"/>
      <c r="E380" s="329" t="n"/>
      <c r="F380" s="329" t="n"/>
      <c r="G380" s="329" t="n"/>
      <c r="H380" s="329" t="n"/>
      <c r="I380" s="752" t="n"/>
      <c r="J380" s="329" t="n"/>
      <c r="K380" s="329" t="n"/>
      <c r="L380" s="329" t="n"/>
      <c r="S380" s="753" t="n"/>
      <c r="AE380" s="163" t="n"/>
      <c r="AT380" s="758" t="n"/>
      <c r="AU380" s="758" t="n"/>
      <c r="AV380" s="758" t="n"/>
      <c r="AW380" s="758" t="n"/>
    </row>
    <row r="381" ht="14.4" customHeight="1" s="701">
      <c r="A381" s="751" t="n"/>
      <c r="C381" s="329" t="n"/>
      <c r="D381" s="751" t="n"/>
      <c r="E381" s="329" t="n"/>
      <c r="F381" s="329" t="n"/>
      <c r="G381" s="329" t="n"/>
      <c r="H381" s="329" t="n"/>
      <c r="I381" s="752" t="n"/>
      <c r="J381" s="329" t="n"/>
      <c r="K381" s="329" t="n"/>
      <c r="L381" s="329" t="n"/>
      <c r="S381" s="753" t="n"/>
      <c r="AE381" s="163" t="n"/>
      <c r="AT381" s="758" t="n"/>
      <c r="AU381" s="758" t="n"/>
      <c r="AV381" s="758" t="n"/>
      <c r="AW381" s="758" t="n"/>
    </row>
    <row r="382" ht="14.4" customHeight="1" s="701">
      <c r="A382" s="751" t="n"/>
      <c r="C382" s="329" t="n"/>
      <c r="D382" s="751" t="n"/>
      <c r="E382" s="329" t="n"/>
      <c r="F382" s="329" t="n"/>
      <c r="G382" s="329" t="n"/>
      <c r="H382" s="329" t="n"/>
      <c r="I382" s="752" t="n"/>
      <c r="J382" s="329" t="n"/>
      <c r="K382" s="329" t="n"/>
      <c r="L382" s="329" t="n"/>
      <c r="S382" s="753" t="n"/>
      <c r="AE382" s="163" t="n"/>
      <c r="AT382" s="758" t="n"/>
      <c r="AU382" s="758" t="n"/>
      <c r="AV382" s="758" t="n"/>
      <c r="AW382" s="758" t="n"/>
    </row>
    <row r="383" ht="14.4" customHeight="1" s="701">
      <c r="A383" s="751" t="n"/>
      <c r="C383" s="329" t="n"/>
      <c r="D383" s="751" t="n"/>
      <c r="E383" s="329" t="n"/>
      <c r="F383" s="329" t="n"/>
      <c r="G383" s="329" t="n"/>
      <c r="H383" s="329" t="n"/>
      <c r="I383" s="752" t="n"/>
      <c r="J383" s="329" t="n"/>
      <c r="K383" s="329" t="n"/>
      <c r="L383" s="329" t="n"/>
      <c r="S383" s="753" t="n"/>
      <c r="AE383" s="163" t="n"/>
      <c r="AT383" s="758" t="n"/>
      <c r="AU383" s="758" t="n"/>
      <c r="AV383" s="758" t="n"/>
      <c r="AW383" s="758" t="n"/>
    </row>
    <row r="384" ht="14.4" customHeight="1" s="701">
      <c r="A384" s="751" t="n"/>
      <c r="C384" s="329" t="n"/>
      <c r="D384" s="751" t="n"/>
      <c r="E384" s="329" t="n"/>
      <c r="F384" s="329" t="n"/>
      <c r="G384" s="329" t="n"/>
      <c r="H384" s="329" t="n"/>
      <c r="I384" s="752" t="n"/>
      <c r="J384" s="329" t="n"/>
      <c r="K384" s="329" t="n"/>
      <c r="L384" s="329" t="n"/>
      <c r="S384" s="753" t="n"/>
      <c r="AE384" s="163" t="n"/>
      <c r="AT384" s="758" t="n"/>
      <c r="AU384" s="758" t="n"/>
      <c r="AV384" s="758" t="n"/>
      <c r="AW384" s="758" t="n"/>
    </row>
    <row r="385" ht="14.4" customHeight="1" s="701">
      <c r="A385" s="751" t="n"/>
      <c r="C385" s="329" t="n"/>
      <c r="D385" s="751" t="n"/>
      <c r="E385" s="329" t="n"/>
      <c r="F385" s="329" t="n"/>
      <c r="G385" s="329" t="n"/>
      <c r="H385" s="329" t="n"/>
      <c r="I385" s="752" t="n"/>
      <c r="J385" s="329" t="n"/>
      <c r="K385" s="329" t="n"/>
      <c r="L385" s="329" t="n"/>
      <c r="S385" s="753" t="n"/>
      <c r="AE385" s="163" t="n"/>
      <c r="AT385" s="758" t="n"/>
      <c r="AU385" s="758" t="n"/>
      <c r="AV385" s="758" t="n"/>
      <c r="AW385" s="758" t="n"/>
    </row>
    <row r="386" ht="14.4" customHeight="1" s="701">
      <c r="A386" s="751" t="n"/>
      <c r="C386" s="329" t="n"/>
      <c r="D386" s="751" t="n"/>
      <c r="E386" s="329" t="n"/>
      <c r="F386" s="329" t="n"/>
      <c r="G386" s="329" t="n"/>
      <c r="H386" s="329" t="n"/>
      <c r="I386" s="752" t="n"/>
      <c r="J386" s="329" t="n"/>
      <c r="K386" s="329" t="n"/>
      <c r="L386" s="329" t="n"/>
      <c r="S386" s="753" t="n"/>
      <c r="AE386" s="163" t="n"/>
      <c r="AT386" s="758" t="n"/>
      <c r="AU386" s="758" t="n"/>
      <c r="AV386" s="758" t="n"/>
      <c r="AW386" s="758" t="n"/>
    </row>
    <row r="387" ht="14.4" customHeight="1" s="701">
      <c r="A387" s="751" t="n"/>
      <c r="C387" s="329" t="n"/>
      <c r="D387" s="751" t="n"/>
      <c r="E387" s="329" t="n"/>
      <c r="F387" s="329" t="n"/>
      <c r="G387" s="329" t="n"/>
      <c r="H387" s="329" t="n"/>
      <c r="I387" s="752" t="n"/>
      <c r="J387" s="329" t="n"/>
      <c r="K387" s="329" t="n"/>
      <c r="L387" s="329" t="n"/>
      <c r="S387" s="753" t="n"/>
      <c r="AE387" s="163" t="n"/>
      <c r="AT387" s="758" t="n"/>
      <c r="AU387" s="758" t="n"/>
      <c r="AV387" s="758" t="n"/>
      <c r="AW387" s="758" t="n"/>
    </row>
    <row r="388" ht="14.4" customHeight="1" s="701">
      <c r="A388" s="751" t="n"/>
      <c r="C388" s="329" t="n"/>
      <c r="D388" s="751" t="n"/>
      <c r="E388" s="329" t="n"/>
      <c r="F388" s="329" t="n"/>
      <c r="G388" s="329" t="n"/>
      <c r="H388" s="329" t="n"/>
      <c r="I388" s="752" t="n"/>
      <c r="J388" s="329" t="n"/>
      <c r="K388" s="329" t="n"/>
      <c r="L388" s="329" t="n"/>
      <c r="S388" s="753" t="n"/>
      <c r="AE388" s="163" t="n"/>
      <c r="AT388" s="758" t="n"/>
      <c r="AU388" s="758" t="n"/>
      <c r="AV388" s="758" t="n"/>
      <c r="AW388" s="758" t="n"/>
    </row>
    <row r="389" ht="14.4" customHeight="1" s="701">
      <c r="A389" s="751" t="n"/>
      <c r="C389" s="329" t="n"/>
      <c r="D389" s="751" t="n"/>
      <c r="E389" s="329" t="n"/>
      <c r="F389" s="329" t="n"/>
      <c r="G389" s="329" t="n"/>
      <c r="H389" s="329" t="n"/>
      <c r="I389" s="752" t="n"/>
      <c r="J389" s="329" t="n"/>
      <c r="K389" s="329" t="n"/>
      <c r="L389" s="329" t="n"/>
      <c r="S389" s="753" t="n"/>
      <c r="AE389" s="163" t="n"/>
      <c r="AT389" s="758" t="n"/>
      <c r="AU389" s="758" t="n"/>
      <c r="AV389" s="758" t="n"/>
      <c r="AW389" s="758" t="n"/>
    </row>
    <row r="390" ht="14.4" customHeight="1" s="701">
      <c r="A390" s="751" t="n"/>
      <c r="C390" s="329" t="n"/>
      <c r="D390" s="751" t="n"/>
      <c r="E390" s="329" t="n"/>
      <c r="F390" s="329" t="n"/>
      <c r="G390" s="329" t="n"/>
      <c r="H390" s="329" t="n"/>
      <c r="I390" s="752" t="n"/>
      <c r="J390" s="329" t="n"/>
      <c r="K390" s="329" t="n"/>
      <c r="L390" s="329" t="n"/>
      <c r="S390" s="753" t="n"/>
      <c r="AE390" s="163" t="n"/>
      <c r="AT390" s="758" t="n"/>
      <c r="AU390" s="758" t="n"/>
      <c r="AV390" s="758" t="n"/>
      <c r="AW390" s="758" t="n"/>
    </row>
    <row r="391" ht="14.4" customHeight="1" s="701">
      <c r="A391" s="751" t="n"/>
      <c r="C391" s="329" t="n"/>
      <c r="D391" s="751" t="n"/>
      <c r="E391" s="329" t="n"/>
      <c r="F391" s="329" t="n"/>
      <c r="G391" s="329" t="n"/>
      <c r="H391" s="329" t="n"/>
      <c r="I391" s="752" t="n"/>
      <c r="J391" s="329" t="n"/>
      <c r="K391" s="329" t="n"/>
      <c r="L391" s="329" t="n"/>
      <c r="S391" s="753" t="n"/>
      <c r="AE391" s="163" t="n"/>
      <c r="AT391" s="758" t="n"/>
      <c r="AU391" s="758" t="n"/>
      <c r="AV391" s="758" t="n"/>
      <c r="AW391" s="758" t="n"/>
    </row>
    <row r="392" ht="14.4" customHeight="1" s="701">
      <c r="A392" s="751" t="n"/>
      <c r="C392" s="329" t="n"/>
      <c r="D392" s="751" t="n"/>
      <c r="E392" s="329" t="n"/>
      <c r="F392" s="329" t="n"/>
      <c r="G392" s="329" t="n"/>
      <c r="H392" s="329" t="n"/>
      <c r="I392" s="752" t="n"/>
      <c r="J392" s="329" t="n"/>
      <c r="K392" s="329" t="n"/>
      <c r="L392" s="329" t="n"/>
      <c r="S392" s="753" t="n"/>
      <c r="AE392" s="163" t="n"/>
      <c r="AT392" s="758" t="n"/>
      <c r="AU392" s="758" t="n"/>
      <c r="AV392" s="758" t="n"/>
      <c r="AW392" s="758" t="n"/>
    </row>
    <row r="393" ht="14.4" customHeight="1" s="701">
      <c r="A393" s="751" t="n"/>
      <c r="C393" s="329" t="n"/>
      <c r="D393" s="751" t="n"/>
      <c r="E393" s="329" t="n"/>
      <c r="F393" s="329" t="n"/>
      <c r="G393" s="329" t="n"/>
      <c r="H393" s="329" t="n"/>
      <c r="I393" s="752" t="n"/>
      <c r="J393" s="329" t="n"/>
      <c r="K393" s="329" t="n"/>
      <c r="L393" s="329" t="n"/>
      <c r="S393" s="753" t="n"/>
      <c r="AE393" s="163" t="n"/>
      <c r="AT393" s="758" t="n"/>
      <c r="AU393" s="758" t="n"/>
      <c r="AV393" s="758" t="n"/>
      <c r="AW393" s="758" t="n"/>
    </row>
    <row r="394" ht="14.4" customHeight="1" s="701">
      <c r="A394" s="751" t="n"/>
      <c r="C394" s="329" t="n"/>
      <c r="D394" s="751" t="n"/>
      <c r="E394" s="329" t="n"/>
      <c r="F394" s="329" t="n"/>
      <c r="G394" s="329" t="n"/>
      <c r="H394" s="329" t="n"/>
      <c r="I394" s="752" t="n"/>
      <c r="J394" s="329" t="n"/>
      <c r="K394" s="329" t="n"/>
      <c r="L394" s="329" t="n"/>
      <c r="S394" s="753" t="n"/>
      <c r="AE394" s="163" t="n"/>
      <c r="AT394" s="758" t="n"/>
      <c r="AU394" s="758" t="n"/>
      <c r="AV394" s="758" t="n"/>
      <c r="AW394" s="758" t="n"/>
    </row>
    <row r="395" ht="14.4" customHeight="1" s="701">
      <c r="A395" s="751" t="n"/>
      <c r="C395" s="329" t="n"/>
      <c r="D395" s="751" t="n"/>
      <c r="E395" s="329" t="n"/>
      <c r="F395" s="329" t="n"/>
      <c r="G395" s="329" t="n"/>
      <c r="H395" s="329" t="n"/>
      <c r="I395" s="752" t="n"/>
      <c r="J395" s="329" t="n"/>
      <c r="K395" s="329" t="n"/>
      <c r="L395" s="329" t="n"/>
      <c r="S395" s="753" t="n"/>
      <c r="AE395" s="163" t="n"/>
      <c r="AT395" s="758" t="n"/>
      <c r="AU395" s="758" t="n"/>
      <c r="AV395" s="758" t="n"/>
      <c r="AW395" s="758" t="n"/>
    </row>
    <row r="396" ht="14.4" customHeight="1" s="701">
      <c r="A396" s="751" t="n"/>
      <c r="C396" s="329" t="n"/>
      <c r="D396" s="751" t="n"/>
      <c r="E396" s="329" t="n"/>
      <c r="F396" s="329" t="n"/>
      <c r="G396" s="329" t="n"/>
      <c r="H396" s="329" t="n"/>
      <c r="I396" s="752" t="n"/>
      <c r="J396" s="329" t="n"/>
      <c r="K396" s="329" t="n"/>
      <c r="L396" s="329" t="n"/>
      <c r="S396" s="753" t="n"/>
      <c r="AE396" s="163" t="n"/>
      <c r="AT396" s="758" t="n"/>
      <c r="AU396" s="758" t="n"/>
      <c r="AV396" s="758" t="n"/>
      <c r="AW396" s="758" t="n"/>
    </row>
    <row r="397" ht="14.4" customHeight="1" s="701">
      <c r="A397" s="751" t="n"/>
      <c r="C397" s="329" t="n"/>
      <c r="D397" s="751" t="n"/>
      <c r="E397" s="329" t="n"/>
      <c r="F397" s="329" t="n"/>
      <c r="G397" s="329" t="n"/>
      <c r="H397" s="329" t="n"/>
      <c r="I397" s="752" t="n"/>
      <c r="J397" s="329" t="n"/>
      <c r="K397" s="329" t="n"/>
      <c r="L397" s="329" t="n"/>
      <c r="S397" s="753" t="n"/>
      <c r="AE397" s="163" t="n"/>
      <c r="AT397" s="758" t="n"/>
      <c r="AU397" s="758" t="n"/>
      <c r="AV397" s="758" t="n"/>
      <c r="AW397" s="758" t="n"/>
    </row>
    <row r="398" ht="14.4" customHeight="1" s="701">
      <c r="A398" s="751" t="n"/>
      <c r="C398" s="329" t="n"/>
      <c r="D398" s="751" t="n"/>
      <c r="E398" s="329" t="n"/>
      <c r="F398" s="329" t="n"/>
      <c r="G398" s="329" t="n"/>
      <c r="H398" s="329" t="n"/>
      <c r="I398" s="752" t="n"/>
      <c r="J398" s="329" t="n"/>
      <c r="K398" s="329" t="n"/>
      <c r="L398" s="329" t="n"/>
      <c r="S398" s="753" t="n"/>
      <c r="AE398" s="163" t="n"/>
      <c r="AT398" s="758" t="n"/>
      <c r="AU398" s="758" t="n"/>
      <c r="AV398" s="758" t="n"/>
      <c r="AW398" s="758" t="n"/>
    </row>
    <row r="399" ht="14.4" customHeight="1" s="701">
      <c r="A399" s="751" t="n"/>
      <c r="S399" s="753" t="n"/>
      <c r="AE399" s="163" t="n"/>
      <c r="AT399" s="758" t="n"/>
      <c r="AU399" s="758" t="n"/>
      <c r="AV399" s="758" t="n"/>
      <c r="AW399" s="758" t="n"/>
    </row>
    <row r="400" ht="14.4" customHeight="1" s="701">
      <c r="A400" s="751" t="n"/>
      <c r="S400" s="753" t="n"/>
      <c r="AE400" s="163" t="n"/>
      <c r="AT400" s="758" t="n"/>
      <c r="AU400" s="758" t="n"/>
      <c r="AV400" s="758" t="n"/>
      <c r="AW400" s="758" t="n"/>
    </row>
    <row r="401" ht="14.4" customHeight="1" s="701">
      <c r="A401" s="751" t="n"/>
      <c r="S401" s="753" t="n"/>
      <c r="AE401" s="163" t="n"/>
      <c r="AT401" s="758" t="n"/>
      <c r="AU401" s="758" t="n"/>
      <c r="AV401" s="758" t="n"/>
      <c r="AW401" s="758" t="n"/>
    </row>
    <row r="402" ht="14.4" customHeight="1" s="701">
      <c r="A402" s="751" t="n"/>
      <c r="S402" s="753" t="n"/>
      <c r="AE402" s="163" t="n"/>
      <c r="AT402" s="758" t="n"/>
      <c r="AU402" s="758" t="n"/>
      <c r="AV402" s="758" t="n"/>
      <c r="AW402" s="758" t="n"/>
    </row>
    <row r="403" ht="14.4" customHeight="1" s="701">
      <c r="A403" s="751" t="n"/>
      <c r="S403" s="753" t="n"/>
      <c r="AE403" s="163" t="n"/>
      <c r="AT403" s="758" t="n"/>
      <c r="AU403" s="758" t="n"/>
      <c r="AV403" s="758" t="n"/>
      <c r="AW403" s="758" t="n"/>
    </row>
    <row r="404" ht="14.4" customHeight="1" s="701">
      <c r="A404" s="751" t="n"/>
      <c r="S404" s="753" t="n"/>
      <c r="AE404" s="163" t="n"/>
      <c r="AT404" s="758" t="n"/>
      <c r="AU404" s="758" t="n"/>
      <c r="AV404" s="758" t="n"/>
      <c r="AW404" s="758" t="n"/>
    </row>
    <row r="405" ht="14.4" customHeight="1" s="701">
      <c r="A405" s="751" t="n"/>
      <c r="S405" s="753" t="n"/>
      <c r="AE405" s="163" t="n"/>
      <c r="AT405" s="758" t="n"/>
      <c r="AU405" s="758" t="n"/>
      <c r="AV405" s="758" t="n"/>
      <c r="AW405" s="758" t="n"/>
    </row>
    <row r="406" ht="14.4" customHeight="1" s="701">
      <c r="A406" s="751" t="n"/>
      <c r="S406" s="753" t="n"/>
      <c r="AE406" s="163" t="n"/>
      <c r="AT406" s="758" t="n"/>
      <c r="AU406" s="758" t="n"/>
      <c r="AV406" s="758" t="n"/>
      <c r="AW406" s="758" t="n"/>
    </row>
    <row r="407" ht="14.4" customHeight="1" s="701">
      <c r="A407" s="751" t="n"/>
      <c r="S407" s="753" t="n"/>
      <c r="AE407" s="163" t="n"/>
      <c r="AT407" s="758" t="n"/>
      <c r="AU407" s="758" t="n"/>
      <c r="AV407" s="758" t="n"/>
      <c r="AW407" s="758" t="n"/>
    </row>
    <row r="408" ht="14.4" customHeight="1" s="701">
      <c r="A408" s="751" t="n"/>
      <c r="S408" s="753" t="n"/>
      <c r="AE408" s="163" t="n"/>
      <c r="AT408" s="758" t="n"/>
      <c r="AU408" s="758" t="n"/>
      <c r="AV408" s="758" t="n"/>
      <c r="AW408" s="758" t="n"/>
    </row>
    <row r="409" ht="14.4" customHeight="1" s="701">
      <c r="A409" s="751" t="n"/>
      <c r="S409" s="753" t="n"/>
      <c r="AE409" s="163" t="n"/>
      <c r="AT409" s="758" t="n"/>
      <c r="AU409" s="758" t="n"/>
      <c r="AV409" s="758" t="n"/>
      <c r="AW409" s="758" t="n"/>
    </row>
    <row r="410" ht="14.4" customHeight="1" s="701">
      <c r="A410" s="751" t="n"/>
      <c r="S410" s="753" t="n"/>
      <c r="AE410" s="163" t="n"/>
      <c r="AT410" s="758" t="n"/>
      <c r="AU410" s="758" t="n"/>
      <c r="AV410" s="758" t="n"/>
      <c r="AW410" s="758" t="n"/>
    </row>
    <row r="411" ht="14.4" customHeight="1" s="701">
      <c r="A411" s="751" t="n"/>
      <c r="S411" s="753" t="n"/>
      <c r="AE411" s="163" t="n"/>
      <c r="AT411" s="758" t="n"/>
      <c r="AU411" s="758" t="n"/>
      <c r="AV411" s="758" t="n"/>
      <c r="AW411" s="758" t="n"/>
    </row>
    <row r="412" ht="14.4" customHeight="1" s="701">
      <c r="A412" s="751" t="n"/>
      <c r="S412" s="753" t="n"/>
      <c r="AE412" s="163" t="n"/>
      <c r="AT412" s="758" t="n"/>
      <c r="AU412" s="758" t="n"/>
      <c r="AV412" s="758" t="n"/>
      <c r="AW412" s="758" t="n"/>
    </row>
    <row r="413" ht="14.4" customHeight="1" s="701">
      <c r="A413" s="751" t="n"/>
      <c r="S413" s="753" t="n"/>
      <c r="AE413" s="163" t="n"/>
      <c r="AT413" s="758" t="n"/>
      <c r="AU413" s="758" t="n"/>
      <c r="AV413" s="758" t="n"/>
      <c r="AW413" s="758" t="n"/>
    </row>
    <row r="414" ht="14.4" customHeight="1" s="701">
      <c r="A414" s="751" t="n"/>
      <c r="S414" s="753" t="n"/>
      <c r="AE414" s="163" t="n"/>
      <c r="AT414" s="758" t="n"/>
      <c r="AU414" s="758" t="n"/>
      <c r="AV414" s="758" t="n"/>
      <c r="AW414" s="758" t="n"/>
    </row>
    <row r="415" ht="14.4" customHeight="1" s="701">
      <c r="A415" s="751" t="n"/>
      <c r="S415" s="753" t="n"/>
      <c r="AE415" s="163" t="n"/>
      <c r="AT415" s="758" t="n"/>
      <c r="AU415" s="758" t="n"/>
      <c r="AV415" s="758" t="n"/>
      <c r="AW415" s="758" t="n"/>
    </row>
    <row r="416" ht="14.4" customHeight="1" s="701">
      <c r="A416" s="751" t="n"/>
      <c r="S416" s="753" t="n"/>
      <c r="AE416" s="163" t="n"/>
      <c r="AT416" s="758" t="n"/>
      <c r="AU416" s="758" t="n"/>
      <c r="AV416" s="758" t="n"/>
      <c r="AW416" s="758" t="n"/>
    </row>
    <row r="417" ht="14.4" customHeight="1" s="701">
      <c r="A417" s="751" t="n"/>
      <c r="S417" s="753" t="n"/>
      <c r="AE417" s="163" t="n"/>
      <c r="AT417" s="758" t="n"/>
      <c r="AU417" s="758" t="n"/>
      <c r="AV417" s="758" t="n"/>
      <c r="AW417" s="758" t="n"/>
    </row>
    <row r="418" ht="14.4" customHeight="1" s="701">
      <c r="A418" s="751" t="n"/>
      <c r="S418" s="753" t="n"/>
      <c r="AE418" s="163" t="n"/>
      <c r="AT418" s="758" t="n"/>
      <c r="AU418" s="758" t="n"/>
      <c r="AV418" s="758" t="n"/>
      <c r="AW418" s="758" t="n"/>
    </row>
    <row r="419" ht="14.4" customHeight="1" s="701">
      <c r="A419" s="751" t="n"/>
      <c r="S419" s="753" t="n"/>
      <c r="AE419" s="163" t="n"/>
      <c r="AT419" s="758" t="n"/>
      <c r="AU419" s="758" t="n"/>
      <c r="AV419" s="758" t="n"/>
      <c r="AW419" s="758" t="n"/>
    </row>
    <row r="420" ht="14.4" customHeight="1" s="701">
      <c r="A420" s="751" t="n"/>
      <c r="S420" s="753" t="n"/>
      <c r="AE420" s="163" t="n"/>
      <c r="AT420" s="758" t="n"/>
      <c r="AU420" s="758" t="n"/>
      <c r="AV420" s="758" t="n"/>
      <c r="AW420" s="758" t="n"/>
    </row>
    <row r="421" ht="14.4" customHeight="1" s="701">
      <c r="A421" s="751" t="n"/>
      <c r="S421" s="753" t="n"/>
      <c r="AE421" s="163" t="n"/>
      <c r="AT421" s="758" t="n"/>
      <c r="AU421" s="758" t="n"/>
      <c r="AV421" s="758" t="n"/>
      <c r="AW421" s="758" t="n"/>
    </row>
    <row r="422" ht="14.4" customHeight="1" s="701">
      <c r="A422" s="751" t="n"/>
      <c r="S422" s="753" t="n"/>
      <c r="AE422" s="163" t="n"/>
      <c r="AT422" s="758" t="n"/>
      <c r="AU422" s="758" t="n"/>
      <c r="AV422" s="758" t="n"/>
      <c r="AW422" s="758" t="n"/>
    </row>
    <row r="423" ht="14.4" customHeight="1" s="701">
      <c r="A423" s="751" t="n"/>
      <c r="S423" s="753" t="n"/>
      <c r="AE423" s="163" t="n"/>
      <c r="AT423" s="758" t="n"/>
      <c r="AU423" s="758" t="n"/>
      <c r="AV423" s="758" t="n"/>
      <c r="AW423" s="758" t="n"/>
    </row>
    <row r="424" ht="14.4" customHeight="1" s="701">
      <c r="A424" s="751" t="n"/>
      <c r="S424" s="753" t="n"/>
      <c r="AE424" s="163" t="n"/>
      <c r="AT424" s="758" t="n"/>
      <c r="AU424" s="758" t="n"/>
      <c r="AV424" s="758" t="n"/>
      <c r="AW424" s="758" t="n"/>
    </row>
    <row r="425" ht="14.4" customHeight="1" s="701">
      <c r="A425" s="751" t="n"/>
      <c r="S425" s="753" t="n"/>
      <c r="AE425" s="163" t="n"/>
      <c r="AT425" s="758" t="n"/>
      <c r="AU425" s="758" t="n"/>
      <c r="AV425" s="758" t="n"/>
      <c r="AW425" s="758" t="n"/>
    </row>
    <row r="426" ht="14.4" customHeight="1" s="701">
      <c r="A426" s="751" t="n"/>
      <c r="S426" s="753" t="n"/>
      <c r="AE426" s="163" t="n"/>
      <c r="AT426" s="758" t="n"/>
      <c r="AU426" s="758" t="n"/>
      <c r="AV426" s="758" t="n"/>
      <c r="AW426" s="758" t="n"/>
    </row>
    <row r="427" ht="14.4" customHeight="1" s="701">
      <c r="A427" s="751" t="n"/>
      <c r="S427" s="753" t="n"/>
      <c r="AE427" s="163" t="n"/>
      <c r="AT427" s="758" t="n"/>
      <c r="AU427" s="758" t="n"/>
      <c r="AV427" s="758" t="n"/>
      <c r="AW427" s="758" t="n"/>
    </row>
    <row r="428" ht="14.4" customHeight="1" s="701">
      <c r="A428" s="751" t="n"/>
      <c r="S428" s="753" t="n"/>
      <c r="AE428" s="163" t="n"/>
      <c r="AT428" s="758" t="n"/>
      <c r="AU428" s="758" t="n"/>
      <c r="AV428" s="758" t="n"/>
      <c r="AW428" s="758" t="n"/>
    </row>
    <row r="429" ht="14.4" customHeight="1" s="701">
      <c r="A429" s="751" t="n"/>
      <c r="S429" s="753" t="n"/>
      <c r="AE429" s="163" t="n"/>
      <c r="AT429" s="758" t="n"/>
      <c r="AU429" s="758" t="n"/>
      <c r="AV429" s="758" t="n"/>
      <c r="AW429" s="758" t="n"/>
    </row>
    <row r="430" ht="14.4" customHeight="1" s="701">
      <c r="A430" s="751" t="n"/>
      <c r="S430" s="753" t="n"/>
      <c r="AE430" s="163" t="n"/>
      <c r="AT430" s="758" t="n"/>
      <c r="AU430" s="758" t="n"/>
      <c r="AV430" s="758" t="n"/>
      <c r="AW430" s="758" t="n"/>
    </row>
    <row r="431" ht="14.4" customHeight="1" s="701">
      <c r="A431" s="751" t="n"/>
      <c r="S431" s="753" t="n"/>
      <c r="AE431" s="163" t="n"/>
      <c r="AT431" s="758" t="n"/>
      <c r="AU431" s="758" t="n"/>
      <c r="AV431" s="758" t="n"/>
      <c r="AW431" s="758" t="n"/>
    </row>
    <row r="432" ht="14.4" customHeight="1" s="701">
      <c r="A432" s="751" t="n"/>
      <c r="S432" s="753" t="n"/>
      <c r="AE432" s="163" t="n"/>
      <c r="AT432" s="758" t="n"/>
      <c r="AU432" s="758" t="n"/>
      <c r="AV432" s="758" t="n"/>
      <c r="AW432" s="758" t="n"/>
    </row>
    <row r="433" ht="14.4" customHeight="1" s="701">
      <c r="A433" s="751" t="n"/>
      <c r="S433" s="753" t="n"/>
      <c r="AE433" s="163" t="n"/>
      <c r="AT433" s="758" t="n"/>
      <c r="AU433" s="758" t="n"/>
      <c r="AV433" s="758" t="n"/>
      <c r="AW433" s="758" t="n"/>
    </row>
    <row r="434" ht="14.4" customHeight="1" s="701">
      <c r="A434" s="751" t="n"/>
      <c r="S434" s="753" t="n"/>
      <c r="AE434" s="163" t="n"/>
      <c r="AT434" s="758" t="n"/>
      <c r="AU434" s="758" t="n"/>
      <c r="AV434" s="758" t="n"/>
      <c r="AW434" s="758" t="n"/>
    </row>
    <row r="435" ht="14.4" customHeight="1" s="701">
      <c r="A435" s="751" t="n"/>
      <c r="S435" s="753" t="n"/>
      <c r="AE435" s="163" t="n"/>
      <c r="AT435" s="758" t="n"/>
      <c r="AU435" s="758" t="n"/>
      <c r="AV435" s="758" t="n"/>
      <c r="AW435" s="758" t="n"/>
    </row>
    <row r="436" ht="14.4" customHeight="1" s="701">
      <c r="A436" s="751" t="n"/>
      <c r="S436" s="753" t="n"/>
      <c r="AE436" s="163" t="n"/>
      <c r="AT436" s="758" t="n"/>
      <c r="AU436" s="758" t="n"/>
      <c r="AV436" s="758" t="n"/>
      <c r="AW436" s="758" t="n"/>
    </row>
    <row r="437" ht="14.4" customHeight="1" s="701">
      <c r="A437" s="751" t="n"/>
      <c r="S437" s="753" t="n"/>
      <c r="AE437" s="163" t="n"/>
      <c r="AT437" s="758" t="n"/>
      <c r="AU437" s="758" t="n"/>
      <c r="AV437" s="758" t="n"/>
      <c r="AW437" s="758" t="n"/>
    </row>
    <row r="438" ht="14.4" customHeight="1" s="701">
      <c r="A438" s="751" t="n"/>
      <c r="S438" s="753" t="n"/>
      <c r="AE438" s="163" t="n"/>
      <c r="AT438" s="758" t="n"/>
      <c r="AU438" s="758" t="n"/>
      <c r="AV438" s="758" t="n"/>
      <c r="AW438" s="758" t="n"/>
    </row>
    <row r="439" ht="14.4" customHeight="1" s="701">
      <c r="A439" s="751" t="n"/>
      <c r="S439" s="753" t="n"/>
      <c r="AE439" s="163" t="n"/>
      <c r="AT439" s="758" t="n"/>
      <c r="AU439" s="758" t="n"/>
      <c r="AV439" s="758" t="n"/>
      <c r="AW439" s="758" t="n"/>
    </row>
    <row r="440" ht="14.4" customHeight="1" s="701">
      <c r="A440" s="751" t="n"/>
      <c r="S440" s="753" t="n"/>
      <c r="AE440" s="163" t="n"/>
      <c r="AT440" s="758" t="n"/>
      <c r="AU440" s="758" t="n"/>
      <c r="AV440" s="758" t="n"/>
      <c r="AW440" s="758" t="n"/>
    </row>
    <row r="441" ht="14.4" customHeight="1" s="701">
      <c r="A441" s="751" t="n"/>
      <c r="S441" s="753" t="n"/>
      <c r="AE441" s="163" t="n"/>
      <c r="AT441" s="758" t="n"/>
      <c r="AU441" s="758" t="n"/>
      <c r="AV441" s="758" t="n"/>
      <c r="AW441" s="758" t="n"/>
    </row>
    <row r="442" ht="14.4" customHeight="1" s="701">
      <c r="A442" s="751" t="n"/>
      <c r="S442" s="753" t="n"/>
      <c r="AE442" s="163" t="n"/>
      <c r="AT442" s="758" t="n"/>
      <c r="AU442" s="758" t="n"/>
      <c r="AV442" s="758" t="n"/>
      <c r="AW442" s="758" t="n"/>
    </row>
    <row r="443" ht="14.4" customHeight="1" s="701">
      <c r="A443" s="751" t="n"/>
      <c r="S443" s="753" t="n"/>
      <c r="AE443" s="163" t="n"/>
      <c r="AT443" s="758" t="n"/>
      <c r="AU443" s="758" t="n"/>
      <c r="AV443" s="758" t="n"/>
      <c r="AW443" s="758" t="n"/>
    </row>
    <row r="444" ht="14.4" customHeight="1" s="701">
      <c r="A444" s="751" t="n"/>
      <c r="S444" s="753" t="n"/>
      <c r="AE444" s="163" t="n"/>
      <c r="AT444" s="758" t="n"/>
      <c r="AU444" s="758" t="n"/>
      <c r="AV444" s="758" t="n"/>
      <c r="AW444" s="758" t="n"/>
    </row>
    <row r="445" ht="14.4" customHeight="1" s="701">
      <c r="A445" s="751" t="n"/>
      <c r="S445" s="753" t="n"/>
      <c r="AE445" s="163" t="n"/>
      <c r="AT445" s="758" t="n"/>
      <c r="AU445" s="758" t="n"/>
      <c r="AV445" s="758" t="n"/>
      <c r="AW445" s="758" t="n"/>
    </row>
    <row r="446" ht="14.4" customHeight="1" s="701">
      <c r="A446" s="751" t="n"/>
      <c r="S446" s="753" t="n"/>
      <c r="AE446" s="163" t="n"/>
      <c r="AT446" s="758" t="n"/>
      <c r="AU446" s="758" t="n"/>
      <c r="AV446" s="758" t="n"/>
      <c r="AW446" s="758" t="n"/>
    </row>
    <row r="447" ht="14.4" customHeight="1" s="701">
      <c r="A447" s="751" t="n"/>
      <c r="S447" s="753" t="n"/>
      <c r="AE447" s="163" t="n"/>
      <c r="AT447" s="758" t="n"/>
      <c r="AU447" s="758" t="n"/>
      <c r="AV447" s="758" t="n"/>
      <c r="AW447" s="758" t="n"/>
    </row>
    <row r="448" ht="14.4" customHeight="1" s="701">
      <c r="A448" s="751" t="n"/>
      <c r="S448" s="753" t="n"/>
      <c r="AE448" s="163" t="n"/>
      <c r="AT448" s="758" t="n"/>
      <c r="AU448" s="758" t="n"/>
      <c r="AV448" s="758" t="n"/>
      <c r="AW448" s="758" t="n"/>
    </row>
    <row r="449" ht="14.4" customHeight="1" s="701">
      <c r="A449" s="751" t="n"/>
      <c r="S449" s="753" t="n"/>
      <c r="AE449" s="163" t="n"/>
      <c r="AT449" s="758" t="n"/>
      <c r="AU449" s="758" t="n"/>
      <c r="AV449" s="758" t="n"/>
      <c r="AW449" s="758" t="n"/>
    </row>
    <row r="450" ht="14.4" customHeight="1" s="701">
      <c r="A450" s="751" t="n"/>
      <c r="S450" s="753" t="n"/>
      <c r="AE450" s="163" t="n"/>
      <c r="AT450" s="758" t="n"/>
      <c r="AU450" s="758" t="n"/>
      <c r="AV450" s="758" t="n"/>
      <c r="AW450" s="758" t="n"/>
    </row>
    <row r="451" ht="14.4" customHeight="1" s="701">
      <c r="S451" s="753" t="n"/>
      <c r="AE451" s="163" t="n"/>
      <c r="AT451" s="758" t="n"/>
      <c r="AU451" s="758" t="n"/>
      <c r="AV451" s="758" t="n"/>
      <c r="AW451" s="758" t="n"/>
    </row>
    <row r="452" ht="14.4" customHeight="1" s="701">
      <c r="S452" s="753" t="n"/>
      <c r="W452" s="163" t="n"/>
    </row>
    <row r="453" ht="14.4" customHeight="1" s="701">
      <c r="S453" s="753" t="n"/>
      <c r="W453" s="163" t="n"/>
    </row>
    <row r="454" ht="14.4" customHeight="1" s="701">
      <c r="S454" s="753" t="n"/>
      <c r="W454" s="163" t="n"/>
    </row>
    <row r="455" ht="14.4" customHeight="1" s="701">
      <c r="S455" s="753" t="n"/>
      <c r="W455" s="163" t="n"/>
    </row>
    <row r="456" ht="14.4" customHeight="1" s="701">
      <c r="S456" s="753" t="n"/>
      <c r="W456" s="163" t="n"/>
    </row>
    <row r="457" ht="14.4" customHeight="1" s="701">
      <c r="S457" s="753" t="n"/>
      <c r="W457" s="163" t="n"/>
    </row>
    <row r="458" ht="14.4" customHeight="1" s="701">
      <c r="S458" s="753" t="n"/>
      <c r="W458" s="163" t="n"/>
    </row>
    <row r="459" ht="14.4" customHeight="1" s="701">
      <c r="S459" s="753" t="n"/>
      <c r="W459" s="163" t="n"/>
    </row>
    <row r="460" ht="14.4" customHeight="1" s="701">
      <c r="S460" s="753" t="n"/>
      <c r="W460" s="163" t="n"/>
    </row>
    <row r="461" ht="14.4" customHeight="1" s="701">
      <c r="S461" s="753" t="n"/>
      <c r="W461" s="163" t="n"/>
    </row>
    <row r="462" ht="14.4" customHeight="1" s="701">
      <c r="S462" s="753" t="n"/>
      <c r="W462" s="163" t="n"/>
    </row>
    <row r="463" ht="14.4" customHeight="1" s="701">
      <c r="S463" s="753" t="n"/>
      <c r="W463" s="163" t="n"/>
    </row>
    <row r="464" ht="14.4" customHeight="1" s="701">
      <c r="S464" s="753" t="n"/>
      <c r="W464" s="163" t="n"/>
    </row>
    <row r="465" ht="14.4" customHeight="1" s="701">
      <c r="S465" s="753" t="n"/>
      <c r="W465" s="163" t="n"/>
    </row>
    <row r="466" ht="14.4" customHeight="1" s="701">
      <c r="S466" s="753" t="n"/>
      <c r="W466" s="163" t="n"/>
    </row>
    <row r="467" ht="14.4" customHeight="1" s="701">
      <c r="S467" s="753" t="n"/>
      <c r="W467" s="163" t="n"/>
    </row>
    <row r="468" ht="14.4" customHeight="1" s="701">
      <c r="S468" s="753" t="n"/>
      <c r="W468" s="163" t="n"/>
    </row>
    <row r="469" ht="14.4" customHeight="1" s="701">
      <c r="S469" s="753" t="n"/>
      <c r="W469" s="163" t="n"/>
    </row>
    <row r="470" ht="14.4" customHeight="1" s="701">
      <c r="S470" s="753" t="n"/>
      <c r="W470" s="163" t="n"/>
    </row>
    <row r="471" ht="14.4" customHeight="1" s="701">
      <c r="S471" s="753" t="n"/>
      <c r="W471" s="163" t="n"/>
    </row>
    <row r="472" ht="14.4" customHeight="1" s="701">
      <c r="S472" s="753" t="n"/>
      <c r="W472" s="163" t="n"/>
    </row>
    <row r="473" ht="14.4" customHeight="1" s="701">
      <c r="S473" s="753" t="n"/>
      <c r="W473" s="163" t="n"/>
    </row>
    <row r="474" ht="14.4" customHeight="1" s="701">
      <c r="S474" s="753" t="n"/>
      <c r="W474" s="163" t="n"/>
    </row>
    <row r="475" ht="14.4" customHeight="1" s="701">
      <c r="S475" s="753" t="n"/>
      <c r="W475" s="163" t="n"/>
    </row>
    <row r="476" ht="14.4" customHeight="1" s="701">
      <c r="S476" s="753" t="n"/>
      <c r="W476" s="163" t="n"/>
    </row>
    <row r="477" ht="14.4" customHeight="1" s="701">
      <c r="S477" s="753" t="n"/>
      <c r="W477" s="163" t="n"/>
    </row>
    <row r="478" ht="14.4" customHeight="1" s="701">
      <c r="S478" s="753" t="n"/>
      <c r="W478" s="163" t="n"/>
    </row>
    <row r="479" ht="14.4" customHeight="1" s="701">
      <c r="S479" s="753" t="n"/>
      <c r="W479" s="163" t="n"/>
    </row>
    <row r="480" ht="14.4" customHeight="1" s="701">
      <c r="S480" s="753" t="n"/>
      <c r="W480" s="163" t="n"/>
    </row>
    <row r="481" ht="14.4" customHeight="1" s="701">
      <c r="S481" s="753" t="n"/>
      <c r="W481" s="163" t="n"/>
    </row>
    <row r="482" ht="14.4" customHeight="1" s="701">
      <c r="S482" s="753" t="n"/>
      <c r="W482" s="163" t="n"/>
    </row>
    <row r="483" ht="14.4" customHeight="1" s="701">
      <c r="S483" s="753" t="n"/>
      <c r="W483" s="163" t="n"/>
    </row>
    <row r="484" ht="14.4" customHeight="1" s="701">
      <c r="S484" s="753" t="n"/>
      <c r="W484" s="163" t="n"/>
    </row>
    <row r="485" ht="14.4" customHeight="1" s="701">
      <c r="S485" s="753" t="n"/>
      <c r="W485" s="163" t="n"/>
    </row>
    <row r="486" ht="14.4" customHeight="1" s="701">
      <c r="S486" s="753" t="n"/>
      <c r="W486" s="163" t="n"/>
    </row>
    <row r="487" ht="14.4" customHeight="1" s="701">
      <c r="S487" s="753" t="n"/>
      <c r="W487" s="163" t="n"/>
    </row>
    <row r="488" ht="14.4" customHeight="1" s="701">
      <c r="S488" s="753" t="n"/>
      <c r="W488" s="163" t="n"/>
    </row>
    <row r="489" ht="14.4" customHeight="1" s="701">
      <c r="S489" s="753" t="n"/>
      <c r="W489" s="163" t="n"/>
    </row>
    <row r="490" ht="14.4" customHeight="1" s="701">
      <c r="S490" s="753" t="n"/>
      <c r="W490" s="163" t="n"/>
    </row>
    <row r="491" ht="14.4" customHeight="1" s="701">
      <c r="S491" s="753" t="n"/>
      <c r="W491" s="163" t="n"/>
    </row>
    <row r="492" ht="14.4" customHeight="1" s="701">
      <c r="S492" s="753" t="n"/>
      <c r="W492" s="163" t="n"/>
    </row>
    <row r="493" ht="14.4" customHeight="1" s="701">
      <c r="S493" s="753" t="n"/>
      <c r="W493" s="163" t="n"/>
    </row>
    <row r="494" ht="14.4" customHeight="1" s="701">
      <c r="S494" s="753" t="n"/>
      <c r="W494" s="163" t="n"/>
    </row>
    <row r="495" ht="14.4" customHeight="1" s="701">
      <c r="S495" s="753" t="n"/>
      <c r="W495" s="163" t="n"/>
    </row>
    <row r="496" ht="14.4" customHeight="1" s="701">
      <c r="W496" s="163" t="n"/>
    </row>
    <row r="497" ht="14.4" customHeight="1" s="701">
      <c r="W497" s="163" t="n"/>
    </row>
    <row r="498" ht="14.4" customHeight="1" s="701">
      <c r="W498" s="163" t="n"/>
    </row>
    <row r="499" ht="14.4" customHeight="1" s="701">
      <c r="W499" s="163" t="n"/>
    </row>
    <row r="500" ht="14.4" customHeight="1" s="701">
      <c r="E500" s="328" t="n"/>
      <c r="W500" s="163" t="n"/>
      <c r="AE500" s="163" t="n"/>
      <c r="AL500" s="709" t="n"/>
    </row>
    <row r="501" ht="14.4" customHeight="1" s="701">
      <c r="W501" s="163" t="n"/>
      <c r="AE501" s="163" t="n"/>
      <c r="AL501" s="709" t="n"/>
    </row>
    <row r="502" ht="14.4" customHeight="1" s="701">
      <c r="W502" s="163" t="n"/>
    </row>
    <row r="503" ht="14.4" customHeight="1" s="701">
      <c r="W503" s="163" t="n"/>
    </row>
    <row r="504" ht="14.4" customHeight="1" s="701">
      <c r="W504" s="163" t="n"/>
    </row>
    <row r="505" ht="14.4" customHeight="1" s="701">
      <c r="W505" s="163" t="n"/>
    </row>
    <row r="506" ht="14.4" customHeight="1" s="701">
      <c r="W506" s="163" t="n"/>
    </row>
    <row r="507" ht="14.4" customHeight="1" s="701">
      <c r="W507" s="163" t="n"/>
    </row>
    <row r="508" ht="14.4" customHeight="1" s="701">
      <c r="W508" s="163" t="n"/>
    </row>
    <row r="509" ht="14.4" customHeight="1" s="701">
      <c r="W509" s="163" t="n"/>
    </row>
    <row r="510" ht="14.4" customHeight="1" s="701">
      <c r="W510" s="163" t="n"/>
    </row>
    <row r="511" ht="14.4" customHeight="1" s="701">
      <c r="W511" s="163" t="n"/>
    </row>
    <row r="512" ht="14.4" customHeight="1" s="701">
      <c r="W512" s="163" t="n"/>
    </row>
    <row r="513" ht="14.4" customHeight="1" s="701">
      <c r="W513" s="163" t="n"/>
    </row>
    <row r="514" ht="14.4" customHeight="1" s="701">
      <c r="W514" s="163" t="n"/>
    </row>
    <row r="515" ht="14.4" customHeight="1" s="701">
      <c r="W515" s="163" t="n"/>
    </row>
    <row r="516" ht="14.4" customHeight="1" s="701">
      <c r="W516" s="163" t="n"/>
    </row>
    <row r="517" ht="14.4" customHeight="1" s="701">
      <c r="W517" s="163" t="n"/>
    </row>
    <row r="518" ht="14.4" customHeight="1" s="701">
      <c r="W518" s="163" t="n"/>
    </row>
    <row r="519" ht="14.4" customHeight="1" s="701">
      <c r="W519" s="163" t="n"/>
    </row>
    <row r="520" ht="14.4" customHeight="1" s="701">
      <c r="W520" s="163" t="n"/>
    </row>
    <row r="521" ht="14.4" customHeight="1" s="701">
      <c r="W521" s="163" t="n"/>
    </row>
    <row r="522" ht="14.4" customHeight="1" s="701">
      <c r="W522" s="163" t="n"/>
    </row>
    <row r="523" ht="14.4" customHeight="1" s="701">
      <c r="W523" s="163" t="n"/>
    </row>
    <row r="524" ht="14.4" customHeight="1" s="701">
      <c r="W524" s="163" t="n"/>
    </row>
    <row r="525" ht="14.4" customHeight="1" s="701">
      <c r="W525" s="163" t="n"/>
    </row>
    <row r="526" ht="14.4" customHeight="1" s="701">
      <c r="W526" s="163" t="n"/>
    </row>
    <row r="527" ht="14.4" customHeight="1" s="701">
      <c r="W527" s="163" t="n"/>
    </row>
    <row r="528" ht="14.4" customHeight="1" s="701">
      <c r="W528" s="163" t="n"/>
    </row>
    <row r="529" ht="14.4" customHeight="1" s="701">
      <c r="W529" s="163" t="n"/>
    </row>
    <row r="530" ht="14.4" customHeight="1" s="701">
      <c r="W530" s="163" t="n"/>
    </row>
    <row r="531" ht="14.4" customHeight="1" s="701">
      <c r="W531" s="163" t="n"/>
    </row>
    <row r="532" ht="14.4" customHeight="1" s="701">
      <c r="W532" s="163" t="n"/>
    </row>
    <row r="533" ht="14.4" customHeight="1" s="701">
      <c r="W533" s="163" t="n"/>
    </row>
    <row r="534" ht="14.4" customHeight="1" s="701">
      <c r="W534" s="163" t="n"/>
    </row>
    <row r="535" ht="14.4" customHeight="1" s="701">
      <c r="W535" s="163" t="n"/>
    </row>
    <row r="536" ht="14.4" customHeight="1" s="701">
      <c r="W536" s="163" t="n"/>
    </row>
    <row r="537" ht="14.4" customHeight="1" s="701">
      <c r="W537" s="163" t="n"/>
    </row>
    <row r="538" ht="14.4" customHeight="1" s="701">
      <c r="W538" s="163" t="n"/>
    </row>
    <row r="539" ht="14.4" customHeight="1" s="701">
      <c r="W539" s="163" t="n"/>
    </row>
    <row r="540" ht="14.4" customHeight="1" s="701">
      <c r="W540" s="163" t="n"/>
    </row>
    <row r="541" ht="14.4" customHeight="1" s="701">
      <c r="W541" s="163" t="n"/>
    </row>
    <row r="542" ht="14.4" customHeight="1" s="701">
      <c r="W542" s="163" t="n"/>
    </row>
    <row r="543" ht="14.4" customHeight="1" s="701">
      <c r="W543" s="163" t="n"/>
    </row>
    <row r="544" ht="14.4" customHeight="1" s="701">
      <c r="W544" s="163" t="n"/>
    </row>
    <row r="545" ht="14.4" customHeight="1" s="701">
      <c r="W545" s="163" t="n"/>
    </row>
    <row r="546" ht="14.4" customHeight="1" s="701">
      <c r="W546" s="163" t="n"/>
    </row>
    <row r="547" ht="14.4" customHeight="1" s="701">
      <c r="W547" s="163" t="n"/>
    </row>
    <row r="548" ht="14.4" customHeight="1" s="701">
      <c r="W548" s="163" t="n"/>
    </row>
    <row r="549" ht="14.4" customHeight="1" s="701">
      <c r="W549" s="163" t="n"/>
    </row>
    <row r="550" ht="14.4" customHeight="1" s="701">
      <c r="W550" s="163" t="n"/>
    </row>
    <row r="551" ht="14.4" customHeight="1" s="701">
      <c r="W551" s="163" t="n"/>
    </row>
    <row r="552" ht="14.4" customHeight="1" s="701">
      <c r="W552" s="163" t="n"/>
    </row>
    <row r="553" ht="14.4" customHeight="1" s="701">
      <c r="W553" s="163" t="n"/>
    </row>
    <row r="554" ht="14.4" customHeight="1" s="701">
      <c r="W554" s="163" t="n"/>
    </row>
    <row r="555" ht="14.4" customHeight="1" s="701">
      <c r="W555" s="163" t="n"/>
    </row>
    <row r="556" ht="14.4" customHeight="1" s="701">
      <c r="W556" s="163" t="n"/>
    </row>
    <row r="557" ht="14.4" customHeight="1" s="701">
      <c r="W557" s="163" t="n"/>
    </row>
    <row r="558" ht="14.4" customHeight="1" s="701">
      <c r="W558" s="163" t="n"/>
    </row>
    <row r="559" ht="14.4" customHeight="1" s="701">
      <c r="W559" s="163" t="n"/>
    </row>
    <row r="560" ht="14.4" customHeight="1" s="701">
      <c r="W560" s="163" t="n"/>
    </row>
    <row r="561" ht="14.4" customHeight="1" s="701">
      <c r="W561" s="163" t="n"/>
    </row>
    <row r="562" ht="14.4" customHeight="1" s="701">
      <c r="W562" s="163" t="n"/>
    </row>
    <row r="563" ht="14.4" customHeight="1" s="701">
      <c r="W563" s="163" t="n"/>
    </row>
    <row r="564" ht="14.4" customHeight="1" s="701">
      <c r="W564" s="163" t="n"/>
    </row>
    <row r="565" ht="14.4" customHeight="1" s="701">
      <c r="W565" s="163" t="n"/>
    </row>
    <row r="566" ht="14.4" customHeight="1" s="701">
      <c r="W566" s="163" t="n"/>
    </row>
    <row r="567" ht="14.4" customHeight="1" s="701">
      <c r="W567" s="163" t="n"/>
    </row>
    <row r="568" ht="14.4" customHeight="1" s="701">
      <c r="W568" s="163" t="n"/>
    </row>
    <row r="569" ht="14.4" customHeight="1" s="701">
      <c r="W569" s="163" t="n"/>
    </row>
    <row r="570" ht="14.4" customHeight="1" s="701">
      <c r="W570" s="163" t="n"/>
    </row>
    <row r="571" ht="14.4" customHeight="1" s="701">
      <c r="W571" s="163" t="n"/>
    </row>
    <row r="572" ht="14.4" customHeight="1" s="701">
      <c r="W572" s="163" t="n"/>
    </row>
    <row r="573" ht="14.4" customHeight="1" s="701">
      <c r="W573" s="163" t="n"/>
    </row>
    <row r="574" ht="14.4" customHeight="1" s="701">
      <c r="W574" s="163" t="n"/>
    </row>
    <row r="575" ht="14.4" customHeight="1" s="701">
      <c r="W575" s="163" t="n"/>
    </row>
    <row r="576" ht="14.4" customHeight="1" s="701">
      <c r="W576" s="163" t="n"/>
    </row>
    <row r="577" ht="14.4" customHeight="1" s="701">
      <c r="W577" s="163" t="n"/>
    </row>
    <row r="578" ht="14.4" customHeight="1" s="701">
      <c r="W578" s="163" t="n"/>
    </row>
    <row r="579" ht="14.4" customHeight="1" s="701">
      <c r="W579" s="163" t="n"/>
    </row>
    <row r="580" ht="14.4" customHeight="1" s="701">
      <c r="W580" s="163" t="n"/>
    </row>
    <row r="581" ht="14.4" customHeight="1" s="701">
      <c r="W581" s="163" t="n"/>
    </row>
    <row r="582" ht="14.4" customHeight="1" s="701">
      <c r="W582" s="163" t="n"/>
    </row>
    <row r="583" ht="14.4" customHeight="1" s="701">
      <c r="W583" s="163" t="n"/>
    </row>
    <row r="584" ht="14.4" customHeight="1" s="701">
      <c r="W584" s="163" t="n"/>
    </row>
    <row r="585" ht="14.4" customHeight="1" s="701">
      <c r="W585" s="163" t="n"/>
    </row>
    <row r="586" ht="14.4" customHeight="1" s="701">
      <c r="W586" s="163" t="n"/>
    </row>
    <row r="587" ht="14.4" customHeight="1" s="701">
      <c r="W587" s="163" t="n"/>
    </row>
    <row r="588" ht="14.4" customHeight="1" s="701">
      <c r="W588" s="163" t="n"/>
    </row>
    <row r="589" ht="14.4" customHeight="1" s="701">
      <c r="W589" s="163" t="n"/>
    </row>
    <row r="590" ht="14.4" customHeight="1" s="701">
      <c r="W590" s="163" t="n"/>
    </row>
    <row r="591" ht="14.4" customHeight="1" s="701">
      <c r="W591" s="163" t="n"/>
    </row>
    <row r="592" ht="14.4" customHeight="1" s="701">
      <c r="W592" s="163" t="n"/>
    </row>
    <row r="593" ht="14.4" customHeight="1" s="701">
      <c r="W593" s="163" t="n"/>
    </row>
    <row r="594">
      <c r="W594" s="163" t="n"/>
    </row>
    <row r="595">
      <c r="W595" s="163" t="n"/>
    </row>
    <row r="596">
      <c r="W596" s="163" t="n"/>
    </row>
    <row r="597">
      <c r="W597" s="163" t="n"/>
    </row>
    <row r="598">
      <c r="W598" s="163" t="n"/>
    </row>
    <row r="599">
      <c r="W599" s="163" t="n"/>
    </row>
    <row r="600">
      <c r="W600" s="163" t="n"/>
    </row>
    <row r="601">
      <c r="W601" s="163" t="n"/>
    </row>
    <row r="602">
      <c r="W602" s="163" t="n"/>
    </row>
    <row r="603">
      <c r="W603" s="163" t="n"/>
    </row>
    <row r="604">
      <c r="W604" s="163" t="n"/>
    </row>
  </sheetData>
  <mergeCells count="3">
    <mergeCell ref="N1:U1"/>
    <mergeCell ref="X1:AE1"/>
    <mergeCell ref="C1:L1"/>
  </mergeCells>
  <conditionalFormatting sqref="W3:AE390 N3:U390">
    <cfRule type="expression" priority="25" dxfId="82">
      <formula>OR($L3="Annulé",$L3="Rejeté")</formula>
    </cfRule>
  </conditionalFormatting>
  <conditionalFormatting sqref="L3:L51">
    <cfRule type="containsText" priority="46" operator="containsText" dxfId="187" text="Rejeté">
      <formula>NOT(ISERROR(SEARCH("Rejeté",L3)))</formula>
    </cfRule>
  </conditionalFormatting>
  <conditionalFormatting sqref="L2:L206">
    <cfRule type="containsText" priority="7" operator="containsText" dxfId="187" text="Rejeté">
      <formula>NOT(ISERROR(SEARCH("Rejeté",L2)))</formula>
    </cfRule>
  </conditionalFormatting>
  <conditionalFormatting sqref="A2:A206 C2:L206">
    <cfRule type="expression" priority="1" dxfId="81">
      <formula>AND(YEAR($D2)=YEAR(TODAY()),MONTH($D2)=MONTH(336))</formula>
    </cfRule>
    <cfRule type="expression" priority="2" dxfId="80">
      <formula>AND(YEAR($D2)=YEAR(TODAY()),MONTH($D2)=MONTH(306))</formula>
    </cfRule>
    <cfRule type="expression" priority="3" dxfId="79">
      <formula>AND(YEAR($D2)=YEAR(TODAY()),MONTH($D2)=MONTH(277))</formula>
    </cfRule>
    <cfRule type="expression" priority="4" dxfId="78">
      <formula>AND(YEAR($D2)=YEAR(TODAY()),MONTH($D2)=MONTH(245))</formula>
    </cfRule>
    <cfRule type="expression" priority="5" dxfId="77">
      <formula>AND(YEAR($D2)=YEAR(TODAY()),MONTH($D2)=MONTH(214))</formula>
    </cfRule>
    <cfRule type="expression" priority="6" dxfId="76">
      <formula>AND(YEAR($D2)=YEAR(TODAY()),MONTH($D2)=MONTH(183))</formula>
    </cfRule>
    <cfRule type="expression" priority="8" dxfId="75">
      <formula>AND(YEAR($D2)=YEAR(TODAY()),MONTH($D2)=MONTH(153))</formula>
    </cfRule>
    <cfRule type="expression" priority="9" dxfId="73">
      <formula>AND(YEAR($D2)=YEAR(TODAY()),MONTH($D2)=MONTH(94))</formula>
    </cfRule>
    <cfRule type="expression" priority="10" dxfId="70">
      <formula>AND(YEAR($D2)=YEAR(TODAY()),MONTH($D2)=MONTH(1))</formula>
    </cfRule>
    <cfRule type="expression" priority="11" dxfId="71">
      <formula>AND(YEAR($D2)=YEAR(TODAY()),MONTH($D2)=MONTH(32))</formula>
    </cfRule>
    <cfRule type="expression" priority="12" dxfId="72">
      <formula>AND(YEAR($D2)=YEAR(TODAY()),MONTH($D2)=MONTH(61))</formula>
    </cfRule>
    <cfRule type="expression" priority="40" dxfId="80">
      <formula>AND(YEAR($D2)=YEAR(TODAY()),MONTH($D2)=MONTH(306))</formula>
    </cfRule>
    <cfRule type="expression" priority="41" dxfId="79">
      <formula>AND(YEAR($D2)=YEAR(TODAY()),MONTH($D2)=MONTH(277))</formula>
    </cfRule>
    <cfRule type="expression" priority="42" dxfId="78">
      <formula>AND(YEAR($D2)=YEAR(TODAY()),MONTH($D2)=MONTH(245))</formula>
    </cfRule>
    <cfRule type="expression" priority="43" dxfId="77">
      <formula>AND(YEAR($D2)=YEAR(TODAY()),MONTH($D2)=MONTH(214))</formula>
    </cfRule>
    <cfRule type="expression" priority="44" dxfId="76">
      <formula>AND(YEAR($D2)=YEAR(TODAY()),MONTH($D2)=MONTH(183))</formula>
    </cfRule>
    <cfRule type="expression" priority="47" dxfId="75">
      <formula>AND(YEAR($D2)=YEAR(TODAY()),MONTH($D2)=MONTH(153))</formula>
    </cfRule>
    <cfRule type="expression" priority="48" dxfId="73">
      <formula>AND(YEAR($D2)=YEAR(TODAY()),MONTH($D2)=MONTH(94))</formula>
    </cfRule>
    <cfRule type="expression" priority="49" dxfId="70">
      <formula>AND(YEAR($D2)=YEAR(TODAY()),MONTH($D2)=MONTH(1))</formula>
    </cfRule>
    <cfRule type="expression" priority="50" dxfId="71">
      <formula>AND(YEAR($D2)=YEAR(TODAY()),MONTH($D2)=MONTH(32))</formula>
    </cfRule>
    <cfRule type="expression" priority="51" dxfId="72">
      <formula>AND(YEAR($D2)=YEAR(TODAY()),MONTH($D2)=MONTH(61))</formula>
    </cfRule>
  </conditionalFormatting>
  <conditionalFormatting sqref="A3:A390 C3:L390">
    <cfRule type="expression" priority="39" dxfId="81">
      <formula>AND(YEAR($D3)=YEAR(TODAY()),MONTH($D3)=MONTH(336))</formula>
    </cfRule>
  </conditionalFormatting>
  <conditionalFormatting sqref="N3:U390">
    <cfRule type="expression" priority="53" dxfId="74">
      <formula>AND(YEAR($Q3)=YEAR(TODAY()),MONTH($Q3)=MONTH(122))</formula>
    </cfRule>
    <cfRule type="expression" priority="55" dxfId="81">
      <formula>AND(YEAR($Q3)=YEAR(TODAY()),MONTH($Q3)=MONTH(336))</formula>
    </cfRule>
    <cfRule type="expression" priority="57" dxfId="80">
      <formula>AND(YEAR($Q3)=YEAR(TODAY()),MONTH($Q3)=MONTH(306))</formula>
    </cfRule>
    <cfRule type="expression" priority="59" dxfId="79">
      <formula>AND(YEAR($Q3)=YEAR(TODAY()),MONTH($Q3)=MONTH(275))</formula>
    </cfRule>
    <cfRule type="expression" priority="71" dxfId="70">
      <formula>AND(YEAR($Q3)=YEAR(TODAY()),MONTH($Q3)=MONTH(31))</formula>
    </cfRule>
    <cfRule type="expression" priority="72" dxfId="75">
      <formula>AND(YEAR($Q3)=YEAR(TODAY()),MONTH($Q3)=MONTH(153))</formula>
    </cfRule>
    <cfRule type="expression" priority="73" dxfId="74">
      <formula>AND(YEAR($Q3)=YEAR(TODAY()),MONTH($Q3)=MONTH(122))</formula>
    </cfRule>
    <cfRule type="expression" priority="75" dxfId="81">
      <formula>AND(YEAR($Q3)=YEAR(TODAY()),MONTH($Q3)=MONTH(336))</formula>
    </cfRule>
    <cfRule type="expression" priority="78" dxfId="80">
      <formula>AND(YEAR($Q3)=YEAR(TODAY()),MONTH($Q3)=MONTH(306))</formula>
    </cfRule>
    <cfRule type="expression" priority="84" dxfId="78">
      <formula>AND(YEAR($Q3)=YEAR(TODAY()),MONTH($Q3)=MONTH(245))</formula>
    </cfRule>
    <cfRule type="expression" priority="87" dxfId="77">
      <formula>AND(YEAR($Q3)=YEAR(TODAY()),MONTH($Q3)=MONTH(214))</formula>
    </cfRule>
    <cfRule type="expression" priority="90" dxfId="76">
      <formula>AND(YEAR($Q3)=YEAR(TODAY()),MONTH($Q3)=MONTH(183))</formula>
    </cfRule>
    <cfRule type="expression" priority="98" dxfId="71">
      <formula>AND(YEAR($Q3)=YEAR(TODAY()),MONTH($Q3)=MONTH(32))</formula>
    </cfRule>
    <cfRule type="expression" priority="99" dxfId="72">
      <formula>AND(YEAR($Q3)=YEAR(TODAY()),MONTH($Q3)=MONTH(61))</formula>
    </cfRule>
    <cfRule type="expression" priority="100" dxfId="73">
      <formula>AND(YEAR($Q3)=YEAR(TODAY()),MONTH($Q3)=MONTH(92))</formula>
    </cfRule>
    <cfRule type="expression" priority="102" dxfId="70">
      <formula>AND(YEAR($Q3)=YEAR(TODAY()),MONTH($Q3)=MONTH(31))</formula>
    </cfRule>
    <cfRule type="expression" priority="103" dxfId="75">
      <formula>AND(YEAR($Q3)=YEAR(TODAY()),MONTH($Q3)=MONTH(153))</formula>
    </cfRule>
  </conditionalFormatting>
  <conditionalFormatting sqref="W3:AE390">
    <cfRule type="expression" priority="13" dxfId="70">
      <formula>AND($Y3=YEAR(TODAY()),$Z3=MONTH(31))</formula>
    </cfRule>
    <cfRule type="expression" priority="14" dxfId="81">
      <formula>AND($Y3=YEAR(TODAY()),$Z3=MONTH(336))</formula>
    </cfRule>
    <cfRule type="expression" priority="15" dxfId="80">
      <formula>AND($Y3=YEAR(TODAY()),$Z3=MONTH(306))</formula>
    </cfRule>
    <cfRule type="expression" priority="16" dxfId="79">
      <formula>AND($Y3=YEAR(TODAY()),$Z3=MONTH(275))</formula>
    </cfRule>
    <cfRule type="expression" priority="17" dxfId="78">
      <formula>AND($Y3=YEAR(TODAY()),$Z3=MONTH(245))</formula>
    </cfRule>
    <cfRule type="expression" priority="18" dxfId="77">
      <formula>AND($Y3=YEAR(TODAY()),$Z3=MONTH(214))</formula>
    </cfRule>
    <cfRule type="expression" priority="19" dxfId="76">
      <formula>AND($Y3=YEAR(TODAY()),$Z3=MONTH(183))</formula>
    </cfRule>
    <cfRule type="expression" priority="20" dxfId="75">
      <formula>AND($Y3=YEAR(TODAY()),$Z3=MONTH(153))</formula>
    </cfRule>
    <cfRule type="expression" priority="21" dxfId="74">
      <formula>AND($Y3=YEAR(TODAY()),$Z3=MONTH(122))</formula>
    </cfRule>
    <cfRule type="expression" priority="22" dxfId="73">
      <formula>AND($Y3=YEAR(TODAY()),$Z3=MONTH(92))</formula>
    </cfRule>
    <cfRule type="expression" priority="23" dxfId="72">
      <formula>AND($Y3=YEAR(TODAY()),$Z3=MONTH(61))</formula>
    </cfRule>
    <cfRule type="expression" priority="24" dxfId="71">
      <formula>AND($Y3=YEAR(TODAY()),$Z3=MONTH(32))</formula>
    </cfRule>
  </conditionalFormatting>
  <dataValidations count="5">
    <dataValidation sqref="AN3:AN9 AN21:AN121" showErrorMessage="1" showInputMessage="1" allowBlank="1" type="list">
      <formula1>Raison_externalisation</formula1>
    </dataValidation>
    <dataValidation sqref="AG370:AG1048576 AG1:AG2" showErrorMessage="1" showInputMessage="1" allowBlank="1" type="list">
      <formula1>Refuse</formula1>
    </dataValidation>
    <dataValidation sqref="AF3:AF316" showErrorMessage="1" showInputMessage="1" allowBlank="1" type="list">
      <formula1>On_Site</formula1>
    </dataValidation>
    <dataValidation sqref="K2:K1048576" showErrorMessage="1" showInputMessage="1" allowBlank="1" type="list">
      <formula1>CAT</formula1>
    </dataValidation>
    <dataValidation sqref="L1:L1048576" showErrorMessage="1" showInputMessage="1" allowBlank="1" type="list">
      <formula1>Dstatus</formula1>
    </dataValidation>
  </dataValidations>
  <hyperlinks>
    <hyperlink ref="AP74" r:id="rId1"/>
  </hyperlinks>
  <pageMargins left="0.25" right="0.25" top="0.75" bottom="0.75" header="0.3" footer="0.3"/>
  <pageSetup orientation="landscape" paperSize="8" scale="1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BE107"/>
  <sheetViews>
    <sheetView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9.109375" defaultRowHeight="14.4"/>
  <cols>
    <col width="11.88671875" bestFit="1" customWidth="1" style="701" min="1" max="1"/>
    <col width="25.109375" bestFit="1" customWidth="1" style="700" min="2" max="2"/>
    <col width="12" customWidth="1" style="701" min="3" max="4"/>
    <col width="12.109375" customWidth="1" style="701" min="5" max="5"/>
    <col width="12" customWidth="1" style="701" min="6" max="29"/>
    <col width="12" bestFit="1" customWidth="1" style="701" min="30" max="54"/>
  </cols>
  <sheetData>
    <row r="1" customFormat="1" s="236">
      <c r="A1" s="236" t="inlineStr">
        <is>
          <t>Total</t>
        </is>
      </c>
      <c r="C1" s="236" t="inlineStr">
        <is>
          <t>S01</t>
        </is>
      </c>
      <c r="D1" s="236" t="inlineStr">
        <is>
          <t>S02</t>
        </is>
      </c>
      <c r="E1" s="236" t="inlineStr">
        <is>
          <t>S03</t>
        </is>
      </c>
      <c r="F1" s="237" t="inlineStr">
        <is>
          <t>S04</t>
        </is>
      </c>
      <c r="G1" s="238" t="inlineStr">
        <is>
          <t>S05</t>
        </is>
      </c>
      <c r="H1" s="238" t="inlineStr">
        <is>
          <t>S06</t>
        </is>
      </c>
      <c r="I1" s="239" t="inlineStr">
        <is>
          <t>S07</t>
        </is>
      </c>
      <c r="J1" s="238" t="inlineStr">
        <is>
          <t>S08</t>
        </is>
      </c>
      <c r="K1" s="236" t="inlineStr">
        <is>
          <t>S09</t>
        </is>
      </c>
      <c r="L1" s="237" t="inlineStr">
        <is>
          <t>S10</t>
        </is>
      </c>
      <c r="M1" s="237" t="inlineStr">
        <is>
          <t>S11</t>
        </is>
      </c>
      <c r="N1" s="237" t="inlineStr">
        <is>
          <t>S12</t>
        </is>
      </c>
      <c r="O1" s="237" t="inlineStr">
        <is>
          <t>S13</t>
        </is>
      </c>
      <c r="P1" s="238" t="inlineStr">
        <is>
          <t>S14</t>
        </is>
      </c>
      <c r="Q1" s="238" t="inlineStr">
        <is>
          <t>S15</t>
        </is>
      </c>
      <c r="R1" s="238" t="inlineStr">
        <is>
          <t>S16</t>
        </is>
      </c>
      <c r="S1" s="238" t="inlineStr">
        <is>
          <t>S17</t>
        </is>
      </c>
      <c r="T1" s="237" t="inlineStr">
        <is>
          <t>S18</t>
        </is>
      </c>
      <c r="U1" s="237" t="inlineStr">
        <is>
          <t>S19</t>
        </is>
      </c>
      <c r="V1" s="237" t="inlineStr">
        <is>
          <t>S20</t>
        </is>
      </c>
      <c r="W1" s="237" t="inlineStr">
        <is>
          <t>S21</t>
        </is>
      </c>
      <c r="X1" s="238" t="inlineStr">
        <is>
          <t>S22</t>
        </is>
      </c>
      <c r="Y1" s="238" t="inlineStr">
        <is>
          <t>S23</t>
        </is>
      </c>
      <c r="Z1" s="238" t="inlineStr">
        <is>
          <t>S24</t>
        </is>
      </c>
      <c r="AA1" s="238" t="inlineStr">
        <is>
          <t>S25</t>
        </is>
      </c>
      <c r="AB1" s="238" t="inlineStr">
        <is>
          <t>S26</t>
        </is>
      </c>
      <c r="AC1" s="237" t="inlineStr">
        <is>
          <t>S27</t>
        </is>
      </c>
      <c r="AD1" s="237" t="inlineStr">
        <is>
          <t>S28</t>
        </is>
      </c>
      <c r="AE1" s="237" t="inlineStr">
        <is>
          <t>S29</t>
        </is>
      </c>
      <c r="AF1" s="237" t="inlineStr">
        <is>
          <t>S30</t>
        </is>
      </c>
      <c r="AG1" s="238" t="inlineStr">
        <is>
          <t>S31</t>
        </is>
      </c>
      <c r="AH1" s="238" t="inlineStr">
        <is>
          <t>S32</t>
        </is>
      </c>
      <c r="AI1" s="238" t="inlineStr">
        <is>
          <t>S33</t>
        </is>
      </c>
      <c r="AJ1" s="238" t="inlineStr">
        <is>
          <t>S34</t>
        </is>
      </c>
      <c r="AK1" s="237" t="inlineStr">
        <is>
          <t>S35</t>
        </is>
      </c>
      <c r="AL1" s="237" t="inlineStr">
        <is>
          <t>S36</t>
        </is>
      </c>
      <c r="AM1" s="237" t="inlineStr">
        <is>
          <t>S37</t>
        </is>
      </c>
      <c r="AN1" s="237" t="inlineStr">
        <is>
          <t>S38</t>
        </is>
      </c>
      <c r="AO1" s="237" t="inlineStr">
        <is>
          <t>S39</t>
        </is>
      </c>
      <c r="AP1" s="238" t="inlineStr">
        <is>
          <t>S40</t>
        </is>
      </c>
      <c r="AQ1" s="238" t="inlineStr">
        <is>
          <t>S41</t>
        </is>
      </c>
      <c r="AR1" s="238" t="inlineStr">
        <is>
          <t>S42</t>
        </is>
      </c>
      <c r="AS1" s="238" t="inlineStr">
        <is>
          <t>S43</t>
        </is>
      </c>
      <c r="AT1" s="237" t="inlineStr">
        <is>
          <t>S44</t>
        </is>
      </c>
      <c r="AU1" s="237" t="inlineStr">
        <is>
          <t>S45</t>
        </is>
      </c>
      <c r="AV1" s="237" t="inlineStr">
        <is>
          <t>S46</t>
        </is>
      </c>
      <c r="AW1" s="237" t="inlineStr">
        <is>
          <t>S47</t>
        </is>
      </c>
      <c r="AX1" s="238" t="inlineStr">
        <is>
          <t>S48</t>
        </is>
      </c>
      <c r="AY1" s="238" t="inlineStr">
        <is>
          <t>S49</t>
        </is>
      </c>
      <c r="AZ1" s="238" t="inlineStr">
        <is>
          <t>S50</t>
        </is>
      </c>
      <c r="BA1" s="238" t="inlineStr">
        <is>
          <t>S51</t>
        </is>
      </c>
      <c r="BB1" s="238" t="inlineStr">
        <is>
          <t>S52</t>
        </is>
      </c>
    </row>
    <row r="2" customFormat="1" s="759">
      <c r="A2" s="759">
        <f>SUM(C2:BB2)</f>
        <v/>
      </c>
      <c r="B2" s="760" t="inlineStr">
        <is>
          <t>Devis</t>
        </is>
      </c>
      <c r="C2" s="759">
        <f t="array" ref="C2">SUMPRODUCT((Data!$C$3:$C$371='Weekly Data'!C1)*(Data!$I$3:$I$371))</f>
        <v/>
      </c>
      <c r="D2" s="759">
        <f t="array" ref="D2">SUMPRODUCT((Data!$C$3:$C$371='Weekly Data'!D1)*(Data!$I$3:$I$371))</f>
        <v/>
      </c>
      <c r="E2" s="759">
        <f t="array" ref="E2">SUMPRODUCT((Data!$C$3:$C$371='Weekly Data'!E1)*(Data!$I$3:$I$371))</f>
        <v/>
      </c>
      <c r="F2" s="759">
        <f t="array" ref="F2">SUMPRODUCT((Data!$C$3:$C$371='Weekly Data'!F1)*(Data!$I$3:$I$371))</f>
        <v/>
      </c>
      <c r="G2" s="759">
        <f t="array" ref="G2">SUMPRODUCT((Data!$C$3:$C$371='Weekly Data'!G1)*(Data!$I$3:$I$371))</f>
        <v/>
      </c>
      <c r="H2" s="759">
        <f t="array" ref="H2">SUMPRODUCT((Data!$C$3:$C$371='Weekly Data'!H1)*(Data!$I$3:$I$371))</f>
        <v/>
      </c>
      <c r="I2" s="759">
        <f t="array" ref="I2">SUMPRODUCT((Data!$C$3:$C$371='Weekly Data'!I1)*(Data!$I$3:$I$371))</f>
        <v/>
      </c>
      <c r="J2" s="759">
        <f t="array" ref="J2">SUMPRODUCT((Data!$C$3:$C$371='Weekly Data'!J1)*(Data!$I$3:$I$371))</f>
        <v/>
      </c>
      <c r="K2" s="759">
        <f t="array" ref="K2">SUMPRODUCT((Data!$C$3:$C$371='Weekly Data'!K1)*(Data!$I$3:$I$371))</f>
        <v/>
      </c>
      <c r="L2" s="759">
        <f t="array" ref="L2">SUMPRODUCT((Data!$C$3:$C$371='Weekly Data'!L1)*(Data!$I$3:$I$371))</f>
        <v/>
      </c>
      <c r="M2" s="759">
        <f t="array" ref="M2">SUMPRODUCT((Data!$C$3:$C$371='Weekly Data'!M1)*(Data!$I$3:$I$371))</f>
        <v/>
      </c>
      <c r="N2" s="759">
        <f t="array" ref="N2">SUMPRODUCT((Data!$C$3:$C$371='Weekly Data'!N1)*(Data!$I$3:$I$371))</f>
        <v/>
      </c>
      <c r="O2" s="759">
        <f t="array" ref="O2">SUMPRODUCT((Data!$C$3:$C$371='Weekly Data'!O1)*(Data!$I$3:$I$371))</f>
        <v/>
      </c>
      <c r="P2" s="759">
        <f t="array" ref="P2">SUMPRODUCT((Data!$C$3:$C$371='Weekly Data'!P1)*(Data!$I$3:$I$371))</f>
        <v/>
      </c>
      <c r="Q2" s="759">
        <f t="array" ref="Q2">SUMPRODUCT((Data!$C$3:$C$371='Weekly Data'!Q1)*(Data!$I$3:$I$371))</f>
        <v/>
      </c>
      <c r="R2" s="759">
        <f t="array" ref="R2">SUMPRODUCT((Data!$C$3:$C$371='Weekly Data'!R1)*(Data!$I$3:$I$371))</f>
        <v/>
      </c>
      <c r="S2" s="759">
        <f t="array" ref="S2">SUMPRODUCT((Data!$C$3:$C$371='Weekly Data'!S1)*(Data!$I$3:$I$371))</f>
        <v/>
      </c>
      <c r="T2" s="759">
        <f t="array" ref="T2">SUMPRODUCT((Data!$C$3:$C$371='Weekly Data'!T1)*(Data!$I$3:$I$371))</f>
        <v/>
      </c>
      <c r="U2" s="759">
        <f t="array" ref="U2">SUMPRODUCT((Data!$C$3:$C$371='Weekly Data'!U1)*(Data!$I$3:$I$371))</f>
        <v/>
      </c>
      <c r="V2" s="759">
        <f t="array" ref="V2">SUMPRODUCT((Data!$C$3:$C$371='Weekly Data'!V1)*(Data!$I$3:$I$371))</f>
        <v/>
      </c>
      <c r="W2" s="759">
        <f t="array" ref="W2">SUMPRODUCT((Data!$C$3:$C$371='Weekly Data'!W1)*(Data!$I$3:$I$371))</f>
        <v/>
      </c>
      <c r="X2" s="759">
        <f t="array" ref="X2">SUMPRODUCT((Data!$C$3:$C$371='Weekly Data'!X1)*(Data!$I$3:$I$371))</f>
        <v/>
      </c>
      <c r="Y2" s="759">
        <f t="array" ref="Y2">SUMPRODUCT((Data!$C$3:$C$371='Weekly Data'!Y1)*(Data!$I$3:$I$371))</f>
        <v/>
      </c>
      <c r="Z2" s="759">
        <f t="array" ref="Z2">SUMPRODUCT((Data!$C$3:$C$371='Weekly Data'!Z1)*(Data!$I$3:$I$371))</f>
        <v/>
      </c>
      <c r="AA2" s="759">
        <f t="array" ref="AA2">SUMPRODUCT((Data!$C$3:$C$371='Weekly Data'!AA1)*(Data!$I$3:$I$371))</f>
        <v/>
      </c>
      <c r="AB2" s="759">
        <f t="array" ref="AB2">SUMPRODUCT((Data!$C$3:$C$371='Weekly Data'!AB1)*(Data!$I$3:$I$371))</f>
        <v/>
      </c>
      <c r="AC2" s="759">
        <f t="array" ref="AC2">SUMPRODUCT((Data!$C$3:$C$371='Weekly Data'!AC1)*(Data!$I$3:$I$371))</f>
        <v/>
      </c>
      <c r="AD2" s="759">
        <f t="array" ref="AD2">SUMPRODUCT((Data!$C$3:$C$371='Weekly Data'!AD1)*(Data!$I$3:$I$371))</f>
        <v/>
      </c>
      <c r="AE2" s="759">
        <f t="array" ref="AE2">SUMPRODUCT((Data!$C$3:$C$371='Weekly Data'!AE1)*(Data!$I$3:$I$371))</f>
        <v/>
      </c>
      <c r="AF2" s="759">
        <f t="array" ref="AF2">SUMPRODUCT((Data!$C$3:$C$371='Weekly Data'!AF1)*(Data!$I$3:$I$371))</f>
        <v/>
      </c>
      <c r="AG2" s="759">
        <f t="array" ref="AG2">SUMPRODUCT((Data!$C$3:$C$371='Weekly Data'!AG1)*(Data!$I$3:$I$371))</f>
        <v/>
      </c>
      <c r="AH2" s="759">
        <f t="array" ref="AH2">SUMPRODUCT((Data!$C$3:$C$371='Weekly Data'!AH1)*(Data!$I$3:$I$371))</f>
        <v/>
      </c>
      <c r="AI2" s="759">
        <f t="array" ref="AI2">SUMPRODUCT((Data!$C$3:$C$371='Weekly Data'!AI1)*(Data!$I$3:$I$371))</f>
        <v/>
      </c>
      <c r="AJ2" s="759">
        <f t="array" ref="AJ2">SUMPRODUCT((Data!$C$3:$C$371='Weekly Data'!AJ1)*(Data!$I$3:$I$371))</f>
        <v/>
      </c>
      <c r="AK2" s="759">
        <f t="array" ref="AK2">SUMPRODUCT((Data!$C$3:$C$371='Weekly Data'!AK1)*(Data!$I$3:$I$371))</f>
        <v/>
      </c>
      <c r="AL2" s="759">
        <f t="array" ref="AL2">SUMPRODUCT((Data!$C$3:$C$371='Weekly Data'!AL1)*(Data!$I$3:$I$371))</f>
        <v/>
      </c>
      <c r="AM2" s="759">
        <f t="array" ref="AM2">SUMPRODUCT((Data!$C$3:$C$371='Weekly Data'!AM1)*(Data!$I$3:$I$371))</f>
        <v/>
      </c>
      <c r="AN2" s="759">
        <f t="array" ref="AN2">SUMPRODUCT((Data!$C$3:$C$371='Weekly Data'!AN1)*(Data!$I$3:$I$371))</f>
        <v/>
      </c>
      <c r="AO2" s="759">
        <f t="array" ref="AO2">SUMPRODUCT((Data!$C$3:$C$371='Weekly Data'!AO1)*(Data!$I$3:$I$371))</f>
        <v/>
      </c>
      <c r="AP2" s="759">
        <f t="array" ref="AP2">SUMPRODUCT((Data!$C$3:$C$371='Weekly Data'!AP1)*(Data!$I$3:$I$371))</f>
        <v/>
      </c>
      <c r="AQ2" s="759">
        <f t="array" ref="AQ2">SUMPRODUCT((Data!$C$3:$C$371='Weekly Data'!AQ1)*(Data!$I$3:$I$371))</f>
        <v/>
      </c>
      <c r="AR2" s="759">
        <f t="array" ref="AR2">SUMPRODUCT((Data!$C$3:$C$371='Weekly Data'!AR1)*(Data!$I$3:$I$371))</f>
        <v/>
      </c>
      <c r="AS2" s="759">
        <f t="array" ref="AS2">SUMPRODUCT((Data!$C$3:$C$371='Weekly Data'!AS1)*(Data!$I$3:$I$371))</f>
        <v/>
      </c>
      <c r="AT2" s="759">
        <f t="array" ref="AT2">SUMPRODUCT((Data!$C$3:$C$371='Weekly Data'!AT1)*(Data!$I$3:$I$371))</f>
        <v/>
      </c>
      <c r="AU2" s="759">
        <f t="array" ref="AU2">SUMPRODUCT((Data!$C$3:$C$371='Weekly Data'!AU1)*(Data!$I$3:$I$371))</f>
        <v/>
      </c>
      <c r="AV2" s="759">
        <f t="array" ref="AV2">SUMPRODUCT((Data!$C$3:$C$371='Weekly Data'!AV1)*(Data!$I$3:$I$371))</f>
        <v/>
      </c>
      <c r="AW2" s="759">
        <f t="array" ref="AW2">SUMPRODUCT((Data!$C$3:$C$371='Weekly Data'!AW1)*(Data!$I$3:$I$371))</f>
        <v/>
      </c>
      <c r="AX2" s="759">
        <f t="array" ref="AX2">SUMPRODUCT((Data!$C$3:$C$371='Weekly Data'!AX1)*(Data!$I$3:$I$371))</f>
        <v/>
      </c>
      <c r="AY2" s="759">
        <f t="array" ref="AY2">SUMPRODUCT((Data!$C$3:$C$371='Weekly Data'!AY1)*(Data!$I$3:$I$371))</f>
        <v/>
      </c>
      <c r="AZ2" s="759">
        <f>SUMPRODUCT((Data!$C$3:$C$371='Weekly Data'!AZ1)*(Data!$G$3:$G$371&lt;&gt;"AIA")*(Data!$I$3:$I$371))</f>
        <v/>
      </c>
      <c r="BA2" s="759">
        <f t="array" ref="BA2">SUMPRODUCT((Data!$C$3:$C$371='Weekly Data'!BA1)*(Data!$I$3:$I$371))</f>
        <v/>
      </c>
      <c r="BB2" s="759">
        <f t="array" ref="BB2">SUMPRODUCT((Data!$C$3:$C$371='Weekly Data'!BB1)*(Data!$I$3:$I$371))</f>
        <v/>
      </c>
    </row>
    <row r="3" customFormat="1" s="759">
      <c r="A3" s="759">
        <f>SUM(C3:BB3)</f>
        <v/>
      </c>
      <c r="B3" s="760" t="inlineStr">
        <is>
          <t>Cmde</t>
        </is>
      </c>
      <c r="C3" s="759">
        <f>SUMIFS(Data!$S$3:$S$348,Data!$N$3:$N$348,C$1,Data!$O$3:$O$348,2022)</f>
        <v/>
      </c>
      <c r="D3" s="759">
        <f>SUMIFS(Data!$S$3:$S$348,Data!$N$3:$N$348,D$1,Data!$O$3:$O$348,2022)</f>
        <v/>
      </c>
      <c r="E3" s="759">
        <f>SUMIFS(Data!$S$3:$S$348,Data!$N$3:$N$348,E$1,Data!$O$3:$O$348,2022)</f>
        <v/>
      </c>
      <c r="F3" s="759">
        <f>SUMIFS(Data!$S$3:$S$348,Data!$N$3:$N$348,F$1,Data!$O$3:$O$348,2022)</f>
        <v/>
      </c>
      <c r="G3" s="759">
        <f>SUMIFS(Data!$S$3:$S$348,Data!$N$3:$N$348,G$1,Data!$O$3:$O$348,2022)</f>
        <v/>
      </c>
      <c r="H3" s="759">
        <f>SUMIFS(Data!$S$3:$S$348,Data!$N$3:$N$348,H$1,Data!$O$3:$O$348,2022)</f>
        <v/>
      </c>
      <c r="I3" s="759">
        <f>SUMIFS(Data!$S$3:$S$348,Data!$N$3:$N$348,I$1,Data!$O$3:$O$348,2022)</f>
        <v/>
      </c>
      <c r="J3" s="759">
        <f>SUMIFS(Data!$S$3:$S$348,Data!$N$3:$N$348,J$1,Data!$O$3:$O$348,2022)</f>
        <v/>
      </c>
      <c r="K3" s="759">
        <f>SUMIFS(Data!$S$3:$S$348,Data!$N$3:$N$348,K$1,Data!$O$3:$O$348,2022)</f>
        <v/>
      </c>
      <c r="L3" s="759">
        <f>SUMIFS(Data!$S$3:$S$348,Data!$N$3:$N$348,L$1,Data!$O$3:$O$348,2022)</f>
        <v/>
      </c>
      <c r="M3" s="759">
        <f>SUMIFS(Data!$S$3:$S$348,Data!$N$3:$N$348,M$1,Data!$O$3:$O$348,2022)</f>
        <v/>
      </c>
      <c r="N3" s="759">
        <f>SUMIFS(Data!$S$3:$S$348,Data!$N$3:$N$348,N$1,Data!$O$3:$O$348,2022)</f>
        <v/>
      </c>
      <c r="O3" s="759">
        <f>SUMIFS(Data!$S$3:$S$348,Data!$N$3:$N$348,O$1,Data!$O$3:$O$348,2022)</f>
        <v/>
      </c>
      <c r="P3" s="759">
        <f>SUMIFS(Data!$S$3:$S$348,Data!$N$3:$N$348,P$1,Data!$O$3:$O$348,2022)</f>
        <v/>
      </c>
      <c r="Q3" s="759">
        <f>SUMIFS(Data!$S$3:$S$348,Data!$N$3:$N$348,Q$1,Data!$O$3:$O$348,2022)</f>
        <v/>
      </c>
      <c r="R3" s="759">
        <f>SUMIFS(Data!$S$3:$S$348,Data!$N$3:$N$348,R$1,Data!$O$3:$O$348,2022)</f>
        <v/>
      </c>
      <c r="S3" s="759">
        <f>SUMIFS(Data!$S$3:$S$348,Data!$N$3:$N$348,S$1,Data!$O$3:$O$348,2022)</f>
        <v/>
      </c>
      <c r="T3" s="759">
        <f>SUMIFS(Data!$S$3:$S$348,Data!$N$3:$N$348,T$1,Data!$O$3:$O$348,2022)</f>
        <v/>
      </c>
      <c r="U3" s="759">
        <f>SUMIFS(Data!$S$3:$S$348,Data!$N$3:$N$348,U$1,Data!$O$3:$O$348,2022)</f>
        <v/>
      </c>
      <c r="V3" s="759">
        <f>SUMIFS(Data!$S$3:$S$348,Data!$N$3:$N$348,V$1,Data!$O$3:$O$348,2022)</f>
        <v/>
      </c>
      <c r="W3" s="759">
        <f>SUMIFS(Data!$S$3:$S$348,Data!$N$3:$N$348,W$1,Data!$O$3:$O$348,2022)</f>
        <v/>
      </c>
      <c r="X3" s="759">
        <f>SUMIFS(Data!$S$3:$S$348,Data!$N$3:$N$348,X$1,Data!$O$3:$O$348,2022)</f>
        <v/>
      </c>
      <c r="Y3" s="759">
        <f>SUMIFS(Data!$S$3:$S$348,Data!$N$3:$N$348,Y$1,Data!$O$3:$O$348,2022)</f>
        <v/>
      </c>
      <c r="Z3" s="759">
        <f>SUMIFS(Data!$S$3:$S$348,Data!$N$3:$N$348,Z$1,Data!$O$3:$O$348,2022)</f>
        <v/>
      </c>
      <c r="AA3" s="759">
        <f>SUMIFS(Data!$S$3:$S$348,Data!$N$3:$N$348,AA$1,Data!$O$3:$O$348,2022)</f>
        <v/>
      </c>
      <c r="AB3" s="759">
        <f>SUMIFS(Data!$S$3:$S$348,Data!$N$3:$N$348,AB$1,Data!$O$3:$O$348,2022)</f>
        <v/>
      </c>
      <c r="AC3" s="759">
        <f>SUMIFS(Data!$S$3:$S$348,Data!$N$3:$N$348,AC$1,Data!$O$3:$O$348,2022)</f>
        <v/>
      </c>
      <c r="AD3" s="759">
        <f>SUMIFS(Data!$S$3:$S$348,Data!$N$3:$N$348,AD$1,Data!$O$3:$O$348,2022)</f>
        <v/>
      </c>
      <c r="AE3" s="759">
        <f>SUMIFS(Data!$S$3:$S$348,Data!$N$3:$N$348,AE$1,Data!$O$3:$O$348,2022)</f>
        <v/>
      </c>
      <c r="AF3" s="759">
        <f>SUMIFS(Data!$S$3:$S$348,Data!$N$3:$N$348,AF$1,Data!$O$3:$O$348,2022)</f>
        <v/>
      </c>
      <c r="AG3" s="759">
        <f>SUMIFS(Data!$S$3:$S$348,Data!$N$3:$N$348,AG$1,Data!$O$3:$O$348,2022)</f>
        <v/>
      </c>
      <c r="AH3" s="759">
        <f>SUMIFS(Data!$S$3:$S$348,Data!$N$3:$N$348,AH$1,Data!$O$3:$O$348,2022)</f>
        <v/>
      </c>
      <c r="AI3" s="759">
        <f>SUMIFS(Data!$S$3:$S$348,Data!$N$3:$N$348,AI$1,Data!$O$3:$O$348,2022)</f>
        <v/>
      </c>
      <c r="AJ3" s="759">
        <f>SUMIFS(Data!$S$3:$S$348,Data!$N$3:$N$348,AJ$1,Data!$O$3:$O$348,2022)</f>
        <v/>
      </c>
      <c r="AK3" s="759">
        <f>SUMIFS(Data!$S$3:$S$348,Data!$N$3:$N$348,AK$1,Data!$O$3:$O$348,2022)</f>
        <v/>
      </c>
      <c r="AL3" s="759">
        <f>SUMIFS(Data!$S$3:$S$348,Data!$N$3:$N$348,AL$1,Data!$O$3:$O$348,2022)</f>
        <v/>
      </c>
      <c r="AM3" s="759">
        <f>SUMIFS(Data!$S$3:$S$348,Data!$N$3:$N$348,AM$1,Data!$O$3:$O$348,2022)</f>
        <v/>
      </c>
      <c r="AN3" s="759">
        <f>SUMIFS(Data!$S$3:$S$348,Data!$N$3:$N$348,AN$1,Data!$O$3:$O$348,2022)</f>
        <v/>
      </c>
      <c r="AO3" s="759">
        <f>SUMIFS(Data!$S$3:$S$348,Data!$N$3:$N$348,AO$1,Data!$O$3:$O$348,2022)</f>
        <v/>
      </c>
      <c r="AP3" s="759">
        <f>SUMIFS(Data!$S$3:$S$348,Data!$N$3:$N$348,AP$1,Data!$O$3:$O$348,2022)</f>
        <v/>
      </c>
      <c r="AQ3" s="759">
        <f>SUMIFS(Data!$S$3:$S$348,Data!$N$3:$N$348,AQ$1,Data!$O$3:$O$348,2022)</f>
        <v/>
      </c>
      <c r="AR3" s="759">
        <f>SUMIFS(Data!$S$3:$S$348,Data!$N$3:$N$348,AR$1,Data!$O$3:$O$348,2022)</f>
        <v/>
      </c>
      <c r="AS3" s="759">
        <f>SUMIFS(Data!$S$3:$S$348,Data!$N$3:$N$348,AS$1,Data!$O$3:$O$348,2022)</f>
        <v/>
      </c>
      <c r="AT3" s="759">
        <f>SUMIFS(Data!$S$3:$S$348,Data!$N$3:$N$348,AT$1,Data!$O$3:$O$348,2022)</f>
        <v/>
      </c>
      <c r="AU3" s="759">
        <f>SUMIFS(Data!$S$3:$S$348,Data!$N$3:$N$348,AU$1,Data!$O$3:$O$348,2022)</f>
        <v/>
      </c>
      <c r="AV3" s="759">
        <f>SUMIFS(Data!$S$3:$S$348,Data!$N$3:$N$348,AV$1,Data!$O$3:$O$348,2022)</f>
        <v/>
      </c>
      <c r="AW3" s="759">
        <f>SUMIFS(Data!$S$3:$S$348,Data!$N$3:$N$348,AW$1,Data!$O$3:$O$348,2022)</f>
        <v/>
      </c>
      <c r="AX3" s="759">
        <f>SUMIFS(Data!$S$3:$S$348,Data!$N$3:$N$348,AX$1,Data!$O$3:$O$348,2022)</f>
        <v/>
      </c>
      <c r="AY3" s="759">
        <f>SUMIFS(Data!$S$3:$S$348,Data!$N$3:$N$348,AY$1,Data!$O$3:$O$348,2022)</f>
        <v/>
      </c>
      <c r="AZ3" s="759">
        <f>SUMIFS(Data!$S$3:$S$348,Data!$N$3:$N$348,AZ$1,Data!$O$3:$O$348,2022)</f>
        <v/>
      </c>
      <c r="BA3" s="759">
        <f>SUMIFS(Data!$S$3:$S$348,Data!$N$3:$N$348,BA$1,Data!$O$3:$O$348,2022)</f>
        <v/>
      </c>
      <c r="BB3" s="759">
        <f>SUMIFS(Data!$S$3:$S$348,Data!$N$3:$N$348,BB$1,Data!$O$3:$O$348,2022)</f>
        <v/>
      </c>
    </row>
    <row r="4" customFormat="1" s="761">
      <c r="A4" s="761">
        <f>SUM(C4:BB4)</f>
        <v/>
      </c>
      <c r="B4" s="762" t="inlineStr">
        <is>
          <t>CA</t>
        </is>
      </c>
      <c r="C4" s="761">
        <f>SUMIF(Data!$X$3:$X$371,C1,Data!$AD$3:$AD$371)</f>
        <v/>
      </c>
      <c r="D4" s="761">
        <f>SUMIF(Data!$X$3:$X$371,D1,Data!$AD$3:$AD$371)-SUMIFS(tbl_DCFC[F Montant HT],tbl_DCFC[CW REV],D1,tbl_DCFC[Client],"OPCO 2I")</f>
        <v/>
      </c>
      <c r="E4" s="761">
        <f>SUMIF(Data!$X$3:$X$371,E1,Data!$AD$3:$AD$371)-SUMIFS(tbl_DCFC[F Montant HT],tbl_DCFC[CW REV],E1,tbl_DCFC[Client],"OPCO 2I")</f>
        <v/>
      </c>
      <c r="F4" s="761">
        <f>SUMIF(Data!$X$3:$X$371,F1,Data!$AD$3:$AD$371)-SUMIFS(tbl_DCFC[F Montant HT],tbl_DCFC[CW REV],F1,tbl_DCFC[Client],"OPCO 2I")</f>
        <v/>
      </c>
      <c r="G4" s="761">
        <f>SUMIF(Data!$X$3:$X$371,G1,Data!$AD$3:$AD$371)-SUMIFS(tbl_DCFC[F Montant HT],tbl_DCFC[CW REV],G1,tbl_DCFC[Client],"OPCO 2I")</f>
        <v/>
      </c>
      <c r="H4" s="761">
        <f>SUMIF(Data!$X$3:$X$371,H1,Data!$AD$3:$AD$371)</f>
        <v/>
      </c>
      <c r="I4" s="761">
        <f>SUMIF(Data!$X$3:$X$371,I1,Data!$AD$3:$AD$371)</f>
        <v/>
      </c>
      <c r="J4" s="761">
        <f>SUMIF(Data!$X$3:$X$371,J1,Data!$AD$3:$AD$371)</f>
        <v/>
      </c>
      <c r="K4" s="761">
        <f>SUMIF(Data!$X$3:$X$371,K1,Data!$AD$3:$AD$371)</f>
        <v/>
      </c>
      <c r="L4" s="761">
        <f>SUMIF(Data!$X$3:$X$371,L1,Data!$AD$3:$AD$371)</f>
        <v/>
      </c>
      <c r="M4" s="761">
        <f>SUMIF(Data!$X$3:$X$371,M1,Data!$AD$3:$AD$371)</f>
        <v/>
      </c>
      <c r="N4" s="761">
        <f>SUMIF(Data!$X$3:$X$371,N1,Data!$AD$3:$AD$371)</f>
        <v/>
      </c>
      <c r="O4" s="761">
        <f>SUMIF(Data!$X$3:$X$371,O1,Data!$AD$3:$AD$371)-SUMIFS(tbl_DCFC[F Montant HT],tbl_DCFC[CW REV],O1,tbl_DCFC[Client],"OPCO 2I")</f>
        <v/>
      </c>
      <c r="P4" s="761">
        <f>SUMIF(Data!$X$3:$X$371,P1,Data!$AD$3:$AD$371)</f>
        <v/>
      </c>
      <c r="Q4" s="761">
        <f>SUMIF(Data!$X$3:$X$371,Q1,Data!$AD$3:$AD$371)</f>
        <v/>
      </c>
      <c r="R4" s="761">
        <f>SUMIF(Data!$X$3:$X$371,R1,Data!$AD$3:$AD$371)</f>
        <v/>
      </c>
      <c r="S4" s="761">
        <f>SUMIF(Data!$X$3:$X$371,S1,Data!$AD$3:$AD$371)</f>
        <v/>
      </c>
      <c r="T4" s="761">
        <f>SUMIF(Data!$X$3:$X$371,T1,Data!$AD$3:$AD$371)</f>
        <v/>
      </c>
      <c r="U4" s="761">
        <f>SUMIF(Data!$X$3:$X$371,U1,Data!$AD$3:$AD$371)</f>
        <v/>
      </c>
      <c r="V4" s="761">
        <f>SUMIF(Data!$X$3:$X$371,V1,Data!$AD$3:$AD$371)</f>
        <v/>
      </c>
      <c r="W4" s="761">
        <f>SUMIF(Data!$X$3:$X$371,W1,Data!$AD$3:$AD$371)</f>
        <v/>
      </c>
      <c r="X4" s="761">
        <f>SUMIF(Data!$X$3:$X$371,X1,Data!$AD$3:$AD$371)</f>
        <v/>
      </c>
      <c r="Y4" s="761">
        <f>SUMIF(Data!$X$3:$X$371,Y1,Data!$AD$3:$AD$371)</f>
        <v/>
      </c>
      <c r="Z4" s="761">
        <f>SUMIF(Data!$X$3:$X$371,Z1,Data!$AD$3:$AD$371)</f>
        <v/>
      </c>
      <c r="AA4" s="761">
        <f>SUMIF(Data!$X$3:$X$371,AA1,Data!$AD$3:$AD$371)</f>
        <v/>
      </c>
      <c r="AB4" s="761">
        <f>SUMIF(Data!$X$3:$X$371,AB1,Data!$AD$3:$AD$371)</f>
        <v/>
      </c>
      <c r="AC4" s="761">
        <f>SUMIF(Data!$X$3:$X$371,AC1,Data!$AD$3:$AD$371)</f>
        <v/>
      </c>
      <c r="AD4" s="761">
        <f>SUMIF(Data!$X$3:$X$371,AD1,Data!$AD$3:$AD$371)</f>
        <v/>
      </c>
      <c r="AE4" s="761">
        <f>SUMIF(Data!$X$3:$X$371,AE1,Data!$AD$3:$AD$371)</f>
        <v/>
      </c>
      <c r="AF4" s="761">
        <f>SUMIF(Data!$X$3:$X$371,AF1,Data!$AD$3:$AD$371)</f>
        <v/>
      </c>
      <c r="AG4" s="761">
        <f>SUMIF(Data!$X$3:$X$371,AG1,Data!$AD$3:$AD$371)</f>
        <v/>
      </c>
      <c r="AH4" s="761">
        <f>SUMIF(Data!$X$3:$X$371,AH1,Data!$AD$3:$AD$371)</f>
        <v/>
      </c>
      <c r="AI4" s="761">
        <f>SUMIF(Data!$X$3:$X$371,AI1,Data!$AD$3:$AD$371)</f>
        <v/>
      </c>
      <c r="AJ4" s="761">
        <f>SUMIF(Data!$X$3:$X$371,AJ1,Data!$AD$3:$AD$371)</f>
        <v/>
      </c>
      <c r="AK4" s="761">
        <f>SUMIF(Data!$X$3:$X$371,AK1,Data!$AD$3:$AD$371)</f>
        <v/>
      </c>
      <c r="AL4" s="761">
        <f>SUMIF(Data!$X$3:$X$371,AL1,Data!$AD$3:$AD$371)</f>
        <v/>
      </c>
      <c r="AM4" s="761">
        <f>SUMIF(Data!$X$3:$X$371,AM1,Data!$AD$3:$AD$371)</f>
        <v/>
      </c>
      <c r="AN4" s="761">
        <f>SUMIF(Data!$X$3:$X$371,AN1,Data!$AD$3:$AD$371)</f>
        <v/>
      </c>
      <c r="AO4" s="761">
        <f>SUMIF(Data!$X$3:$X$371,AO1,Data!$AD$3:$AD$371)</f>
        <v/>
      </c>
      <c r="AP4" s="761">
        <f>SUMIF(Data!$X$3:$X$371,AP1,Data!$AD$3:$AD$371)</f>
        <v/>
      </c>
      <c r="AQ4" s="761">
        <f>SUMIF(Data!$X$3:$X$371,AQ1,Data!$AD$3:$AD$371)</f>
        <v/>
      </c>
      <c r="AR4" s="761">
        <f>SUMIF(Data!$X$3:$X$371,AR1,Data!$AD$3:$AD$371)</f>
        <v/>
      </c>
      <c r="AS4" s="761">
        <f>SUMIF(Data!$X$3:$X$371,AS1,Data!$AD$3:$AD$371)</f>
        <v/>
      </c>
      <c r="AT4" s="761">
        <f>SUMIF(Data!$X$3:$X$371,AT1,Data!$AD$3:$AD$371)</f>
        <v/>
      </c>
      <c r="AU4" s="761">
        <f>SUMIF(Data!$X$3:$X$371,AU1,Data!$AD$3:$AD$371)</f>
        <v/>
      </c>
      <c r="AV4" s="761">
        <f>SUMIF(Data!$X$3:$X$371,AV1,Data!$AD$3:$AD$371)</f>
        <v/>
      </c>
      <c r="AW4" s="761">
        <f>SUMIF(Data!$X$3:$X$371,AW1,Data!$AD$3:$AD$371)</f>
        <v/>
      </c>
      <c r="AX4" s="761">
        <f>SUMIF(Data!$X$3:$X$371,AX1,Data!$AD$3:$AD$371)</f>
        <v/>
      </c>
      <c r="AY4" s="761">
        <f>SUMIF(Data!$X$3:$X$371,AY1,Data!$AD$3:$AD$371)</f>
        <v/>
      </c>
      <c r="AZ4" s="761">
        <f>SUMIF(Data!$X$3:$X$371,AZ1,Data!$AD$3:$AD$371)</f>
        <v/>
      </c>
      <c r="BA4" s="761">
        <f>SUMIF(Data!$X$3:$X$371,BA1,Data!$AD$3:$AD$371)</f>
        <v/>
      </c>
      <c r="BB4" s="761">
        <f>SUMIF(Data!$X$3:$X$371,BB1,Data!$AD$3:$AD$371)</f>
        <v/>
      </c>
    </row>
    <row r="5" hidden="1" customFormat="1" s="763">
      <c r="A5" s="764" t="n"/>
      <c r="B5" s="765" t="inlineStr">
        <is>
          <t>Expected Target OI</t>
        </is>
      </c>
      <c r="C5" s="763">
        <f>$B$17*C20</f>
        <v/>
      </c>
      <c r="D5" s="763">
        <f>$B$17*D20</f>
        <v/>
      </c>
      <c r="E5" s="763">
        <f>$B$17*E20</f>
        <v/>
      </c>
      <c r="F5" s="763">
        <f>$B$17*F20</f>
        <v/>
      </c>
      <c r="G5" s="763">
        <f>$B$17*G20</f>
        <v/>
      </c>
      <c r="H5" s="763">
        <f>$B$17*H20</f>
        <v/>
      </c>
      <c r="I5" s="763">
        <f>$B$17*I20</f>
        <v/>
      </c>
      <c r="J5" s="763">
        <f>$B$17*J20</f>
        <v/>
      </c>
      <c r="K5" s="763">
        <f>$B$17*K20</f>
        <v/>
      </c>
      <c r="L5" s="763">
        <f>$B$17*L20</f>
        <v/>
      </c>
      <c r="M5" s="763">
        <f>$B$17*M20</f>
        <v/>
      </c>
      <c r="N5" s="763">
        <f>$B$17*N20</f>
        <v/>
      </c>
      <c r="O5" s="763">
        <f>$B$17*O20</f>
        <v/>
      </c>
      <c r="P5" s="763">
        <f>$B$17*P20</f>
        <v/>
      </c>
      <c r="Q5" s="763">
        <f>$B$17*Q20</f>
        <v/>
      </c>
      <c r="R5" s="763">
        <f>$B$17*R20</f>
        <v/>
      </c>
      <c r="S5" s="763">
        <f>$B$17*S20</f>
        <v/>
      </c>
      <c r="T5" s="763">
        <f>$B$17*T20</f>
        <v/>
      </c>
      <c r="U5" s="763">
        <f>$B$17*U20</f>
        <v/>
      </c>
      <c r="V5" s="763">
        <f>$B$17*V20</f>
        <v/>
      </c>
      <c r="W5" s="763">
        <f>$B$17*W20</f>
        <v/>
      </c>
      <c r="X5" s="763">
        <f>$B$17*X20</f>
        <v/>
      </c>
      <c r="Y5" s="763">
        <f>$B$17*Y20</f>
        <v/>
      </c>
      <c r="Z5" s="763">
        <f>$B$17*Z20</f>
        <v/>
      </c>
      <c r="AA5" s="763">
        <f>$B$17*AA20</f>
        <v/>
      </c>
      <c r="AB5" s="763">
        <f>$B$17*AB20</f>
        <v/>
      </c>
      <c r="AC5" s="763">
        <f>$B$17*AC20</f>
        <v/>
      </c>
      <c r="AD5" s="763">
        <f>$B$17*AD20</f>
        <v/>
      </c>
      <c r="AE5" s="763">
        <f>$B$17*AE20</f>
        <v/>
      </c>
      <c r="AF5" s="763">
        <f>$B$17*AF20</f>
        <v/>
      </c>
      <c r="AG5" s="763">
        <f>$B$17*AG20</f>
        <v/>
      </c>
      <c r="AH5" s="763">
        <f>$B$17*AH20</f>
        <v/>
      </c>
      <c r="AI5" s="763">
        <f>$B$17*AI20</f>
        <v/>
      </c>
      <c r="AJ5" s="763">
        <f>$B$17*AJ20</f>
        <v/>
      </c>
      <c r="AK5" s="763">
        <f>$B$17*AK20</f>
        <v/>
      </c>
      <c r="AL5" s="763">
        <f>$B$17*AL20</f>
        <v/>
      </c>
      <c r="AM5" s="763">
        <f>$B$17*AM20</f>
        <v/>
      </c>
      <c r="AN5" s="763">
        <f>$B$17*AN20</f>
        <v/>
      </c>
      <c r="AO5" s="763">
        <f>$B$17*AO20</f>
        <v/>
      </c>
      <c r="AP5" s="763">
        <f>$B$17*AP20</f>
        <v/>
      </c>
      <c r="AQ5" s="763">
        <f>$B$17*AQ20</f>
        <v/>
      </c>
      <c r="AR5" s="763">
        <f>$B$17*AR20</f>
        <v/>
      </c>
      <c r="AS5" s="763">
        <f>$B$17*AS20</f>
        <v/>
      </c>
      <c r="AT5" s="763">
        <f>$B$17*AT20</f>
        <v/>
      </c>
      <c r="AU5" s="763">
        <f>$B$17*AU20</f>
        <v/>
      </c>
      <c r="AV5" s="763">
        <f>$B$17*AV20</f>
        <v/>
      </c>
      <c r="AW5" s="763">
        <f>$B$17*AW20</f>
        <v/>
      </c>
      <c r="AX5" s="763">
        <f>$B$17*AX20</f>
        <v/>
      </c>
      <c r="AY5" s="763">
        <f>$B$17*AY20</f>
        <v/>
      </c>
      <c r="AZ5" s="763">
        <f>$B$17*AZ20</f>
        <v/>
      </c>
      <c r="BA5" s="763">
        <f>$B$17*BA20</f>
        <v/>
      </c>
      <c r="BB5" s="763">
        <f>$B$17*BB20</f>
        <v/>
      </c>
    </row>
    <row r="6" hidden="1" customFormat="1" s="50">
      <c r="A6" s="152" t="n"/>
      <c r="B6" s="765" t="inlineStr">
        <is>
          <t>Expected Target Revenue</t>
        </is>
      </c>
      <c r="C6" s="763">
        <f>$B$18*C21</f>
        <v/>
      </c>
      <c r="D6" s="763">
        <f>$B$18*D21</f>
        <v/>
      </c>
      <c r="E6" s="763">
        <f>$B$18*E21</f>
        <v/>
      </c>
      <c r="F6" s="763">
        <f>$B$18*F21</f>
        <v/>
      </c>
      <c r="G6" s="763">
        <f>$B$18*G21</f>
        <v/>
      </c>
      <c r="H6" s="763">
        <f>$B$18*H21</f>
        <v/>
      </c>
      <c r="I6" s="763">
        <f>$B$18*I21</f>
        <v/>
      </c>
      <c r="J6" s="763">
        <f>$B$18*J21</f>
        <v/>
      </c>
      <c r="K6" s="763">
        <f>$B$18*K21</f>
        <v/>
      </c>
      <c r="L6" s="763">
        <f>$B$18*L21</f>
        <v/>
      </c>
      <c r="M6" s="763">
        <f>$B$18*M21</f>
        <v/>
      </c>
      <c r="N6" s="763">
        <f>$B$18*N21</f>
        <v/>
      </c>
      <c r="O6" s="763">
        <f>$B$18*O21</f>
        <v/>
      </c>
      <c r="P6" s="763">
        <f>$B$18*P21</f>
        <v/>
      </c>
      <c r="Q6" s="763">
        <f>$B$18*Q21</f>
        <v/>
      </c>
      <c r="R6" s="763">
        <f>$B$18*R21</f>
        <v/>
      </c>
      <c r="S6" s="763">
        <f>$B$18*S21</f>
        <v/>
      </c>
      <c r="T6" s="763">
        <f>$B$18*T21</f>
        <v/>
      </c>
      <c r="U6" s="763">
        <f>$B$18*U21</f>
        <v/>
      </c>
      <c r="V6" s="763">
        <f>$B$18*V21</f>
        <v/>
      </c>
      <c r="W6" s="763">
        <f>$B$18*W21</f>
        <v/>
      </c>
      <c r="X6" s="763">
        <f>$B$18*X21</f>
        <v/>
      </c>
      <c r="Y6" s="763">
        <f>$B$18*Y21</f>
        <v/>
      </c>
      <c r="Z6" s="763">
        <f>$B$18*Z21</f>
        <v/>
      </c>
      <c r="AA6" s="763">
        <f>$B$18*AA21</f>
        <v/>
      </c>
      <c r="AB6" s="763">
        <f>$B$18*AB21</f>
        <v/>
      </c>
      <c r="AC6" s="763">
        <f>$B$18*AC21</f>
        <v/>
      </c>
      <c r="AD6" s="763">
        <f>$B$18*AD21</f>
        <v/>
      </c>
      <c r="AE6" s="763">
        <f>$B$18*AE21</f>
        <v/>
      </c>
      <c r="AF6" s="763">
        <f>$B$18*AF21</f>
        <v/>
      </c>
      <c r="AG6" s="763">
        <f>$B$18*AG21</f>
        <v/>
      </c>
      <c r="AH6" s="763">
        <f>$B$18*AH21</f>
        <v/>
      </c>
      <c r="AI6" s="763">
        <f>$B$18*AI21</f>
        <v/>
      </c>
      <c r="AJ6" s="763">
        <f>$B$18*AJ21</f>
        <v/>
      </c>
      <c r="AK6" s="763">
        <f>$B$18*AK21</f>
        <v/>
      </c>
      <c r="AL6" s="763">
        <f>$B$18*AL21</f>
        <v/>
      </c>
      <c r="AM6" s="763">
        <f>$B$18*AM21</f>
        <v/>
      </c>
      <c r="AN6" s="763">
        <f>$B$18*AN21</f>
        <v/>
      </c>
      <c r="AO6" s="763">
        <f>$B$18*AO21</f>
        <v/>
      </c>
      <c r="AP6" s="763">
        <f>$B$18*AP21</f>
        <v/>
      </c>
      <c r="AQ6" s="763">
        <f>$B$18*AQ21</f>
        <v/>
      </c>
      <c r="AR6" s="763">
        <f>$B$18*AR21</f>
        <v/>
      </c>
      <c r="AS6" s="763">
        <f>$B$18*AS21</f>
        <v/>
      </c>
      <c r="AT6" s="763">
        <f>$B$18*AT21</f>
        <v/>
      </c>
      <c r="AU6" s="763">
        <f>$B$18*AU21</f>
        <v/>
      </c>
      <c r="AV6" s="763">
        <f>$B$18*AV21</f>
        <v/>
      </c>
      <c r="AW6" s="763">
        <f>$B$18*AW21</f>
        <v/>
      </c>
      <c r="AX6" s="763">
        <f>$B$18*AX21</f>
        <v/>
      </c>
      <c r="AY6" s="763">
        <f>$B$18*AY21</f>
        <v/>
      </c>
      <c r="AZ6" s="763">
        <f>$B$18*AZ21</f>
        <v/>
      </c>
      <c r="BA6" s="763">
        <f>$B$18*BA21</f>
        <v/>
      </c>
      <c r="BB6" s="763">
        <f>$B$18*BB21</f>
        <v/>
      </c>
      <c r="BE6" t="n"/>
    </row>
    <row r="7" hidden="1" customFormat="1" s="50">
      <c r="A7" s="152" t="n"/>
      <c r="B7" s="765" t="inlineStr">
        <is>
          <t>Cum. Target O.I</t>
        </is>
      </c>
      <c r="C7" s="763">
        <f>C5</f>
        <v/>
      </c>
      <c r="D7" s="763">
        <f>D5+C7</f>
        <v/>
      </c>
      <c r="E7" s="763">
        <f>E5+D7</f>
        <v/>
      </c>
      <c r="F7" s="763">
        <f>F5+E7</f>
        <v/>
      </c>
      <c r="G7" s="763">
        <f>G5+F7</f>
        <v/>
      </c>
      <c r="H7" s="763">
        <f>H5+G7</f>
        <v/>
      </c>
      <c r="I7" s="763">
        <f>I5+H7</f>
        <v/>
      </c>
      <c r="J7" s="763">
        <f>J5+I7</f>
        <v/>
      </c>
      <c r="K7" s="763">
        <f>K5+J7</f>
        <v/>
      </c>
      <c r="L7" s="763">
        <f>L5+K7</f>
        <v/>
      </c>
      <c r="M7" s="763">
        <f>M5+L7</f>
        <v/>
      </c>
      <c r="N7" s="763">
        <f>N5+M7</f>
        <v/>
      </c>
      <c r="O7" s="763">
        <f>O5+N7</f>
        <v/>
      </c>
      <c r="P7" s="763">
        <f>P5+O7</f>
        <v/>
      </c>
      <c r="Q7" s="763">
        <f>Q5+P7</f>
        <v/>
      </c>
      <c r="R7" s="763">
        <f>R5+Q7</f>
        <v/>
      </c>
      <c r="S7" s="763">
        <f>S5+R7</f>
        <v/>
      </c>
      <c r="T7" s="763">
        <f>T5+S7</f>
        <v/>
      </c>
      <c r="U7" s="763">
        <f>U5+T7</f>
        <v/>
      </c>
      <c r="V7" s="763">
        <f>V5+U7</f>
        <v/>
      </c>
      <c r="W7" s="763">
        <f>W5+V7</f>
        <v/>
      </c>
      <c r="X7" s="763">
        <f>X5+W7</f>
        <v/>
      </c>
      <c r="Y7" s="763">
        <f>Y5+X7</f>
        <v/>
      </c>
      <c r="Z7" s="763">
        <f>Z5+Y7</f>
        <v/>
      </c>
      <c r="AA7" s="763">
        <f>AA5+Z7</f>
        <v/>
      </c>
      <c r="AB7" s="763">
        <f>AB5+AA7</f>
        <v/>
      </c>
      <c r="AC7" s="763">
        <f>AC5+AB7</f>
        <v/>
      </c>
      <c r="AD7" s="763">
        <f>AD5+AC7</f>
        <v/>
      </c>
      <c r="AE7" s="763">
        <f>AE5+AD7</f>
        <v/>
      </c>
      <c r="AF7" s="763">
        <f>AF5+AE7</f>
        <v/>
      </c>
      <c r="AG7" s="763">
        <f>AG5+AF7</f>
        <v/>
      </c>
      <c r="AH7" s="763">
        <f>AH5+AG7</f>
        <v/>
      </c>
      <c r="AI7" s="763">
        <f>AI5+AH7</f>
        <v/>
      </c>
      <c r="AJ7" s="763">
        <f>AJ5+AI7</f>
        <v/>
      </c>
      <c r="AK7" s="763">
        <f>AK5+AJ7</f>
        <v/>
      </c>
      <c r="AL7" s="763">
        <f>AL5+AK7</f>
        <v/>
      </c>
      <c r="AM7" s="763">
        <f>AM5+AL7</f>
        <v/>
      </c>
      <c r="AN7" s="763">
        <f>AN5+AM7</f>
        <v/>
      </c>
      <c r="AO7" s="763">
        <f>AO5+AN7</f>
        <v/>
      </c>
      <c r="AP7" s="763">
        <f>AP5+AO7</f>
        <v/>
      </c>
      <c r="AQ7" s="763">
        <f>AQ5+AP7</f>
        <v/>
      </c>
      <c r="AR7" s="763">
        <f>AR5+AQ7</f>
        <v/>
      </c>
      <c r="AS7" s="763">
        <f>AS5+AR7</f>
        <v/>
      </c>
      <c r="AT7" s="763">
        <f>AT5+AS7</f>
        <v/>
      </c>
      <c r="AU7" s="763">
        <f>AU5+AT7</f>
        <v/>
      </c>
      <c r="AV7" s="763">
        <f>AV5+AU7</f>
        <v/>
      </c>
      <c r="AW7" s="763">
        <f>AW5+AV7</f>
        <v/>
      </c>
      <c r="AX7" s="763">
        <f>AX5+AW7</f>
        <v/>
      </c>
      <c r="AY7" s="763">
        <f>AY5+AX7</f>
        <v/>
      </c>
      <c r="AZ7" s="763">
        <f>AZ5+AY7</f>
        <v/>
      </c>
      <c r="BA7" s="763">
        <f>BA5+AZ7</f>
        <v/>
      </c>
      <c r="BB7" s="763">
        <f>BB5+BA7</f>
        <v/>
      </c>
    </row>
    <row r="8" hidden="1" customFormat="1" s="154">
      <c r="A8" s="153" t="n"/>
      <c r="B8" s="766" t="inlineStr">
        <is>
          <t>Cum. Target Revenue</t>
        </is>
      </c>
      <c r="C8" s="767">
        <f>C6</f>
        <v/>
      </c>
      <c r="D8" s="767">
        <f>D6+C8</f>
        <v/>
      </c>
      <c r="E8" s="767">
        <f>E6+D8</f>
        <v/>
      </c>
      <c r="F8" s="767">
        <f>F6+E8</f>
        <v/>
      </c>
      <c r="G8" s="767">
        <f>G6+F8</f>
        <v/>
      </c>
      <c r="H8" s="767">
        <f>H6+G8</f>
        <v/>
      </c>
      <c r="I8" s="767">
        <f>I6+H8</f>
        <v/>
      </c>
      <c r="J8" s="767">
        <f>J6+I8</f>
        <v/>
      </c>
      <c r="K8" s="767">
        <f>K6+J8</f>
        <v/>
      </c>
      <c r="L8" s="767">
        <f>L6+K8</f>
        <v/>
      </c>
      <c r="M8" s="767">
        <f>M6+L8</f>
        <v/>
      </c>
      <c r="N8" s="767">
        <f>N6+M8</f>
        <v/>
      </c>
      <c r="O8" s="767">
        <f>O6+N8</f>
        <v/>
      </c>
      <c r="P8" s="767">
        <f>P6+O8</f>
        <v/>
      </c>
      <c r="Q8" s="767">
        <f>Q6+P8</f>
        <v/>
      </c>
      <c r="R8" s="767">
        <f>R6+Q8</f>
        <v/>
      </c>
      <c r="S8" s="767">
        <f>S6+R8</f>
        <v/>
      </c>
      <c r="T8" s="767">
        <f>T6+S8</f>
        <v/>
      </c>
      <c r="U8" s="767">
        <f>U6+T8</f>
        <v/>
      </c>
      <c r="V8" s="767">
        <f>V6+U8</f>
        <v/>
      </c>
      <c r="W8" s="767">
        <f>W6+V8</f>
        <v/>
      </c>
      <c r="X8" s="767">
        <f>X6+W8</f>
        <v/>
      </c>
      <c r="Y8" s="767">
        <f>Y6+X8</f>
        <v/>
      </c>
      <c r="Z8" s="767">
        <f>Z6+Y8</f>
        <v/>
      </c>
      <c r="AA8" s="767">
        <f>AA6+Z8</f>
        <v/>
      </c>
      <c r="AB8" s="767">
        <f>AB6+AA8</f>
        <v/>
      </c>
      <c r="AC8" s="767">
        <f>AC6+AB8</f>
        <v/>
      </c>
      <c r="AD8" s="767">
        <f>AD6+AC8</f>
        <v/>
      </c>
      <c r="AE8" s="767">
        <f>AE6+AD8</f>
        <v/>
      </c>
      <c r="AF8" s="767">
        <f>AF6+AE8</f>
        <v/>
      </c>
      <c r="AG8" s="767">
        <f>AG6+AF8</f>
        <v/>
      </c>
      <c r="AH8" s="767">
        <f>AH6+AG8</f>
        <v/>
      </c>
      <c r="AI8" s="767">
        <f>AI6+AH8</f>
        <v/>
      </c>
      <c r="AJ8" s="767">
        <f>AJ6+AI8</f>
        <v/>
      </c>
      <c r="AK8" s="767">
        <f>AK6+AJ8</f>
        <v/>
      </c>
      <c r="AL8" s="767">
        <f>AL6+AK8</f>
        <v/>
      </c>
      <c r="AM8" s="767">
        <f>AM6+AL8</f>
        <v/>
      </c>
      <c r="AN8" s="767">
        <f>AN6+AM8</f>
        <v/>
      </c>
      <c r="AO8" s="767">
        <f>AO6+AN8</f>
        <v/>
      </c>
      <c r="AP8" s="767">
        <f>AP6+AO8</f>
        <v/>
      </c>
      <c r="AQ8" s="767">
        <f>AQ6+AP8</f>
        <v/>
      </c>
      <c r="AR8" s="767">
        <f>AR6+AQ8</f>
        <v/>
      </c>
      <c r="AS8" s="767">
        <f>AS6+AR8</f>
        <v/>
      </c>
      <c r="AT8" s="767">
        <f>AT6+AS8</f>
        <v/>
      </c>
      <c r="AU8" s="767">
        <f>AU6+AT8</f>
        <v/>
      </c>
      <c r="AV8" s="767">
        <f>AV6+AU8</f>
        <v/>
      </c>
      <c r="AW8" s="767">
        <f>AW6+AV8</f>
        <v/>
      </c>
      <c r="AX8" s="767">
        <f>AX6+AW8</f>
        <v/>
      </c>
      <c r="AY8" s="767">
        <f>AY6+AX8</f>
        <v/>
      </c>
      <c r="AZ8" s="767">
        <f>AZ6+AY8</f>
        <v/>
      </c>
      <c r="BA8" s="767">
        <f>BA6+AZ8</f>
        <v/>
      </c>
      <c r="BB8" s="767">
        <f>BB6+BA8</f>
        <v/>
      </c>
    </row>
    <row r="9" hidden="1" customFormat="1" s="112">
      <c r="B9" s="151" t="inlineStr">
        <is>
          <t>Diff O.I</t>
        </is>
      </c>
      <c r="C9" s="768">
        <f>C3-C5</f>
        <v/>
      </c>
      <c r="D9" s="768">
        <f>D3-D5</f>
        <v/>
      </c>
      <c r="E9" s="768">
        <f>E3-E5</f>
        <v/>
      </c>
      <c r="F9" s="768">
        <f>F3-F5</f>
        <v/>
      </c>
      <c r="G9" s="768">
        <f>G3-G5</f>
        <v/>
      </c>
      <c r="H9" s="768">
        <f>H3-H5</f>
        <v/>
      </c>
      <c r="I9" s="768">
        <f>I3-I5</f>
        <v/>
      </c>
      <c r="J9" s="768">
        <f>J3-J5</f>
        <v/>
      </c>
      <c r="K9" s="768">
        <f>K3-K5</f>
        <v/>
      </c>
      <c r="L9" s="768">
        <f>L3-L5</f>
        <v/>
      </c>
      <c r="M9" s="768">
        <f>M3-M5</f>
        <v/>
      </c>
      <c r="N9" s="768">
        <f>N3-N5</f>
        <v/>
      </c>
      <c r="O9" s="768">
        <f>O3-O5</f>
        <v/>
      </c>
      <c r="P9" s="768">
        <f>P3-P5</f>
        <v/>
      </c>
      <c r="Q9" s="768">
        <f>Q3-Q5</f>
        <v/>
      </c>
      <c r="R9" s="768">
        <f>R3-R5</f>
        <v/>
      </c>
      <c r="S9" s="768">
        <f>S3-S5</f>
        <v/>
      </c>
      <c r="T9" s="768">
        <f>T3-T5</f>
        <v/>
      </c>
      <c r="U9" s="768">
        <f>U3-U5</f>
        <v/>
      </c>
      <c r="V9" s="768">
        <f>V3-V5</f>
        <v/>
      </c>
      <c r="W9" s="768">
        <f>W3-W5</f>
        <v/>
      </c>
      <c r="X9" s="768">
        <f>X3-X5</f>
        <v/>
      </c>
      <c r="Y9" s="768">
        <f>Y3-Y5</f>
        <v/>
      </c>
      <c r="Z9" s="768">
        <f>Z3-Z5</f>
        <v/>
      </c>
      <c r="AA9" s="768">
        <f>AA3-AA5</f>
        <v/>
      </c>
      <c r="AB9" s="768">
        <f>AB3-AB5</f>
        <v/>
      </c>
      <c r="AC9" s="768">
        <f>AC3-AC5</f>
        <v/>
      </c>
      <c r="AD9" s="768">
        <f>AD3-AD5</f>
        <v/>
      </c>
      <c r="AE9" s="768">
        <f>AE3-AE5</f>
        <v/>
      </c>
      <c r="AF9" s="768">
        <f>AF3-AF5</f>
        <v/>
      </c>
      <c r="AG9" s="768">
        <f>AG3-AG5</f>
        <v/>
      </c>
      <c r="AH9" s="768">
        <f>AH3-AH5</f>
        <v/>
      </c>
      <c r="AI9" s="768">
        <f>AI3-AI5</f>
        <v/>
      </c>
      <c r="AJ9" s="768">
        <f>AJ3-AJ5</f>
        <v/>
      </c>
      <c r="AK9" s="768">
        <f>AK3-AK5</f>
        <v/>
      </c>
      <c r="AL9" s="768">
        <f>AL3-AL5</f>
        <v/>
      </c>
      <c r="AM9" s="768">
        <f>AM3-AM5</f>
        <v/>
      </c>
      <c r="AN9" s="768">
        <f>AN3-AN5</f>
        <v/>
      </c>
      <c r="AO9" s="768">
        <f>AO3-AO5</f>
        <v/>
      </c>
      <c r="AP9" s="768">
        <f>AP3-AP5</f>
        <v/>
      </c>
      <c r="AQ9" s="768">
        <f>AQ3-AQ5</f>
        <v/>
      </c>
      <c r="AR9" s="768">
        <f>AR3-AR5</f>
        <v/>
      </c>
      <c r="AS9" s="768">
        <f>AS3-AS5</f>
        <v/>
      </c>
      <c r="AT9" s="768">
        <f>AT3-AT5</f>
        <v/>
      </c>
      <c r="AU9" s="768">
        <f>AU3-AU5</f>
        <v/>
      </c>
      <c r="AV9" s="768">
        <f>AV3-AV5</f>
        <v/>
      </c>
      <c r="AW9" s="768">
        <f>AW3-AW5</f>
        <v/>
      </c>
      <c r="AX9" s="768">
        <f>AX3-AX5</f>
        <v/>
      </c>
      <c r="AY9" s="768">
        <f>AY3-AY5</f>
        <v/>
      </c>
      <c r="AZ9" s="768">
        <f>AZ3-AZ5</f>
        <v/>
      </c>
      <c r="BA9" s="768">
        <f>BA3-BA5</f>
        <v/>
      </c>
      <c r="BB9" s="768">
        <f>BB3-BB5</f>
        <v/>
      </c>
    </row>
    <row r="10" hidden="1" s="701">
      <c r="B10" s="700" t="inlineStr">
        <is>
          <t>Cum. Quotes</t>
        </is>
      </c>
      <c r="C10" s="759">
        <f>C2</f>
        <v/>
      </c>
      <c r="D10" s="759">
        <f>D2+C10</f>
        <v/>
      </c>
      <c r="E10" s="759">
        <f>E2+D10</f>
        <v/>
      </c>
      <c r="F10" s="759">
        <f>F2+E10</f>
        <v/>
      </c>
      <c r="G10" s="759">
        <f>G2+F10</f>
        <v/>
      </c>
      <c r="H10" s="759">
        <f>H2+G10</f>
        <v/>
      </c>
      <c r="I10" s="759">
        <f>I2+H10</f>
        <v/>
      </c>
      <c r="J10" s="759">
        <f>J2+I10</f>
        <v/>
      </c>
      <c r="K10" s="759">
        <f>K2+J10</f>
        <v/>
      </c>
      <c r="L10" s="759">
        <f>L2+K10</f>
        <v/>
      </c>
      <c r="M10" s="759">
        <f>M2+L10</f>
        <v/>
      </c>
      <c r="N10" s="759">
        <f>N2+M10</f>
        <v/>
      </c>
      <c r="O10" s="759">
        <f>O2+N10</f>
        <v/>
      </c>
      <c r="P10" s="759">
        <f>P2+O10</f>
        <v/>
      </c>
      <c r="Q10" s="759">
        <f>Q2+P10</f>
        <v/>
      </c>
      <c r="R10" s="759">
        <f>R2+Q10</f>
        <v/>
      </c>
      <c r="S10" s="759">
        <f>S2+R10</f>
        <v/>
      </c>
      <c r="T10" s="759">
        <f>T2+S10</f>
        <v/>
      </c>
      <c r="U10" s="759">
        <f>U2+T10</f>
        <v/>
      </c>
      <c r="V10" s="759">
        <f>V2+U10</f>
        <v/>
      </c>
      <c r="W10" s="759">
        <f>W2+V10</f>
        <v/>
      </c>
      <c r="X10" s="759">
        <f>X2+W10</f>
        <v/>
      </c>
      <c r="Y10" s="759">
        <f>Y2+X10</f>
        <v/>
      </c>
      <c r="Z10" s="759">
        <f>Z2+Y10</f>
        <v/>
      </c>
      <c r="AA10" s="759">
        <f>AA2+Z10</f>
        <v/>
      </c>
      <c r="AB10" s="759">
        <f>AB2+AA10</f>
        <v/>
      </c>
      <c r="AC10" s="759">
        <f>AC2+AB10</f>
        <v/>
      </c>
      <c r="AD10" s="759">
        <f>AD2+AC10</f>
        <v/>
      </c>
      <c r="AE10" s="759">
        <f>AE2+AD10</f>
        <v/>
      </c>
      <c r="AF10" s="759">
        <f>AF2+AE10</f>
        <v/>
      </c>
      <c r="AG10" s="759">
        <f>AG2+AF10</f>
        <v/>
      </c>
      <c r="AH10" s="759">
        <f>AH2+AG10</f>
        <v/>
      </c>
      <c r="AI10" s="759">
        <f>AI2+AH10</f>
        <v/>
      </c>
      <c r="AJ10" s="759">
        <f>AJ2+AI10</f>
        <v/>
      </c>
      <c r="AK10" s="759">
        <f>AK2+AJ10</f>
        <v/>
      </c>
      <c r="AL10" s="759">
        <f>AL2+AK10</f>
        <v/>
      </c>
      <c r="AM10" s="759">
        <f>AM2+AL10</f>
        <v/>
      </c>
      <c r="AN10" s="759">
        <f>AN2+AM10</f>
        <v/>
      </c>
      <c r="AO10" s="759">
        <f>AO2+AN10</f>
        <v/>
      </c>
      <c r="AP10" s="759">
        <f>AP2+AO10</f>
        <v/>
      </c>
      <c r="AQ10" s="759">
        <f>AQ2+AP10</f>
        <v/>
      </c>
      <c r="AR10" s="759">
        <f>AR2+AQ10</f>
        <v/>
      </c>
      <c r="AS10" s="759">
        <f>AS2+AR10</f>
        <v/>
      </c>
      <c r="AT10" s="759">
        <f>AT2+AS10</f>
        <v/>
      </c>
      <c r="AU10" s="759">
        <f>AU2+AT10</f>
        <v/>
      </c>
      <c r="AV10" s="759">
        <f>AV2+AU10</f>
        <v/>
      </c>
      <c r="AW10" s="759">
        <f>AW2+AV10</f>
        <v/>
      </c>
      <c r="AX10" s="759">
        <f>AX2+AW10</f>
        <v/>
      </c>
      <c r="AY10" s="759">
        <f>AY2+AX10</f>
        <v/>
      </c>
      <c r="AZ10" s="759">
        <f>AZ2+AY10</f>
        <v/>
      </c>
      <c r="BA10" s="759">
        <f>BA2+AZ10</f>
        <v/>
      </c>
      <c r="BB10" s="759">
        <f>BB2+BA10</f>
        <v/>
      </c>
    </row>
    <row r="11" hidden="1" s="701">
      <c r="B11" s="700" t="inlineStr">
        <is>
          <t>Cum. O.I</t>
        </is>
      </c>
      <c r="C11" s="759">
        <f>C3</f>
        <v/>
      </c>
      <c r="D11" s="759">
        <f>D3+C11</f>
        <v/>
      </c>
      <c r="E11" s="759">
        <f>E3+D11</f>
        <v/>
      </c>
      <c r="F11" s="759">
        <f>F3+E11</f>
        <v/>
      </c>
      <c r="G11" s="759">
        <f>G3+F11</f>
        <v/>
      </c>
      <c r="H11" s="759">
        <f>H3+G11</f>
        <v/>
      </c>
      <c r="I11" s="759">
        <f>I3+H11</f>
        <v/>
      </c>
      <c r="J11" s="759">
        <f>J3+I11</f>
        <v/>
      </c>
      <c r="K11" s="759">
        <f>K3+J11</f>
        <v/>
      </c>
      <c r="L11" s="759">
        <f>L3+K11</f>
        <v/>
      </c>
      <c r="M11" s="759">
        <f>M3+L11</f>
        <v/>
      </c>
      <c r="N11" s="759">
        <f>N3+M11</f>
        <v/>
      </c>
      <c r="O11" s="759">
        <f>O3+N11</f>
        <v/>
      </c>
      <c r="P11" s="759">
        <f>P3+O11</f>
        <v/>
      </c>
      <c r="Q11" s="759">
        <f>Q3+P11</f>
        <v/>
      </c>
      <c r="R11" s="759">
        <f>R3+Q11</f>
        <v/>
      </c>
      <c r="S11" s="759">
        <f>S3+R11</f>
        <v/>
      </c>
      <c r="T11" s="759">
        <f>T3+S11</f>
        <v/>
      </c>
      <c r="U11" s="759">
        <f>U3+T11</f>
        <v/>
      </c>
      <c r="V11" s="759">
        <f>V3+U11</f>
        <v/>
      </c>
      <c r="W11" s="759">
        <f>W3+V11</f>
        <v/>
      </c>
      <c r="X11" s="759">
        <f>X3+W11</f>
        <v/>
      </c>
      <c r="Y11" s="759">
        <f>Y3+X11</f>
        <v/>
      </c>
      <c r="Z11" s="759">
        <f>Z3+Y11</f>
        <v/>
      </c>
      <c r="AA11" s="759">
        <f>AA3+Z11</f>
        <v/>
      </c>
      <c r="AB11" s="759">
        <f>AB3+AA11</f>
        <v/>
      </c>
      <c r="AC11" s="759">
        <f>AC3+AB11</f>
        <v/>
      </c>
      <c r="AD11" s="759">
        <f>AD3+AC11</f>
        <v/>
      </c>
      <c r="AE11" s="759">
        <f>AE3+AD11</f>
        <v/>
      </c>
      <c r="AF11" s="759">
        <f>AF3+AE11</f>
        <v/>
      </c>
      <c r="AG11" s="759">
        <f>AG3+AF11</f>
        <v/>
      </c>
      <c r="AH11" s="759">
        <f>AH3+AG11</f>
        <v/>
      </c>
      <c r="AI11" s="759">
        <f>AI3+AH11</f>
        <v/>
      </c>
      <c r="AJ11" s="759">
        <f>AJ3+AI11</f>
        <v/>
      </c>
      <c r="AK11" s="759">
        <f>AK3+AJ11</f>
        <v/>
      </c>
      <c r="AL11" s="759">
        <f>AL3+AK11</f>
        <v/>
      </c>
      <c r="AM11" s="759">
        <f>AM3+AL11</f>
        <v/>
      </c>
      <c r="AN11" s="759">
        <f>AN3+AM11</f>
        <v/>
      </c>
      <c r="AO11" s="759">
        <f>AO3+AN11</f>
        <v/>
      </c>
      <c r="AP11" s="759">
        <f>AP3+AO11</f>
        <v/>
      </c>
      <c r="AQ11" s="759">
        <f>AQ3+AP11</f>
        <v/>
      </c>
      <c r="AR11" s="759">
        <f>AR3+AQ11</f>
        <v/>
      </c>
      <c r="AS11" s="759">
        <f>AS3+AR11</f>
        <v/>
      </c>
      <c r="AT11" s="759">
        <f>AT3+AS11</f>
        <v/>
      </c>
      <c r="AU11" s="759">
        <f>AU3+AT11</f>
        <v/>
      </c>
      <c r="AV11" s="759">
        <f>AV3+AU11</f>
        <v/>
      </c>
      <c r="AW11" s="759">
        <f>AW3+AV11</f>
        <v/>
      </c>
      <c r="AX11" s="759">
        <f>AX3+AW11</f>
        <v/>
      </c>
      <c r="AY11" s="759">
        <f>AY3+AX11</f>
        <v/>
      </c>
      <c r="AZ11" s="759">
        <f>AZ3+AY11</f>
        <v/>
      </c>
      <c r="BA11" s="759">
        <f>BA3+AZ11</f>
        <v/>
      </c>
      <c r="BB11" s="759">
        <f>BB3+BA11</f>
        <v/>
      </c>
    </row>
    <row r="12" hidden="1" s="701">
      <c r="B12" s="769" t="inlineStr">
        <is>
          <t>Cum. Revenue</t>
        </is>
      </c>
      <c r="C12" s="759">
        <f>C4</f>
        <v/>
      </c>
      <c r="D12" s="759">
        <f>D4+C12</f>
        <v/>
      </c>
      <c r="E12" s="759">
        <f>E4+D12</f>
        <v/>
      </c>
      <c r="F12" s="759">
        <f>F4+E12</f>
        <v/>
      </c>
      <c r="G12" s="759">
        <f>G4+F12</f>
        <v/>
      </c>
      <c r="H12" s="759">
        <f>H4+G12</f>
        <v/>
      </c>
      <c r="I12" s="759">
        <f>I4+H12</f>
        <v/>
      </c>
      <c r="J12" s="759">
        <f>J4+I12</f>
        <v/>
      </c>
      <c r="K12" s="759">
        <f>K4+J12</f>
        <v/>
      </c>
      <c r="L12" s="759">
        <f>L4+K12</f>
        <v/>
      </c>
      <c r="M12" s="759">
        <f>M4+L12</f>
        <v/>
      </c>
      <c r="N12" s="759">
        <f>N4+M12</f>
        <v/>
      </c>
      <c r="O12" s="759">
        <f>O4+N12</f>
        <v/>
      </c>
      <c r="P12" s="759">
        <f>P4+O12</f>
        <v/>
      </c>
      <c r="Q12" s="759">
        <f>Q4+P12</f>
        <v/>
      </c>
      <c r="R12" s="759">
        <f>R4+Q12</f>
        <v/>
      </c>
      <c r="S12" s="759">
        <f>S4+R12</f>
        <v/>
      </c>
      <c r="T12" s="759">
        <f>T4+S12</f>
        <v/>
      </c>
      <c r="U12" s="759">
        <f>U4+T12</f>
        <v/>
      </c>
      <c r="V12" s="759">
        <f>V4+U12</f>
        <v/>
      </c>
      <c r="W12" s="759">
        <f>W4+V12</f>
        <v/>
      </c>
      <c r="X12" s="759">
        <f>X4+W12</f>
        <v/>
      </c>
      <c r="Y12" s="759">
        <f>Y4+X12</f>
        <v/>
      </c>
      <c r="Z12" s="759">
        <f>Z4+Y12</f>
        <v/>
      </c>
      <c r="AA12" s="759">
        <f>AA4+Z12</f>
        <v/>
      </c>
      <c r="AB12" s="759">
        <f>AB4+AA12</f>
        <v/>
      </c>
      <c r="AC12" s="759">
        <f>AC4+AB12</f>
        <v/>
      </c>
      <c r="AD12" s="759">
        <f>AD4+AC12</f>
        <v/>
      </c>
      <c r="AE12" s="759">
        <f>AE4+AD12</f>
        <v/>
      </c>
      <c r="AF12" s="759">
        <f>AF4+AE12</f>
        <v/>
      </c>
      <c r="AG12" s="759">
        <f>AG4+AF12</f>
        <v/>
      </c>
      <c r="AH12" s="759">
        <f>AH4+AG12</f>
        <v/>
      </c>
      <c r="AI12" s="759">
        <f>AI4+AH12</f>
        <v/>
      </c>
      <c r="AJ12" s="759">
        <f>AJ4+AI12</f>
        <v/>
      </c>
      <c r="AK12" s="759">
        <f>AK4+AJ12</f>
        <v/>
      </c>
      <c r="AL12" s="759">
        <f>AL4+AK12</f>
        <v/>
      </c>
      <c r="AM12" s="759">
        <f>AM4+AL12</f>
        <v/>
      </c>
      <c r="AN12" s="759">
        <f>AN4+AM12</f>
        <v/>
      </c>
      <c r="AO12" s="759">
        <f>AO4+AN12</f>
        <v/>
      </c>
      <c r="AP12" s="759">
        <f>AP4+AO12</f>
        <v/>
      </c>
      <c r="AQ12" s="759">
        <f>AQ4+AP12</f>
        <v/>
      </c>
      <c r="AR12" s="759">
        <f>AR4+AQ12</f>
        <v/>
      </c>
      <c r="AS12" s="759">
        <f>AS4+AR12</f>
        <v/>
      </c>
      <c r="AT12" s="759">
        <f>AT4+AS12</f>
        <v/>
      </c>
      <c r="AU12" s="759">
        <f>AU4+AT12</f>
        <v/>
      </c>
      <c r="AV12" s="759">
        <f>AV4+AU12</f>
        <v/>
      </c>
      <c r="AW12" s="759">
        <f>AW4+AV12</f>
        <v/>
      </c>
      <c r="AX12" s="759">
        <f>AX4+AW12</f>
        <v/>
      </c>
      <c r="AY12" s="759">
        <f>AY4+AX12</f>
        <v/>
      </c>
      <c r="AZ12" s="759">
        <f>AZ4+AY12</f>
        <v/>
      </c>
      <c r="BA12" s="759">
        <f>BA4+AZ12</f>
        <v/>
      </c>
      <c r="BB12" s="759">
        <f>BB4+BA12</f>
        <v/>
      </c>
    </row>
    <row r="13">
      <c r="B13" s="700" t="inlineStr">
        <is>
          <t>Backlog</t>
        </is>
      </c>
      <c r="C13" s="709">
        <f>39254+C3-C4</f>
        <v/>
      </c>
      <c r="D13" s="759">
        <f>C13+D3-D4</f>
        <v/>
      </c>
      <c r="E13" s="759">
        <f>D13+E3-E4</f>
        <v/>
      </c>
      <c r="F13" s="759">
        <f>E13+F3-F4</f>
        <v/>
      </c>
      <c r="G13" s="759">
        <f>F13+G3-G4</f>
        <v/>
      </c>
      <c r="H13" s="759">
        <f>G13+H3-H4</f>
        <v/>
      </c>
      <c r="I13" s="759">
        <f>H13+I3-I4</f>
        <v/>
      </c>
      <c r="J13" s="759">
        <f>I13+J3-J4</f>
        <v/>
      </c>
      <c r="K13" s="759">
        <f>J13+K3-K4</f>
        <v/>
      </c>
      <c r="L13" s="759">
        <f>K13+L3-L4</f>
        <v/>
      </c>
      <c r="M13" s="759">
        <f>L13+M3-M4</f>
        <v/>
      </c>
      <c r="N13" s="759">
        <f>M13+N3-N4</f>
        <v/>
      </c>
      <c r="O13" s="759">
        <f>N13+O3-O4</f>
        <v/>
      </c>
      <c r="P13" s="759">
        <f>O13+P3-P4</f>
        <v/>
      </c>
      <c r="Q13" s="759">
        <f>P13+Q3-Q4</f>
        <v/>
      </c>
      <c r="R13" s="759">
        <f>Q13+R3-R4</f>
        <v/>
      </c>
      <c r="S13" s="759">
        <f>R13+S3-S4</f>
        <v/>
      </c>
      <c r="T13" s="759">
        <f>S13+T3-T4</f>
        <v/>
      </c>
      <c r="U13" s="759">
        <f>T13+U3-U4</f>
        <v/>
      </c>
      <c r="V13" s="759">
        <f>U13+V3-V4</f>
        <v/>
      </c>
      <c r="W13" s="759">
        <f>V13+W3-W4</f>
        <v/>
      </c>
      <c r="X13" s="759">
        <f>W13+X3-X4</f>
        <v/>
      </c>
      <c r="Y13" s="759">
        <f>X13+Y3-Y4</f>
        <v/>
      </c>
      <c r="Z13" s="759">
        <f>Y13+Z3-Z4</f>
        <v/>
      </c>
      <c r="AA13" s="759">
        <f>Z13+AA3-AA4</f>
        <v/>
      </c>
      <c r="AB13" s="759">
        <f>AA13+AB3-AB4</f>
        <v/>
      </c>
      <c r="AC13" s="759">
        <f>AB13+AC3-AC4</f>
        <v/>
      </c>
      <c r="AD13" s="759">
        <f>AC13+AD3-AD4</f>
        <v/>
      </c>
      <c r="AE13" s="759">
        <f>AD13+AE3-AE4</f>
        <v/>
      </c>
      <c r="AF13" s="759">
        <f>AE13+AF3-AF4</f>
        <v/>
      </c>
      <c r="AG13" s="759">
        <f>AF13+AG3-AG4</f>
        <v/>
      </c>
      <c r="AH13" s="759">
        <f>AG13+AH3-AH4</f>
        <v/>
      </c>
      <c r="AI13" s="759">
        <f>AH13+AI3-AI4</f>
        <v/>
      </c>
      <c r="AJ13" s="759">
        <f>AI13+AJ3-AJ4</f>
        <v/>
      </c>
      <c r="AK13" s="759">
        <f>AJ13+AK3-AK4</f>
        <v/>
      </c>
      <c r="AL13" s="759">
        <f>AK13+AL3-AL4</f>
        <v/>
      </c>
      <c r="AM13" s="759">
        <f>AL13+AM3-AM4</f>
        <v/>
      </c>
      <c r="AN13" s="759">
        <f>AM13+AN3-AN4</f>
        <v/>
      </c>
      <c r="AO13" s="759">
        <f>AN13+AO3-AO4</f>
        <v/>
      </c>
      <c r="AP13" s="759">
        <f>AO13+AP3-AP4</f>
        <v/>
      </c>
      <c r="AQ13" s="759">
        <f>AP13+AQ3-AQ4</f>
        <v/>
      </c>
      <c r="AR13" s="759">
        <f>AQ13+AR3-AR4</f>
        <v/>
      </c>
      <c r="AS13" s="759">
        <f>AR13+AS3-AS4</f>
        <v/>
      </c>
      <c r="AT13" s="759">
        <f>AS13+AT3-AT4</f>
        <v/>
      </c>
      <c r="AU13" s="759">
        <f>AT13+AU3-AU4</f>
        <v/>
      </c>
      <c r="AV13" s="759">
        <f>AU13+AV3-AV4</f>
        <v/>
      </c>
      <c r="AW13" s="759">
        <f>AV13+AW3-AW4</f>
        <v/>
      </c>
      <c r="AX13" s="759">
        <f>AW13+AX3-AX4</f>
        <v/>
      </c>
      <c r="AY13" s="759">
        <f>AX13+AY3-AY4</f>
        <v/>
      </c>
      <c r="AZ13" s="759">
        <f>AY13+AZ3-AZ4</f>
        <v/>
      </c>
      <c r="BA13" s="759">
        <f>AZ13+BA3-BA4</f>
        <v/>
      </c>
      <c r="BB13" s="759">
        <f>BA13+BB3-BB4</f>
        <v/>
      </c>
    </row>
    <row r="14" hidden="1" s="701">
      <c r="AC14" s="759" t="n"/>
    </row>
    <row r="15" hidden="1" s="701"/>
    <row r="16" hidden="1" customFormat="1" s="700">
      <c r="A16" s="700" t="inlineStr">
        <is>
          <t>CW</t>
        </is>
      </c>
      <c r="C16" s="116" t="n">
        <v>1</v>
      </c>
      <c r="D16" s="116" t="n">
        <v>2</v>
      </c>
      <c r="E16" s="116" t="n">
        <v>3</v>
      </c>
      <c r="F16" s="116" t="n">
        <v>4</v>
      </c>
      <c r="G16" s="116" t="n">
        <v>5</v>
      </c>
      <c r="H16" s="116" t="n">
        <v>6</v>
      </c>
      <c r="I16" s="116" t="n">
        <v>7</v>
      </c>
      <c r="J16" s="116" t="n">
        <v>8</v>
      </c>
      <c r="K16" s="116" t="n">
        <v>9</v>
      </c>
      <c r="L16" s="116" t="n">
        <v>10</v>
      </c>
      <c r="M16" s="116" t="n">
        <v>11</v>
      </c>
      <c r="N16" s="116" t="n">
        <v>12</v>
      </c>
      <c r="O16" s="116" t="n">
        <v>13</v>
      </c>
      <c r="P16" s="116" t="n">
        <v>14</v>
      </c>
      <c r="Q16" s="116" t="n">
        <v>15</v>
      </c>
      <c r="R16" s="116" t="n">
        <v>16</v>
      </c>
      <c r="S16" s="116" t="n">
        <v>17</v>
      </c>
      <c r="T16" s="700" t="n">
        <v>18</v>
      </c>
      <c r="U16" s="700" t="n">
        <v>19</v>
      </c>
      <c r="V16" s="115" t="n">
        <v>20</v>
      </c>
      <c r="W16" s="115" t="n">
        <v>21</v>
      </c>
      <c r="X16" s="115" t="n">
        <v>22</v>
      </c>
      <c r="Y16" s="115" t="n">
        <v>23</v>
      </c>
      <c r="Z16" s="115" t="n">
        <v>24</v>
      </c>
      <c r="AA16" s="115" t="n">
        <v>25</v>
      </c>
      <c r="AB16" s="115" t="n">
        <v>26</v>
      </c>
      <c r="AC16" s="115" t="n">
        <v>27</v>
      </c>
      <c r="AD16" s="115" t="n">
        <v>28</v>
      </c>
      <c r="AE16" s="115" t="n">
        <v>29</v>
      </c>
      <c r="AF16" s="115" t="n">
        <v>30</v>
      </c>
      <c r="AG16" s="115" t="n">
        <v>31</v>
      </c>
      <c r="AH16" s="700" t="n">
        <v>32</v>
      </c>
      <c r="AI16" s="700" t="n">
        <v>33</v>
      </c>
      <c r="AJ16" s="117" t="n">
        <v>34</v>
      </c>
      <c r="AK16" s="117" t="n">
        <v>35</v>
      </c>
      <c r="AL16" s="117" t="n">
        <v>36</v>
      </c>
      <c r="AM16" s="117" t="n">
        <v>37</v>
      </c>
      <c r="AN16" s="117" t="n">
        <v>38</v>
      </c>
      <c r="AO16" s="117" t="n">
        <v>39</v>
      </c>
      <c r="AP16" s="117" t="n">
        <v>40</v>
      </c>
      <c r="AQ16" s="117" t="n">
        <v>41</v>
      </c>
      <c r="AR16" s="117" t="n">
        <v>42</v>
      </c>
      <c r="AS16" s="117" t="n">
        <v>43</v>
      </c>
      <c r="AT16" s="117" t="n">
        <v>44</v>
      </c>
      <c r="AU16" s="117" t="n">
        <v>45</v>
      </c>
      <c r="AV16" s="117" t="n">
        <v>46</v>
      </c>
      <c r="AW16" s="117" t="n">
        <v>47</v>
      </c>
      <c r="AX16" s="117" t="n">
        <v>48</v>
      </c>
      <c r="AY16" s="117" t="n">
        <v>49</v>
      </c>
      <c r="AZ16" s="117" t="n">
        <v>50</v>
      </c>
      <c r="BA16" s="117" t="n">
        <v>51</v>
      </c>
      <c r="BB16" s="700" t="n">
        <v>52</v>
      </c>
    </row>
    <row r="17" hidden="1" customFormat="1" s="700">
      <c r="A17" s="700" t="inlineStr">
        <is>
          <t>Target Cmd</t>
        </is>
      </c>
      <c r="B17" s="770" t="n"/>
      <c r="C17" s="109" t="n">
        <v>0.001680824306609493</v>
      </c>
      <c r="D17" s="109">
        <f>0.343981605254073%+1%</f>
        <v/>
      </c>
      <c r="E17" s="109">
        <f>1.34983770160087%+1%</f>
        <v/>
      </c>
      <c r="F17" s="109">
        <f>1.44380914329294%+1%</f>
        <v/>
      </c>
      <c r="G17" s="109" t="n">
        <v>0.02420229051238443</v>
      </c>
      <c r="H17" s="109">
        <f>8.63377764926369%-4%</f>
        <v/>
      </c>
      <c r="I17" s="109">
        <f>8.37172377691067%-3%</f>
        <v/>
      </c>
      <c r="J17" s="109">
        <f>7.21940469437205%-2%</f>
        <v/>
      </c>
      <c r="K17" s="109">
        <f>0.391824385853865%+3%</f>
        <v/>
      </c>
      <c r="L17" s="109">
        <f>0.499517758053737%+1.5%</f>
        <v/>
      </c>
      <c r="M17" s="109">
        <f>0.499517758053737%+1.5%</f>
        <v/>
      </c>
      <c r="N17" s="109" t="n">
        <v>0.01005138140532133</v>
      </c>
      <c r="O17" s="109" t="n">
        <v>0.01938480699597685</v>
      </c>
      <c r="P17" s="109" t="n">
        <v>0.02835925467929946</v>
      </c>
      <c r="Q17" s="109" t="n">
        <v>0.02086289852942008</v>
      </c>
      <c r="R17" s="109" t="n">
        <v>0.01583720782675942</v>
      </c>
      <c r="S17" s="109" t="n">
        <v>0.006862760143436803</v>
      </c>
      <c r="T17" s="109" t="n">
        <v>0.01629759699291387</v>
      </c>
      <c r="U17" s="109" t="n">
        <v>0.01265756101255821</v>
      </c>
      <c r="V17" s="109" t="n">
        <v>0.01265756101255821</v>
      </c>
      <c r="W17" s="109" t="n">
        <v>0.007282764295016301</v>
      </c>
      <c r="X17" s="109" t="n">
        <v>0.005538131665378385</v>
      </c>
      <c r="Y17" s="109" t="n">
        <v>0.005538131665378385</v>
      </c>
      <c r="Z17" s="109" t="n">
        <v>0.01906693205903356</v>
      </c>
      <c r="AA17" s="109" t="n">
        <v>0.02014386578103227</v>
      </c>
      <c r="AB17" s="109" t="n">
        <v>0.02157977741036389</v>
      </c>
      <c r="AC17" s="109">
        <f>0.409037376510478%+1%</f>
        <v/>
      </c>
      <c r="AD17" s="109">
        <f>0.376056281274267%+1%</f>
        <v/>
      </c>
      <c r="AE17" s="109">
        <f>0.264773130001067%+1%</f>
        <v/>
      </c>
      <c r="AF17" s="109" t="n">
        <v>0.00600614911206366</v>
      </c>
      <c r="AG17" s="109" t="n">
        <v>0.005259026342427052</v>
      </c>
      <c r="AH17" s="109" t="n">
        <v>0.006012879947826152</v>
      </c>
      <c r="AI17" s="109" t="n">
        <v>0</v>
      </c>
      <c r="AJ17" s="109" t="n">
        <v>0.01715905422603601</v>
      </c>
      <c r="AK17" s="109" t="n">
        <v>0.02431168902964413</v>
      </c>
      <c r="AL17" s="109" t="n">
        <v>0.0185322344660612</v>
      </c>
      <c r="AM17" s="109" t="n">
        <v>0.01783608655926586</v>
      </c>
      <c r="AN17" s="109" t="n">
        <v>0.04069292787496657</v>
      </c>
      <c r="AO17" s="109" t="n">
        <v>0.03954419857150127</v>
      </c>
      <c r="AP17" s="109" t="n">
        <v>0.03288129937797206</v>
      </c>
      <c r="AQ17" s="109" t="n">
        <v>0.002153867443997427</v>
      </c>
      <c r="AR17" s="109" t="n">
        <v>0.003105158898429624</v>
      </c>
      <c r="AS17" s="109" t="n">
        <v>0.01218729995395211</v>
      </c>
      <c r="AT17" s="109" t="n">
        <v>0.01182832204661921</v>
      </c>
      <c r="AU17" s="109" t="n">
        <v>0.01634067434179381</v>
      </c>
      <c r="AV17" s="109">
        <f>5.51254551503323%-1%</f>
        <v/>
      </c>
      <c r="AW17" s="109">
        <f>5.79613806182623%-1%</f>
        <v/>
      </c>
      <c r="AX17" s="109">
        <f>5.35369779103842%-1%</f>
        <v/>
      </c>
      <c r="AY17" s="109">
        <f>1.07316445397172%+0.98%</f>
        <v/>
      </c>
      <c r="AZ17" s="109" t="n">
        <v>0.007895719071787235</v>
      </c>
      <c r="BA17" s="109" t="n">
        <v>0.005061588493393955</v>
      </c>
      <c r="BB17" s="109" t="n">
        <v>0</v>
      </c>
    </row>
    <row r="18" hidden="1" customFormat="1" s="700">
      <c r="A18" s="700" t="inlineStr">
        <is>
          <t>Target CA</t>
        </is>
      </c>
      <c r="B18" s="770" t="n"/>
      <c r="C18" s="109">
        <f>1.73384972530494%-1.7%</f>
        <v/>
      </c>
      <c r="D18" s="109">
        <f>4.26443089783891%-3.5%</f>
        <v/>
      </c>
      <c r="E18" s="109">
        <f>4.47862936139912%-3.3%</f>
        <v/>
      </c>
      <c r="F18" s="109">
        <f>4.63152798763438%-3%</f>
        <v/>
      </c>
      <c r="G18" s="109" t="n">
        <v>0.02595918940354412</v>
      </c>
      <c r="H18" s="109" t="n">
        <v>0.02632101113253096</v>
      </c>
      <c r="I18" s="109">
        <f>1.00760115088256%+2%</f>
        <v/>
      </c>
      <c r="J18" s="109">
        <f>0.512629025628557%+3%</f>
        <v/>
      </c>
      <c r="K18" s="109">
        <f>0.0726538031805577%+3.19%</f>
        <v/>
      </c>
      <c r="L18" s="109" t="n">
        <v>0.023867208530888</v>
      </c>
      <c r="M18" s="109" t="n">
        <v>0.03269565871816692</v>
      </c>
      <c r="N18" s="109" t="n">
        <v>0.03631387600803533</v>
      </c>
      <c r="O18" s="109">
        <f>1.24466674771473%</f>
        <v/>
      </c>
      <c r="P18" s="109">
        <f>0.723643457973683%+1%</f>
        <v/>
      </c>
      <c r="Q18" s="109" t="n">
        <v>0.01691516583013483</v>
      </c>
      <c r="R18" s="109" t="n">
        <v>0.01691516583013483</v>
      </c>
      <c r="S18" s="109" t="n">
        <v>0.01329694854026642</v>
      </c>
      <c r="T18" s="109">
        <f>2.87431181507147%-1%</f>
        <v/>
      </c>
      <c r="U18" s="109">
        <f>3.71373822632094%-2%</f>
        <v/>
      </c>
      <c r="V18" s="109">
        <f>4.6909463519686%-2.5%</f>
        <v/>
      </c>
      <c r="W18" s="109">
        <f>1.81663453689713%+0.5%</f>
        <v/>
      </c>
      <c r="X18" s="109">
        <f>1.83544926680445%</f>
        <v/>
      </c>
      <c r="Y18" s="109">
        <f>1.12678522841082%+0.5%</f>
        <v/>
      </c>
      <c r="Z18" s="109" t="n">
        <v>0.0151176354805282</v>
      </c>
      <c r="AA18" s="109" t="n">
        <v>0.009882653976854987</v>
      </c>
      <c r="AB18" s="109" t="n">
        <v>0.007197213104314652</v>
      </c>
      <c r="AC18" s="109" t="n">
        <v>0.008224786814637281</v>
      </c>
      <c r="AD18" s="109" t="n">
        <v>0.006149377377168759</v>
      </c>
      <c r="AE18" s="109" t="n">
        <v>0.01945175324336998</v>
      </c>
      <c r="AF18" s="109" t="n">
        <v>0.01457439633662736</v>
      </c>
      <c r="AG18" s="109" t="n">
        <v>0.01330237586620122</v>
      </c>
      <c r="AH18" s="109" t="n">
        <v>0.004240550663725779</v>
      </c>
      <c r="AI18" s="109" t="n">
        <v>0</v>
      </c>
      <c r="AJ18" s="109" t="n">
        <v>0.01335549129601649</v>
      </c>
      <c r="AK18" s="109" t="n">
        <v>0.01770314119152237</v>
      </c>
      <c r="AL18" s="109" t="n">
        <v>0.01784360038671506</v>
      </c>
      <c r="AM18" s="109" t="n">
        <v>0.01811858490074506</v>
      </c>
      <c r="AN18" s="109">
        <f>0.95303843415134%+2%</f>
        <v/>
      </c>
      <c r="AO18" s="109">
        <f>0.438527935532052%+2%</f>
        <v/>
      </c>
      <c r="AP18" s="109">
        <f>0.201172881316684%+2%</f>
        <v/>
      </c>
      <c r="AQ18" s="109">
        <f>0.509444994413472%+2%</f>
        <v/>
      </c>
      <c r="AR18" s="109">
        <f>0.337217851415736%+1%</f>
        <v/>
      </c>
      <c r="AS18" s="109" t="n">
        <v>0.006903558589068931</v>
      </c>
      <c r="AT18" s="109" t="n">
        <v>0.02788835049815616</v>
      </c>
      <c r="AU18" s="109" t="n">
        <v>0.03265303611849227</v>
      </c>
      <c r="AV18" s="109" t="n">
        <v>0.04153069406091341</v>
      </c>
      <c r="AW18" s="109" t="n">
        <v>0.0174631810208583</v>
      </c>
      <c r="AX18" s="109" t="n">
        <v>0.01469575134452954</v>
      </c>
      <c r="AY18" s="109" t="n">
        <v>0.0396281630455548</v>
      </c>
      <c r="AZ18" s="109" t="n">
        <v>0.0396281630455548</v>
      </c>
      <c r="BA18" s="109">
        <f>3.7341449718358%-0.87%</f>
        <v/>
      </c>
      <c r="BB18" s="109" t="n">
        <v>0</v>
      </c>
    </row>
    <row r="19" hidden="1" s="701">
      <c r="A19" s="113" t="inlineStr">
        <is>
          <t>3-month mittigation</t>
        </is>
      </c>
      <c r="B19" s="29" t="n"/>
    </row>
    <row r="20" hidden="1" customFormat="1" s="700">
      <c r="B20" s="700" t="inlineStr">
        <is>
          <t>Cmd</t>
        </is>
      </c>
      <c r="C20" s="114">
        <f>SUM(C17:E17)/3</f>
        <v/>
      </c>
      <c r="D20" s="114">
        <f>SUM(D17:F17)/3</f>
        <v/>
      </c>
      <c r="E20" s="114">
        <f>SUM(E17:G17)/3</f>
        <v/>
      </c>
      <c r="F20" s="114">
        <f>SUM(F17:H17)/3</f>
        <v/>
      </c>
      <c r="G20" s="114">
        <f>SUM(G17:I17)/3</f>
        <v/>
      </c>
      <c r="H20" s="114">
        <f>SUM(H17:J17)/3</f>
        <v/>
      </c>
      <c r="I20" s="114">
        <f>SUM(I17:K17)/3</f>
        <v/>
      </c>
      <c r="J20" s="114">
        <f>SUM(J17:L17)/3</f>
        <v/>
      </c>
      <c r="K20" s="114">
        <f>SUM(K17:M17)/3</f>
        <v/>
      </c>
      <c r="L20" s="114">
        <f>SUM(L17:N17)/3</f>
        <v/>
      </c>
      <c r="M20" s="114">
        <f>SUM(M17:O17)/3</f>
        <v/>
      </c>
      <c r="N20" s="114">
        <f>SUM(N17:P17)/3</f>
        <v/>
      </c>
      <c r="O20" s="114">
        <f>SUM(O17:Q17)/3</f>
        <v/>
      </c>
      <c r="P20" s="114">
        <f>SUM(P17:R17)/3</f>
        <v/>
      </c>
      <c r="Q20" s="114">
        <f>SUM(Q17:S17)/3</f>
        <v/>
      </c>
      <c r="R20" s="114">
        <f>SUM(R17:T17)/3</f>
        <v/>
      </c>
      <c r="S20" s="114">
        <f>SUM(S17:U17)/3</f>
        <v/>
      </c>
      <c r="T20" s="114">
        <f>SUM(T17:V17)/3</f>
        <v/>
      </c>
      <c r="U20" s="114">
        <f>SUM(U17:W17)/3</f>
        <v/>
      </c>
      <c r="V20" s="114">
        <f>SUM(V17:X17)/3+0.96%</f>
        <v/>
      </c>
      <c r="W20" s="114">
        <f>SUM(W17:Y17)/3+1%</f>
        <v/>
      </c>
      <c r="X20" s="114">
        <f>SUM(X17:Z17)/3+0.4%</f>
        <v/>
      </c>
      <c r="Y20" s="114">
        <f>SUM(Y17:AA17)/3</f>
        <v/>
      </c>
      <c r="Z20" s="114">
        <f>SUM(Z17:AB17)/3</f>
        <v/>
      </c>
      <c r="AA20" s="114">
        <f>SUM(AA17:AC17)/3</f>
        <v/>
      </c>
      <c r="AB20" s="114">
        <f>SUM(AB17:AD17)/3</f>
        <v/>
      </c>
      <c r="AC20" s="114">
        <f>SUM(AC17:AE17)/3</f>
        <v/>
      </c>
      <c r="AD20" s="114">
        <f>SUM(AD17:AF17)/3</f>
        <v/>
      </c>
      <c r="AE20" s="114">
        <f>SUM(AE17:AG17)/3</f>
        <v/>
      </c>
      <c r="AF20" s="114">
        <f>SUM(AF17:AH17)/3</f>
        <v/>
      </c>
      <c r="AG20" s="114">
        <f>SUM(AG17:AI17)/3</f>
        <v/>
      </c>
      <c r="AH20" s="114" t="n">
        <v>0</v>
      </c>
      <c r="AI20" s="114" t="n">
        <v>0</v>
      </c>
      <c r="AJ20" s="114">
        <f>SUM(AJ17:AL17)/3</f>
        <v/>
      </c>
      <c r="AK20" s="114">
        <f>SUM(AK17:AM17)/3+1%</f>
        <v/>
      </c>
      <c r="AL20" s="114">
        <f>SUM(AL17:AN17)/3+1%</f>
        <v/>
      </c>
      <c r="AM20" s="114">
        <f>SUM(AM17:AO17)/3+1%</f>
        <v/>
      </c>
      <c r="AN20" s="114">
        <f>SUM(AN17:AP17)/3</f>
        <v/>
      </c>
      <c r="AO20" s="114">
        <f>SUM(AO17:AQ17)/3</f>
        <v/>
      </c>
      <c r="AP20" s="114">
        <f>SUM(AP17:AR17)/3</f>
        <v/>
      </c>
      <c r="AQ20" s="114">
        <f>SUM(AQ17:AS17)/3</f>
        <v/>
      </c>
      <c r="AR20" s="114">
        <f>SUM(AR17:AT17)/3</f>
        <v/>
      </c>
      <c r="AS20" s="114">
        <f>SUM(AS17:AU17)/3</f>
        <v/>
      </c>
      <c r="AT20" s="114">
        <f>SUM(AT17:AV17)/3</f>
        <v/>
      </c>
      <c r="AU20" s="114">
        <f>SUM(AU17:AW17)/3</f>
        <v/>
      </c>
      <c r="AV20" s="114">
        <f>SUM(AV17:AX17)/3</f>
        <v/>
      </c>
      <c r="AW20" s="114">
        <f>SUM(AW17:AY17)/3</f>
        <v/>
      </c>
      <c r="AX20" s="114">
        <f>SUM(AX17:AZ17)/3</f>
        <v/>
      </c>
      <c r="AY20" s="114">
        <f>SUM(AY17:BA17)/3</f>
        <v/>
      </c>
      <c r="AZ20" s="114">
        <f>SUM(AZ17:BB17)/3</f>
        <v/>
      </c>
      <c r="BA20" s="114" t="n">
        <v>0</v>
      </c>
      <c r="BB20" s="114">
        <f>SUM(BB17:BD17)/3</f>
        <v/>
      </c>
    </row>
    <row r="21" hidden="1" customFormat="1" s="700">
      <c r="B21" s="700" t="inlineStr">
        <is>
          <t>CA</t>
        </is>
      </c>
      <c r="C21" s="114">
        <f>SUM(C18:E18)/3</f>
        <v/>
      </c>
      <c r="D21" s="114">
        <f>SUM(D18:F18)/3</f>
        <v/>
      </c>
      <c r="E21" s="114">
        <f>SUM(E18:G18)/3</f>
        <v/>
      </c>
      <c r="F21" s="114">
        <f>SUM(F18:H18)/3</f>
        <v/>
      </c>
      <c r="G21" s="114">
        <f>SUM(G18:I18)/3</f>
        <v/>
      </c>
      <c r="H21" s="114">
        <f>SUM(H18:J18)/3</f>
        <v/>
      </c>
      <c r="I21" s="114">
        <f>SUM(I18:K18)/3</f>
        <v/>
      </c>
      <c r="J21" s="114">
        <f>SUM(J18:L18)/3</f>
        <v/>
      </c>
      <c r="K21" s="114">
        <f>SUM(K18:M18)/3</f>
        <v/>
      </c>
      <c r="L21" s="114">
        <f>SUM(L18:N18)/3</f>
        <v/>
      </c>
      <c r="M21" s="114">
        <f>SUM(M18:O18)/3</f>
        <v/>
      </c>
      <c r="N21" s="114">
        <f>SUM(N18:P18)/3</f>
        <v/>
      </c>
      <c r="O21" s="114">
        <f>SUM(O18:Q18)/3</f>
        <v/>
      </c>
      <c r="P21" s="114">
        <f>SUM(P18:R18)/3</f>
        <v/>
      </c>
      <c r="Q21" s="114">
        <f>SUM(Q18:S18)/3</f>
        <v/>
      </c>
      <c r="R21" s="114">
        <f>SUM(R18:T18)/3</f>
        <v/>
      </c>
      <c r="S21" s="114">
        <f>SUM(S18:U18)/3</f>
        <v/>
      </c>
      <c r="T21" s="114">
        <f>SUM(T18:V18)/3</f>
        <v/>
      </c>
      <c r="U21" s="114">
        <f>SUM(U18:W18)/3</f>
        <v/>
      </c>
      <c r="V21" s="114">
        <f>SUM(V18:X18)/3</f>
        <v/>
      </c>
      <c r="W21" s="114">
        <f>SUM(W18:Y18)/3-0.18%</f>
        <v/>
      </c>
      <c r="X21" s="114">
        <f>SUM(X18:Z18)/3</f>
        <v/>
      </c>
      <c r="Y21" s="114">
        <f>SUM(Y18:AA18)/3</f>
        <v/>
      </c>
      <c r="Z21" s="114">
        <f>SUM(Z18:AB18)/3</f>
        <v/>
      </c>
      <c r="AA21" s="114">
        <f>SUM(AA18:AC18)/3+1.8%</f>
        <v/>
      </c>
      <c r="AB21" s="114">
        <f>SUM(AB18:AD18)/3+1%</f>
        <v/>
      </c>
      <c r="AC21" s="114">
        <f>SUM(AC18:AE18)/3</f>
        <v/>
      </c>
      <c r="AD21" s="114">
        <f>SUM(AD18:AF18)/3</f>
        <v/>
      </c>
      <c r="AE21" s="114">
        <f>SUM(AE18:AG18)/3</f>
        <v/>
      </c>
      <c r="AF21" s="114">
        <f>SUM(AF18:AH18)/3</f>
        <v/>
      </c>
      <c r="AG21" s="114">
        <f>SUM(AG18:AI18)/3</f>
        <v/>
      </c>
      <c r="AH21" s="114" t="n">
        <v>0</v>
      </c>
      <c r="AI21" s="114" t="n">
        <v>0</v>
      </c>
      <c r="AJ21" s="114">
        <f>SUM(AJ18:AL18)/3+1%</f>
        <v/>
      </c>
      <c r="AK21" s="114">
        <f>SUM(AK18:AM18)/3+1%</f>
        <v/>
      </c>
      <c r="AL21" s="114">
        <f>SUM(AL18:AN18)/3+1%</f>
        <v/>
      </c>
      <c r="AM21" s="114">
        <f>SUM(AM18:AO18)/3</f>
        <v/>
      </c>
      <c r="AN21" s="114">
        <f>SUM(AN18:AP18)/3</f>
        <v/>
      </c>
      <c r="AO21" s="114">
        <f>SUM(AO18:AQ18)/3</f>
        <v/>
      </c>
      <c r="AP21" s="114">
        <f>SUM(AP18:AR18)/3</f>
        <v/>
      </c>
      <c r="AQ21" s="114">
        <f>SUM(AQ18:AS18)/3</f>
        <v/>
      </c>
      <c r="AR21" s="114">
        <f>SUM(AR18:AT18)/3</f>
        <v/>
      </c>
      <c r="AS21" s="114">
        <f>SUM(AS18:AU18)/3</f>
        <v/>
      </c>
      <c r="AT21" s="114">
        <f>SUM(AT18:AV18)/3</f>
        <v/>
      </c>
      <c r="AU21" s="114">
        <f>SUM(AU18:AW18)/3</f>
        <v/>
      </c>
      <c r="AV21" s="114">
        <f>SUM(AV18:AX18)/3</f>
        <v/>
      </c>
      <c r="AW21" s="114">
        <f>SUM(AW18:AY18)/3</f>
        <v/>
      </c>
      <c r="AX21" s="114">
        <f>SUM(AX18:AZ18)/3</f>
        <v/>
      </c>
      <c r="AY21" s="114">
        <f>SUM(AY18:BA18)/3</f>
        <v/>
      </c>
      <c r="AZ21" s="114">
        <f>SUM(AZ18:BB18)/3</f>
        <v/>
      </c>
      <c r="BA21" s="114">
        <f>SUM(BA18:BC18)/3+0.27%</f>
        <v/>
      </c>
      <c r="BB21" s="114">
        <f>SUM(BB18:BD18)/3</f>
        <v/>
      </c>
    </row>
    <row r="22" customFormat="1" s="700">
      <c r="B22" s="700" t="inlineStr">
        <is>
          <t>Backlog excluding AIA</t>
        </is>
      </c>
      <c r="C22" s="771" t="n"/>
      <c r="D22" s="771" t="n"/>
      <c r="E22" s="771" t="n"/>
      <c r="F22" s="771" t="n"/>
      <c r="G22" s="771" t="n"/>
      <c r="H22" s="771" t="n"/>
      <c r="I22" s="771" t="n"/>
      <c r="J22" s="771" t="n"/>
      <c r="K22" s="771" t="n"/>
      <c r="L22" s="771" t="n"/>
      <c r="M22" s="771" t="n"/>
      <c r="N22" s="771" t="n"/>
      <c r="O22" s="771" t="n"/>
      <c r="P22" s="771" t="n"/>
      <c r="Q22" s="771" t="n"/>
      <c r="R22" s="771" t="n"/>
      <c r="S22" s="771" t="n"/>
      <c r="T22" s="771" t="n"/>
      <c r="U22" s="771" t="n"/>
      <c r="V22" s="771" t="n"/>
      <c r="W22" s="771" t="n"/>
      <c r="X22" s="771" t="n"/>
      <c r="Y22" s="771" t="n"/>
      <c r="Z22" s="114" t="n"/>
      <c r="AA22" s="114" t="n"/>
      <c r="AB22" s="114" t="n"/>
      <c r="AC22" s="114" t="n"/>
      <c r="AD22" s="114" t="n"/>
      <c r="AE22" s="114" t="n"/>
      <c r="AF22" s="114" t="n"/>
      <c r="AG22" s="114" t="n"/>
      <c r="AH22" s="114" t="n"/>
      <c r="AI22" s="114" t="n"/>
      <c r="AJ22" s="114" t="n"/>
      <c r="AK22" s="114" t="n"/>
      <c r="AL22" s="114" t="n"/>
      <c r="AM22" s="114" t="n"/>
      <c r="AN22" s="114" t="n"/>
      <c r="AO22" s="114" t="n"/>
      <c r="AP22" s="114" t="n"/>
      <c r="AQ22" s="114" t="n"/>
      <c r="AR22" s="114" t="n"/>
      <c r="AS22" s="114" t="n"/>
      <c r="AT22" s="114" t="n"/>
      <c r="AU22" s="114" t="n"/>
      <c r="AV22" s="114" t="n"/>
      <c r="AW22" s="114" t="n"/>
      <c r="AX22" s="114" t="n"/>
      <c r="AY22" s="114" t="n"/>
      <c r="AZ22" s="114" t="n"/>
      <c r="BA22" s="114" t="n"/>
      <c r="BB22" s="114" t="n"/>
    </row>
    <row r="23" customFormat="1" s="700">
      <c r="C23" s="771" t="n"/>
      <c r="D23" s="771" t="n"/>
      <c r="E23" s="771" t="n"/>
      <c r="F23" s="771" t="n"/>
      <c r="G23" s="771" t="n"/>
      <c r="H23" s="771" t="n"/>
      <c r="I23" s="771" t="n"/>
      <c r="J23" s="771" t="n"/>
      <c r="K23" s="771" t="n"/>
      <c r="L23" s="771" t="n"/>
      <c r="M23" s="771" t="n"/>
      <c r="N23" s="771" t="n"/>
      <c r="O23" s="771" t="n"/>
      <c r="P23" s="771" t="n"/>
      <c r="Q23" s="771" t="n"/>
      <c r="R23" s="771" t="n"/>
      <c r="S23" s="771" t="n"/>
      <c r="T23" s="771" t="n"/>
      <c r="U23" s="771" t="n"/>
      <c r="V23" s="771" t="n"/>
      <c r="W23" s="771" t="n"/>
      <c r="X23" s="771" t="n"/>
      <c r="Y23" s="771" t="n"/>
      <c r="Z23" s="114" t="n"/>
      <c r="AA23" s="114" t="n"/>
      <c r="AB23" s="114" t="n"/>
      <c r="AC23" s="114" t="n"/>
      <c r="AD23" s="114" t="n"/>
      <c r="AE23" s="114" t="n"/>
      <c r="AF23" s="114" t="n"/>
      <c r="AG23" s="114" t="n"/>
      <c r="AH23" s="114" t="n"/>
      <c r="AI23" s="114" t="n"/>
      <c r="AJ23" s="114" t="n"/>
      <c r="AK23" s="114" t="n"/>
      <c r="AL23" s="114" t="n"/>
      <c r="AM23" s="114" t="n"/>
      <c r="AN23" s="114" t="n"/>
      <c r="AO23" s="114" t="n"/>
      <c r="AP23" s="114" t="n"/>
      <c r="AQ23" s="114" t="n"/>
      <c r="AR23" s="114" t="n"/>
      <c r="AS23" s="114" t="n"/>
      <c r="AT23" s="114" t="n"/>
      <c r="AU23" s="114" t="n"/>
      <c r="AV23" s="114" t="n"/>
      <c r="AW23" s="114" t="n"/>
      <c r="AX23" s="114" t="n"/>
      <c r="AY23" s="114" t="n"/>
      <c r="AZ23" s="114" t="n"/>
      <c r="BA23" s="114" t="n"/>
      <c r="BB23" s="114" t="n"/>
    </row>
    <row r="24" customFormat="1" s="700">
      <c r="C24" s="771" t="n"/>
      <c r="D24" s="771" t="n"/>
      <c r="E24" s="771" t="n"/>
      <c r="F24" s="771" t="n"/>
      <c r="G24" s="771" t="n"/>
      <c r="H24" s="771" t="n"/>
      <c r="I24" s="771" t="n"/>
      <c r="J24" s="771" t="n"/>
      <c r="K24" s="771" t="n"/>
      <c r="L24" s="771" t="n"/>
      <c r="M24" s="771" t="n"/>
      <c r="N24" s="771" t="n"/>
      <c r="O24" s="771" t="n"/>
      <c r="P24" s="771" t="n"/>
      <c r="Q24" s="771" t="n"/>
      <c r="R24" s="771" t="n"/>
      <c r="S24" s="771" t="n"/>
      <c r="T24" s="771" t="n"/>
      <c r="U24" s="771" t="n"/>
      <c r="V24" s="771" t="n"/>
      <c r="W24" s="771" t="n"/>
      <c r="X24" s="771" t="n"/>
      <c r="Y24" s="771" t="n"/>
      <c r="Z24" s="114" t="n"/>
      <c r="AA24" s="114" t="n"/>
      <c r="AB24" s="114" t="n"/>
      <c r="AC24" s="114" t="n"/>
      <c r="AD24" s="114" t="n"/>
      <c r="AE24" s="114" t="n"/>
      <c r="AF24" s="114" t="n"/>
      <c r="AG24" s="114" t="n"/>
      <c r="AH24" s="114" t="n"/>
      <c r="AI24" s="114" t="n"/>
      <c r="AJ24" s="114" t="n"/>
      <c r="AK24" s="114" t="n"/>
      <c r="AL24" s="114" t="n"/>
      <c r="AM24" s="114" t="n"/>
      <c r="AN24" s="114" t="n"/>
      <c r="AO24" s="114" t="n"/>
      <c r="AP24" s="114" t="n"/>
      <c r="AQ24" s="114" t="n"/>
      <c r="AR24" s="114" t="n"/>
      <c r="AS24" s="114" t="n"/>
      <c r="AT24" s="114" t="n"/>
      <c r="AU24" s="114" t="n"/>
      <c r="AV24" s="114" t="n"/>
      <c r="AW24" s="114" t="n"/>
      <c r="AX24" s="114" t="n"/>
      <c r="AY24" s="114" t="n"/>
      <c r="AZ24" s="114" t="n"/>
      <c r="BA24" s="114" t="n"/>
      <c r="BB24" s="114" t="n"/>
    </row>
    <row r="25">
      <c r="B25" s="267" t="inlineStr">
        <is>
          <t>BU GSE OI</t>
        </is>
      </c>
      <c r="C25" s="709">
        <f>SUMIFS(tbl_DCFC[C Montant € HT],tbl_DCFC[CW ORDER],C$1,tbl_DCFC[BU_Key],"GSE")</f>
        <v/>
      </c>
      <c r="D25" s="709">
        <f>SUMIFS(tbl_DCFC[C Montant € HT],tbl_DCFC[CW ORDER],D$1,tbl_DCFC[BU_Key],"GSE")</f>
        <v/>
      </c>
      <c r="E25" s="709">
        <f>SUMIFS(tbl_DCFC[C Montant € HT],tbl_DCFC[CW ORDER],E$1,tbl_DCFC[BU_Key],"GSE")</f>
        <v/>
      </c>
      <c r="F25" s="709">
        <f>SUMIFS(tbl_DCFC[C Montant € HT],tbl_DCFC[CW ORDER],F$1,tbl_DCFC[BU_Key],"GSE")</f>
        <v/>
      </c>
      <c r="G25" s="709">
        <f>SUMIFS(tbl_DCFC[C Montant € HT],tbl_DCFC[CW ORDER],G$1,tbl_DCFC[BU_Key],"GSE")</f>
        <v/>
      </c>
      <c r="H25" s="709">
        <f>SUMIFS(tbl_DCFC[C Montant € HT],tbl_DCFC[CW ORDER],H$1,tbl_DCFC[BU_Key],"GSE")</f>
        <v/>
      </c>
      <c r="I25" s="709">
        <f>SUMIFS(tbl_DCFC[C Montant € HT],tbl_DCFC[CW ORDER],I$1,tbl_DCFC[BU_Key],"GSE")</f>
        <v/>
      </c>
      <c r="J25" s="709">
        <f>SUMIFS(tbl_DCFC[C Montant € HT],tbl_DCFC[CW ORDER],J$1,tbl_DCFC[BU_Key],"GSE")</f>
        <v/>
      </c>
      <c r="K25" s="709">
        <f>SUMIFS(tbl_DCFC[C Montant € HT],tbl_DCFC[CW ORDER],K$1,tbl_DCFC[BU_Key],"GSE")</f>
        <v/>
      </c>
      <c r="L25" s="709">
        <f>SUMIFS(tbl_DCFC[C Montant € HT],tbl_DCFC[CW ORDER],L$1,tbl_DCFC[BU_Key],"GSE")</f>
        <v/>
      </c>
      <c r="M25" s="709">
        <f>SUMIFS(tbl_DCFC[C Montant € HT],tbl_DCFC[CW ORDER],M$1,tbl_DCFC[BU_Key],"GSE")</f>
        <v/>
      </c>
      <c r="N25" s="709">
        <f>SUMIFS(tbl_DCFC[C Montant € HT],tbl_DCFC[CW ORDER],N$1,tbl_DCFC[BU_Key],"GSE")</f>
        <v/>
      </c>
      <c r="O25" s="709">
        <f>SUMIFS(tbl_DCFC[C Montant € HT],tbl_DCFC[CW ORDER],O$1,tbl_DCFC[BU_Key],"GSE")</f>
        <v/>
      </c>
      <c r="P25" s="709">
        <f>SUMIFS(tbl_DCFC[C Montant € HT],tbl_DCFC[CW ORDER],P$1,tbl_DCFC[BU_Key],"GSE")</f>
        <v/>
      </c>
      <c r="Q25" s="709">
        <f>SUMIFS(tbl_DCFC[C Montant € HT],tbl_DCFC[CW ORDER],Q$1,tbl_DCFC[BU_Key],"GSE")</f>
        <v/>
      </c>
      <c r="R25" s="709">
        <f>SUMIFS(tbl_DCFC[C Montant € HT],tbl_DCFC[CW ORDER],R$1,tbl_DCFC[BU_Key],"GSE")</f>
        <v/>
      </c>
      <c r="S25" s="709">
        <f>SUMIFS(tbl_DCFC[C Montant € HT],tbl_DCFC[CW ORDER],S$1,tbl_DCFC[BU_Key],"GSE")</f>
        <v/>
      </c>
      <c r="T25" s="709">
        <f>SUMIFS(tbl_DCFC[C Montant € HT],tbl_DCFC[CW ORDER],T$1,tbl_DCFC[BU_Key],"GSE")</f>
        <v/>
      </c>
      <c r="U25" s="709">
        <f>SUMIFS(tbl_DCFC[C Montant € HT],tbl_DCFC[CW ORDER],U$1,tbl_DCFC[BU_Key],"GSE")</f>
        <v/>
      </c>
      <c r="V25" s="709">
        <f>SUMIFS(tbl_DCFC[C Montant € HT],tbl_DCFC[CW ORDER],V$1,tbl_DCFC[BU_Key],"GSE")</f>
        <v/>
      </c>
      <c r="W25" s="709">
        <f>SUMIFS(tbl_DCFC[C Montant € HT],tbl_DCFC[CW ORDER],W$1,tbl_DCFC[BU_Key],"GSE")</f>
        <v/>
      </c>
      <c r="X25" s="709">
        <f>SUMIFS(tbl_DCFC[C Montant € HT],tbl_DCFC[CW ORDER],X$1,tbl_DCFC[BU_Key],"GSE")</f>
        <v/>
      </c>
      <c r="Y25" s="709">
        <f>SUMIFS(tbl_DCFC[C Montant € HT],tbl_DCFC[CW ORDER],Y$1,tbl_DCFC[BU_Key],"GSE")</f>
        <v/>
      </c>
      <c r="Z25" s="709">
        <f>SUMIFS(tbl_DCFC[C Montant € HT],tbl_DCFC[CW ORDER],Z$1,tbl_DCFC[BU_Key],"GSE")</f>
        <v/>
      </c>
      <c r="AA25" s="709">
        <f>SUMIFS(tbl_DCFC[C Montant € HT],tbl_DCFC[CW ORDER],AA$1,tbl_DCFC[BU_Key],"GSE")</f>
        <v/>
      </c>
      <c r="AB25" s="709">
        <f>SUMIFS(tbl_DCFC[C Montant € HT],tbl_DCFC[CW ORDER],AB$1,tbl_DCFC[BU_Key],"GSE")</f>
        <v/>
      </c>
      <c r="AC25" s="709">
        <f>SUMIFS(tbl_DCFC[C Montant € HT],tbl_DCFC[CW ORDER],AC$1,tbl_DCFC[BU_Key],"GSE")</f>
        <v/>
      </c>
      <c r="AD25" s="709">
        <f>SUMIFS(tbl_DCFC[C Montant € HT],tbl_DCFC[CW ORDER],AD$1,tbl_DCFC[BU_Key],"GSE")</f>
        <v/>
      </c>
      <c r="AE25" s="709">
        <f>SUMIFS(tbl_DCFC[C Montant € HT],tbl_DCFC[CW ORDER],AE$1,tbl_DCFC[BU_Key],"GSE")</f>
        <v/>
      </c>
      <c r="AF25" s="709">
        <f>SUMIFS(tbl_DCFC[C Montant € HT],tbl_DCFC[CW ORDER],AF$1,tbl_DCFC[BU_Key],"GSE")</f>
        <v/>
      </c>
      <c r="AG25" s="709">
        <f>SUMIFS(tbl_DCFC[C Montant € HT],tbl_DCFC[CW ORDER],AG$1,tbl_DCFC[BU_Key],"GSE")</f>
        <v/>
      </c>
      <c r="AH25" s="709">
        <f>SUMIFS(tbl_DCFC[C Montant € HT],tbl_DCFC[CW ORDER],AH$1,tbl_DCFC[BU_Key],"GSE")</f>
        <v/>
      </c>
      <c r="AI25" s="709">
        <f>SUMIFS(tbl_DCFC[C Montant € HT],tbl_DCFC[CW ORDER],AI$1,tbl_DCFC[BU_Key],"GSE")</f>
        <v/>
      </c>
      <c r="AJ25" s="709">
        <f>SUMIFS(tbl_DCFC[C Montant € HT],tbl_DCFC[CW ORDER],AJ$1,tbl_DCFC[BU_Key],"GSE")</f>
        <v/>
      </c>
      <c r="AK25" s="709">
        <f>SUMIFS(tbl_DCFC[C Montant € HT],tbl_DCFC[CW ORDER],AK$1,tbl_DCFC[BU_Key],"GSE")</f>
        <v/>
      </c>
      <c r="AL25" s="709">
        <f>SUMIFS(tbl_DCFC[C Montant € HT],tbl_DCFC[CW ORDER],AL$1,tbl_DCFC[BU_Key],"GSE")</f>
        <v/>
      </c>
      <c r="AM25" s="709">
        <f>SUMIFS(tbl_DCFC[C Montant € HT],tbl_DCFC[CW ORDER],AM$1,tbl_DCFC[BU_Key],"GSE")</f>
        <v/>
      </c>
      <c r="AN25" s="709">
        <f>SUMIFS(tbl_DCFC[C Montant € HT],tbl_DCFC[CW ORDER],AN$1,tbl_DCFC[BU_Key],"GSE")</f>
        <v/>
      </c>
      <c r="AO25" s="709">
        <f>SUMIFS(tbl_DCFC[C Montant € HT],tbl_DCFC[CW ORDER],AO$1,tbl_DCFC[BU_Key],"GSE")</f>
        <v/>
      </c>
      <c r="AP25" s="709">
        <f>SUMIFS(tbl_DCFC[C Montant € HT],tbl_DCFC[CW ORDER],AP$1,tbl_DCFC[BU_Key],"GSE")</f>
        <v/>
      </c>
      <c r="AQ25" s="709">
        <f>SUMIFS(tbl_DCFC[D Montant € HT],tbl_DCFC[Date Devis],AQ$1,tbl_DCFC[Spalte10],"GSE")</f>
        <v/>
      </c>
      <c r="AR25" s="709">
        <f>SUMIFS(tbl_DCFC[C Montant € HT],tbl_DCFC[CW ORDER],AR$1,tbl_DCFC[BU_Key],"GSE")</f>
        <v/>
      </c>
      <c r="AS25" s="709">
        <f>SUMIFS(tbl_DCFC[C Montant € HT],tbl_DCFC[CW ORDER],AS$1,tbl_DCFC[BU_Key],"GSE")</f>
        <v/>
      </c>
      <c r="AT25" s="709">
        <f>SUMIFS(tbl_DCFC[C Montant € HT],tbl_DCFC[CW ORDER],AT$1,tbl_DCFC[BU_Key],"GSE")</f>
        <v/>
      </c>
      <c r="AU25" s="709">
        <f>SUMIFS(tbl_DCFC[C Montant € HT],tbl_DCFC[CW ORDER],AU$1,tbl_DCFC[BU_Key],"GSE")</f>
        <v/>
      </c>
      <c r="AV25" s="709">
        <f>SUMIFS(tbl_DCFC[C Montant € HT],tbl_DCFC[CW ORDER],AV$1,tbl_DCFC[BU_Key],"GSE")</f>
        <v/>
      </c>
      <c r="AW25" s="709">
        <f>SUMIFS(tbl_DCFC[C Montant € HT],tbl_DCFC[CW ORDER],AW$1,tbl_DCFC[BU_Key],"GSE")</f>
        <v/>
      </c>
      <c r="AX25" s="709">
        <f>SUMIFS(tbl_DCFC[C Montant € HT],tbl_DCFC[CW ORDER],AX$1,tbl_DCFC[BU_Key],"GSE")</f>
        <v/>
      </c>
      <c r="AY25" s="709">
        <f>SUMIFS(tbl_DCFC[C Montant € HT],tbl_DCFC[CW ORDER],AY$1,tbl_DCFC[BU_Key],"GSE")</f>
        <v/>
      </c>
      <c r="AZ25" s="709">
        <f>SUMIFS(tbl_DCFC[C Montant € HT],tbl_DCFC[CW ORDER],AZ$1,tbl_DCFC[BU_Key],"GSE")</f>
        <v/>
      </c>
      <c r="BA25" s="709">
        <f>SUMIFS(tbl_DCFC[C Montant € HT],tbl_DCFC[CW ORDER],BA$1,tbl_DCFC[BU_Key],"GSE")</f>
        <v/>
      </c>
      <c r="BB25" s="709">
        <f>SUMIFS(tbl_DCFC[C Montant € HT],tbl_DCFC[CW ORDER],BB$1,tbl_DCFC[BU_Key],"GSE")</f>
        <v/>
      </c>
    </row>
    <row r="26">
      <c r="B26" s="267" t="inlineStr">
        <is>
          <t>BU Tooling OI</t>
        </is>
      </c>
      <c r="C26" s="709">
        <f>SUMIFS(tbl_DCFC[C Montant € HT],tbl_DCFC[CW ORDER],C$1,tbl_DCFC[BU_Key],"TOO")</f>
        <v/>
      </c>
      <c r="D26" s="709">
        <f>SUMIFS(tbl_DCFC[C Montant € HT],tbl_DCFC[CW ORDER],D$1,tbl_DCFC[BU_Key],"TOO")</f>
        <v/>
      </c>
      <c r="E26" s="709">
        <f>SUMIFS(tbl_DCFC[C Montant € HT],tbl_DCFC[CW ORDER],E$1,tbl_DCFC[BU_Key],"TOO")</f>
        <v/>
      </c>
      <c r="F26" s="709">
        <f>SUMIFS(tbl_DCFC[C Montant € HT],tbl_DCFC[CW ORDER],F$1,tbl_DCFC[BU_Key],"TOO")</f>
        <v/>
      </c>
      <c r="G26" s="709">
        <f>SUMIFS(tbl_DCFC[C Montant € HT],tbl_DCFC[CW ORDER],G$1,tbl_DCFC[BU_Key],"TOO")</f>
        <v/>
      </c>
      <c r="H26" s="709">
        <f>SUMIFS(tbl_DCFC[C Montant € HT],tbl_DCFC[CW ORDER],H$1,tbl_DCFC[BU_Key],"TOO")</f>
        <v/>
      </c>
      <c r="I26" s="709">
        <f>SUMIFS(tbl_DCFC[C Montant € HT],tbl_DCFC[CW ORDER],I$1,tbl_DCFC[BU_Key],"TOO")</f>
        <v/>
      </c>
      <c r="J26" s="709">
        <f>SUMIFS(tbl_DCFC[C Montant € HT],tbl_DCFC[CW ORDER],J$1,tbl_DCFC[BU_Key],"TOO")</f>
        <v/>
      </c>
      <c r="K26" s="709">
        <f>SUMIFS(tbl_DCFC[C Montant € HT],tbl_DCFC[CW ORDER],K$1,tbl_DCFC[BU_Key],"TOO")</f>
        <v/>
      </c>
      <c r="L26" s="709">
        <f>SUMIFS(tbl_DCFC[C Montant € HT],tbl_DCFC[CW ORDER],L$1,tbl_DCFC[BU_Key],"TOO")</f>
        <v/>
      </c>
      <c r="M26" s="709">
        <f>SUMIFS(tbl_DCFC[C Montant € HT],tbl_DCFC[CW ORDER],M$1,tbl_DCFC[BU_Key],"TOO")</f>
        <v/>
      </c>
      <c r="N26" s="709">
        <f>SUMIFS(tbl_DCFC[C Montant € HT],tbl_DCFC[CW ORDER],N$1,tbl_DCFC[BU_Key],"TOO")</f>
        <v/>
      </c>
      <c r="O26" s="709">
        <f>SUMIFS(tbl_DCFC[C Montant € HT],tbl_DCFC[CW ORDER],O$1,tbl_DCFC[BU_Key],"TOO")</f>
        <v/>
      </c>
      <c r="P26" s="709">
        <f>SUMIFS(tbl_DCFC[C Montant € HT],tbl_DCFC[CW ORDER],P$1,tbl_DCFC[BU_Key],"TOO")</f>
        <v/>
      </c>
      <c r="Q26" s="709">
        <f>SUMIFS(tbl_DCFC[C Montant € HT],tbl_DCFC[CW ORDER],Q$1,tbl_DCFC[BU_Key],"TOO")</f>
        <v/>
      </c>
      <c r="R26" s="709">
        <f>SUMIFS(tbl_DCFC[C Montant € HT],tbl_DCFC[CW ORDER],R$1,tbl_DCFC[BU_Key],"TOO")</f>
        <v/>
      </c>
      <c r="S26" s="709">
        <f>SUMIFS(tbl_DCFC[C Montant € HT],tbl_DCFC[CW ORDER],S$1,tbl_DCFC[BU_Key],"TOO")</f>
        <v/>
      </c>
      <c r="T26" s="709">
        <f>SUMIFS(tbl_DCFC[C Montant € HT],tbl_DCFC[CW ORDER],T$1,tbl_DCFC[BU_Key],"TOO")</f>
        <v/>
      </c>
      <c r="U26" s="709">
        <f>SUMIFS(tbl_DCFC[C Montant € HT],tbl_DCFC[CW ORDER],U$1,tbl_DCFC[BU_Key],"TOO")</f>
        <v/>
      </c>
      <c r="V26" s="709">
        <f>SUMIFS(tbl_DCFC[C Montant € HT],tbl_DCFC[CW ORDER],V$1,tbl_DCFC[BU_Key],"TOO")</f>
        <v/>
      </c>
      <c r="W26" s="709">
        <f>SUMIFS(tbl_DCFC[C Montant € HT],tbl_DCFC[CW ORDER],W$1,tbl_DCFC[BU_Key],"TOO")</f>
        <v/>
      </c>
      <c r="X26" s="709">
        <f>SUMIFS(tbl_DCFC[C Montant € HT],tbl_DCFC[CW ORDER],X$1,tbl_DCFC[BU_Key],"TOO")</f>
        <v/>
      </c>
      <c r="Y26" s="709">
        <f>SUMIFS(tbl_DCFC[C Montant € HT],tbl_DCFC[CW ORDER],Y$1,tbl_DCFC[BU_Key],"TOO")</f>
        <v/>
      </c>
      <c r="Z26" s="709">
        <f>SUMIFS(tbl_DCFC[C Montant € HT],tbl_DCFC[CW ORDER],Z$1,tbl_DCFC[BU_Key],"TOO")</f>
        <v/>
      </c>
      <c r="AA26" s="709">
        <f>SUMIFS(tbl_DCFC[C Montant € HT],tbl_DCFC[CW ORDER],AA$1,tbl_DCFC[BU_Key],"TOO")</f>
        <v/>
      </c>
      <c r="AB26" s="709">
        <f>SUMIFS(tbl_DCFC[C Montant € HT],tbl_DCFC[CW ORDER],AB$1,tbl_DCFC[BU_Key],"TOO")</f>
        <v/>
      </c>
      <c r="AC26" s="709">
        <f>SUMIFS(tbl_DCFC[C Montant € HT],tbl_DCFC[CW ORDER],AC$1,tbl_DCFC[BU_Key],"TOO")</f>
        <v/>
      </c>
      <c r="AD26" s="709">
        <f>SUMIFS(tbl_DCFC[C Montant € HT],tbl_DCFC[CW ORDER],AD$1,tbl_DCFC[BU_Key],"TOO")</f>
        <v/>
      </c>
      <c r="AE26" s="709">
        <f>SUMIFS(tbl_DCFC[C Montant € HT],tbl_DCFC[CW ORDER],AE$1,tbl_DCFC[BU_Key],"TOO")</f>
        <v/>
      </c>
      <c r="AF26" s="709">
        <f>SUMIFS(tbl_DCFC[C Montant € HT],tbl_DCFC[CW ORDER],AF$1,tbl_DCFC[BU_Key],"TOO")</f>
        <v/>
      </c>
      <c r="AG26" s="709">
        <f>SUMIFS(tbl_DCFC[C Montant € HT],tbl_DCFC[CW ORDER],AG$1,tbl_DCFC[BU_Key],"TOO")</f>
        <v/>
      </c>
      <c r="AH26" s="709">
        <f>SUMIFS(tbl_DCFC[C Montant € HT],tbl_DCFC[CW ORDER],AH$1,tbl_DCFC[BU_Key],"TOO")</f>
        <v/>
      </c>
      <c r="AI26" s="709">
        <f>SUMIFS(tbl_DCFC[C Montant € HT],tbl_DCFC[CW ORDER],AI$1,tbl_DCFC[BU_Key],"TOO")</f>
        <v/>
      </c>
      <c r="AJ26" s="709">
        <f>SUMIFS(tbl_DCFC[C Montant € HT],tbl_DCFC[CW ORDER],AJ$1,tbl_DCFC[BU_Key],"TOO")</f>
        <v/>
      </c>
      <c r="AK26" s="709">
        <f>SUMIFS(tbl_DCFC[C Montant € HT],tbl_DCFC[CW ORDER],AK$1,tbl_DCFC[BU_Key],"TOO")</f>
        <v/>
      </c>
      <c r="AL26" s="709">
        <f>SUMIFS(tbl_DCFC[C Montant € HT],tbl_DCFC[CW ORDER],AL$1,tbl_DCFC[BU_Key],"TOO")</f>
        <v/>
      </c>
      <c r="AM26" s="709">
        <f>SUMIFS(tbl_DCFC[C Montant € HT],tbl_DCFC[CW ORDER],AM$1,tbl_DCFC[BU_Key],"TOO")</f>
        <v/>
      </c>
      <c r="AN26" s="709">
        <f>SUMIFS(tbl_DCFC[C Montant € HT],tbl_DCFC[CW ORDER],AN$1,tbl_DCFC[BU_Key],"TOO")</f>
        <v/>
      </c>
      <c r="AO26" s="709">
        <f>SUMIFS(tbl_DCFC[C Montant € HT],tbl_DCFC[CW ORDER],AO$1,tbl_DCFC[BU_Key],"TOO")</f>
        <v/>
      </c>
      <c r="AP26" s="709">
        <f>SUMIFS(tbl_DCFC[C Montant € HT],tbl_DCFC[CW ORDER],AP$1,tbl_DCFC[BU_Key],"TOO")</f>
        <v/>
      </c>
      <c r="AQ26" s="709">
        <f>SUMIFS(tbl_DCFC[D Montant € HT],tbl_DCFC[Date Devis],AQ$1,tbl_DCFC[Spalte10],"TOO")</f>
        <v/>
      </c>
      <c r="AR26" s="709">
        <f>SUMIFS(tbl_DCFC[C Montant € HT],tbl_DCFC[CW ORDER],AR$1,tbl_DCFC[BU_Key],"TOO")</f>
        <v/>
      </c>
      <c r="AS26" s="709">
        <f>SUMIFS(tbl_DCFC[C Montant € HT],tbl_DCFC[CW ORDER],AS$1,tbl_DCFC[BU_Key],"TOO")</f>
        <v/>
      </c>
      <c r="AT26" s="709">
        <f>SUMIFS(tbl_DCFC[C Montant € HT],tbl_DCFC[CW ORDER],AT$1,tbl_DCFC[BU_Key],"TOO")</f>
        <v/>
      </c>
      <c r="AU26" s="709">
        <f>SUMIFS(tbl_DCFC[C Montant € HT],tbl_DCFC[CW ORDER],AU$1,tbl_DCFC[BU_Key],"TOO")</f>
        <v/>
      </c>
      <c r="AV26" s="709">
        <f>SUMIFS(tbl_DCFC[C Montant € HT],tbl_DCFC[CW ORDER],AV$1,tbl_DCFC[BU_Key],"TOO")</f>
        <v/>
      </c>
      <c r="AW26" s="709">
        <f>SUMIFS(tbl_DCFC[C Montant € HT],tbl_DCFC[CW ORDER],AW$1,tbl_DCFC[BU_Key],"TOO")</f>
        <v/>
      </c>
      <c r="AX26" s="709">
        <f>SUMIFS(tbl_DCFC[C Montant € HT],tbl_DCFC[CW ORDER],AX$1,tbl_DCFC[BU_Key],"TOO")</f>
        <v/>
      </c>
      <c r="AY26" s="709">
        <f>SUMIFS(tbl_DCFC[C Montant € HT],tbl_DCFC[CW ORDER],AY$1,tbl_DCFC[BU_Key],"TOO")</f>
        <v/>
      </c>
      <c r="AZ26" s="709">
        <f>SUMIFS(tbl_DCFC[C Montant € HT],tbl_DCFC[CW ORDER],AZ$1,tbl_DCFC[BU_Key],"TOO")</f>
        <v/>
      </c>
      <c r="BA26" s="709">
        <f>SUMIFS(tbl_DCFC[C Montant € HT],tbl_DCFC[CW ORDER],BA$1,tbl_DCFC[BU_Key],"TOO")</f>
        <v/>
      </c>
      <c r="BB26" s="709">
        <f>SUMIFS(tbl_DCFC[C Montant € HT],tbl_DCFC[CW ORDER],BB$1,tbl_DCFC[BU_Key],"TOO")</f>
        <v/>
      </c>
    </row>
    <row r="27">
      <c r="B27" s="267" t="inlineStr">
        <is>
          <t>BU Service OI</t>
        </is>
      </c>
      <c r="C27" s="709">
        <f>SUMIFS(tbl_DCFC[C Montant € HT],tbl_DCFC[CW ORDER],C$1,tbl_DCFC[BU_Key],"SER")</f>
        <v/>
      </c>
      <c r="D27" s="709">
        <f>SUMIFS(tbl_DCFC[C Montant € HT],tbl_DCFC[CW ORDER],D$1,tbl_DCFC[BU_Key],"SER")</f>
        <v/>
      </c>
      <c r="E27" s="709">
        <f>SUMIFS(tbl_DCFC[C Montant € HT],tbl_DCFC[CW ORDER],E$1,tbl_DCFC[BU_Key],"SER")</f>
        <v/>
      </c>
      <c r="F27" s="709">
        <f>SUMIFS(tbl_DCFC[C Montant € HT],tbl_DCFC[CW ORDER],F$1,tbl_DCFC[BU_Key],"SER")</f>
        <v/>
      </c>
      <c r="G27" s="709">
        <f>SUMIFS(tbl_DCFC[C Montant € HT],tbl_DCFC[CW ORDER],G$1,tbl_DCFC[BU_Key],"SER")</f>
        <v/>
      </c>
      <c r="H27" s="709">
        <f>SUMIFS(tbl_DCFC[C Montant € HT],tbl_DCFC[CW ORDER],H$1,tbl_DCFC[BU_Key],"SER")</f>
        <v/>
      </c>
      <c r="I27" s="709">
        <f>SUMIFS(tbl_DCFC[C Montant € HT],tbl_DCFC[CW ORDER],I$1,tbl_DCFC[BU_Key],"SER")</f>
        <v/>
      </c>
      <c r="J27" s="709">
        <f>SUMIFS(tbl_DCFC[C Montant € HT],tbl_DCFC[CW ORDER],J$1,tbl_DCFC[BU_Key],"SER")</f>
        <v/>
      </c>
      <c r="K27" s="709">
        <f>SUMIFS(tbl_DCFC[C Montant € HT],tbl_DCFC[CW ORDER],K$1,tbl_DCFC[BU_Key],"SER")</f>
        <v/>
      </c>
      <c r="L27" s="709">
        <f>SUMIFS(tbl_DCFC[C Montant € HT],tbl_DCFC[CW ORDER],L$1,tbl_DCFC[BU_Key],"SER")</f>
        <v/>
      </c>
      <c r="M27" s="709">
        <f>SUMIFS(tbl_DCFC[C Montant € HT],tbl_DCFC[CW ORDER],M$1,tbl_DCFC[BU_Key],"SER")</f>
        <v/>
      </c>
      <c r="N27" s="709">
        <f>SUMIFS(tbl_DCFC[C Montant € HT],tbl_DCFC[CW ORDER],N$1,tbl_DCFC[BU_Key],"SER")</f>
        <v/>
      </c>
      <c r="O27" s="709">
        <f>SUMIFS(tbl_DCFC[C Montant € HT],tbl_DCFC[CW ORDER],O$1,tbl_DCFC[BU_Key],"SER")</f>
        <v/>
      </c>
      <c r="P27" s="709">
        <f>SUMIFS(tbl_DCFC[C Montant € HT],tbl_DCFC[CW ORDER],P$1,tbl_DCFC[BU_Key],"SER")</f>
        <v/>
      </c>
      <c r="Q27" s="709">
        <f>SUMIFS(tbl_DCFC[C Montant € HT],tbl_DCFC[CW ORDER],Q$1,tbl_DCFC[BU_Key],"SER")</f>
        <v/>
      </c>
      <c r="R27" s="709">
        <f>SUMIFS(tbl_DCFC[C Montant € HT],tbl_DCFC[CW ORDER],R$1,tbl_DCFC[BU_Key],"SER")</f>
        <v/>
      </c>
      <c r="S27" s="709">
        <f>SUMIFS(tbl_DCFC[C Montant € HT],tbl_DCFC[CW ORDER],S$1,tbl_DCFC[BU_Key],"SER")</f>
        <v/>
      </c>
      <c r="T27" s="709">
        <f>SUMIFS(tbl_DCFC[C Montant € HT],tbl_DCFC[CW ORDER],T$1,tbl_DCFC[BU_Key],"SER")</f>
        <v/>
      </c>
      <c r="U27" s="709">
        <f>SUMIFS(tbl_DCFC[C Montant € HT],tbl_DCFC[CW ORDER],U$1,tbl_DCFC[BU_Key],"SER")</f>
        <v/>
      </c>
      <c r="V27" s="709">
        <f>SUMIFS(tbl_DCFC[C Montant € HT],tbl_DCFC[CW ORDER],V$1,tbl_DCFC[BU_Key],"SER")</f>
        <v/>
      </c>
      <c r="W27" s="709">
        <f>SUMIFS(tbl_DCFC[C Montant € HT],tbl_DCFC[CW ORDER],W$1,tbl_DCFC[BU_Key],"SER")</f>
        <v/>
      </c>
      <c r="X27" s="709">
        <f>SUMIFS(tbl_DCFC[C Montant € HT],tbl_DCFC[CW ORDER],X$1,tbl_DCFC[BU_Key],"SER")</f>
        <v/>
      </c>
      <c r="Y27" s="709">
        <f>SUMIFS(tbl_DCFC[C Montant € HT],tbl_DCFC[CW ORDER],Y$1,tbl_DCFC[BU_Key],"SER")</f>
        <v/>
      </c>
      <c r="Z27" s="709">
        <f>SUMIFS(tbl_DCFC[C Montant € HT],tbl_DCFC[CW ORDER],Z$1,tbl_DCFC[BU_Key],"SER")</f>
        <v/>
      </c>
      <c r="AA27" s="709">
        <f>SUMIFS(tbl_DCFC[C Montant € HT],tbl_DCFC[CW ORDER],AA$1,tbl_DCFC[BU_Key],"SER")</f>
        <v/>
      </c>
      <c r="AB27" s="709">
        <f>SUMIFS(tbl_DCFC[C Montant € HT],tbl_DCFC[CW ORDER],AB$1,tbl_DCFC[BU_Key],"SER")</f>
        <v/>
      </c>
      <c r="AC27" s="709">
        <f>SUMIFS(tbl_DCFC[C Montant € HT],tbl_DCFC[CW ORDER],AC$1,tbl_DCFC[BU_Key],"SER")</f>
        <v/>
      </c>
      <c r="AD27" s="709">
        <f>SUMIFS(tbl_DCFC[C Montant € HT],tbl_DCFC[CW ORDER],AD$1,tbl_DCFC[BU_Key],"SER")</f>
        <v/>
      </c>
      <c r="AE27" s="709">
        <f>SUMIFS(tbl_DCFC[C Montant € HT],tbl_DCFC[CW ORDER],AE$1,tbl_DCFC[BU_Key],"SER")</f>
        <v/>
      </c>
      <c r="AF27" s="709">
        <f>SUMIFS(tbl_DCFC[C Montant € HT],tbl_DCFC[CW ORDER],AF$1,tbl_DCFC[BU_Key],"SER")</f>
        <v/>
      </c>
      <c r="AG27" s="709">
        <f>SUMIFS(tbl_DCFC[C Montant € HT],tbl_DCFC[CW ORDER],AG$1,tbl_DCFC[BU_Key],"SER")</f>
        <v/>
      </c>
      <c r="AH27" s="709">
        <f>SUMIFS(tbl_DCFC[C Montant € HT],tbl_DCFC[CW ORDER],AH$1,tbl_DCFC[BU_Key],"SER")</f>
        <v/>
      </c>
      <c r="AI27" s="709">
        <f>SUMIFS(tbl_DCFC[C Montant € HT],tbl_DCFC[CW ORDER],AI$1,tbl_DCFC[BU_Key],"SER")</f>
        <v/>
      </c>
      <c r="AJ27" s="709">
        <f>SUMIFS(tbl_DCFC[C Montant € HT],tbl_DCFC[CW ORDER],AJ$1,tbl_DCFC[BU_Key],"SER")</f>
        <v/>
      </c>
      <c r="AK27" s="709">
        <f>SUMIFS(tbl_DCFC[C Montant € HT],tbl_DCFC[CW ORDER],AK$1,tbl_DCFC[BU_Key],"SER")</f>
        <v/>
      </c>
      <c r="AL27" s="709">
        <f>SUMIFS(tbl_DCFC[C Montant € HT],tbl_DCFC[CW ORDER],AL$1,tbl_DCFC[BU_Key],"SER")</f>
        <v/>
      </c>
      <c r="AM27" s="709">
        <f>SUMIFS(tbl_DCFC[C Montant € HT],tbl_DCFC[CW ORDER],AM$1,tbl_DCFC[BU_Key],"SER")</f>
        <v/>
      </c>
      <c r="AN27" s="709">
        <f>SUMIFS(tbl_DCFC[C Montant € HT],tbl_DCFC[CW ORDER],AN$1,tbl_DCFC[BU_Key],"SER")</f>
        <v/>
      </c>
      <c r="AO27" s="709">
        <f>SUMIFS(tbl_DCFC[C Montant € HT],tbl_DCFC[CW ORDER],AO$1,tbl_DCFC[BU_Key],"SER")</f>
        <v/>
      </c>
      <c r="AP27" s="709">
        <f>SUMIFS(tbl_DCFC[C Montant € HT],tbl_DCFC[CW ORDER],AP$1,tbl_DCFC[BU_Key],"SER")</f>
        <v/>
      </c>
      <c r="AQ27" s="709">
        <f>SUMIFS(tbl_DCFC[D Montant € HT],tbl_DCFC[Date Devis],AQ$1,tbl_DCFC[Spalte10],"SER")</f>
        <v/>
      </c>
      <c r="AR27" s="709">
        <f>SUMIFS(tbl_DCFC[C Montant € HT],tbl_DCFC[CW ORDER],AR$1,tbl_DCFC[BU_Key],"SER")</f>
        <v/>
      </c>
      <c r="AS27" s="709">
        <f>SUMIFS(tbl_DCFC[C Montant € HT],tbl_DCFC[CW ORDER],AS$1,tbl_DCFC[BU_Key],"SER")</f>
        <v/>
      </c>
      <c r="AT27" s="709">
        <f>SUMIFS(tbl_DCFC[C Montant € HT],tbl_DCFC[CW ORDER],AT$1,tbl_DCFC[BU_Key],"SER")</f>
        <v/>
      </c>
      <c r="AU27" s="709">
        <f>SUMIFS(tbl_DCFC[C Montant € HT],tbl_DCFC[CW ORDER],AU$1,tbl_DCFC[BU_Key],"SER")</f>
        <v/>
      </c>
      <c r="AV27" s="709">
        <f>SUMIFS(tbl_DCFC[C Montant € HT],tbl_DCFC[CW ORDER],AV$1,tbl_DCFC[BU_Key],"SER")</f>
        <v/>
      </c>
      <c r="AW27" s="709">
        <f>SUMIFS(tbl_DCFC[C Montant € HT],tbl_DCFC[CW ORDER],AW$1,tbl_DCFC[BU_Key],"SER")</f>
        <v/>
      </c>
      <c r="AX27" s="709">
        <f>SUMIFS(tbl_DCFC[C Montant € HT],tbl_DCFC[CW ORDER],AX$1,tbl_DCFC[BU_Key],"SER")</f>
        <v/>
      </c>
      <c r="AY27" s="709">
        <f>SUMIFS(tbl_DCFC[C Montant € HT],tbl_DCFC[CW ORDER],AY$1,tbl_DCFC[BU_Key],"SER")</f>
        <v/>
      </c>
      <c r="AZ27" s="709">
        <f>SUMIFS(tbl_DCFC[C Montant € HT],tbl_DCFC[CW ORDER],AZ$1,tbl_DCFC[BU_Key],"SER")</f>
        <v/>
      </c>
      <c r="BA27" s="709">
        <f>SUMIFS(tbl_DCFC[C Montant € HT],tbl_DCFC[CW ORDER],BA$1,tbl_DCFC[BU_Key],"SER")</f>
        <v/>
      </c>
      <c r="BB27" s="709">
        <f>SUMIFS(tbl_DCFC[C Montant € HT],tbl_DCFC[CW ORDER],BB$1,tbl_DCFC[BU_Key],"SER")</f>
        <v/>
      </c>
      <c r="BC27" s="709" t="n"/>
    </row>
    <row r="28">
      <c r="B28" s="267" t="inlineStr">
        <is>
          <t>Intercompany</t>
        </is>
      </c>
      <c r="C28" s="772">
        <f>SUMIFS(tbl_DCFC[C Montant € HT],tbl_DCFC[CW ORDER],C$1,tbl_DCFC[BU_Key],"INT")</f>
        <v/>
      </c>
      <c r="D28" s="772">
        <f>SUMIFS(tbl_DCFC[C Montant € HT],tbl_DCFC[CW ORDER],D$1,tbl_DCFC[BU_Key],"INT")</f>
        <v/>
      </c>
      <c r="E28" s="772">
        <f>SUMIFS(tbl_DCFC[C Montant € HT],tbl_DCFC[CW ORDER],E$1,tbl_DCFC[BU_Key],"INT")</f>
        <v/>
      </c>
      <c r="F28" s="772">
        <f>SUMIFS(tbl_DCFC[C Montant € HT],tbl_DCFC[CW ORDER],F$1,tbl_DCFC[BU_Key],"INT")</f>
        <v/>
      </c>
      <c r="G28" s="772">
        <f>SUMIFS(tbl_DCFC[C Montant € HT],tbl_DCFC[CW ORDER],G$1,tbl_DCFC[BU_Key],"INT")</f>
        <v/>
      </c>
      <c r="H28" s="772">
        <f>SUMIFS(tbl_DCFC[C Montant € HT],tbl_DCFC[CW ORDER],H$1,tbl_DCFC[BU_Key],"INT")</f>
        <v/>
      </c>
      <c r="I28" s="772">
        <f>SUMIFS(tbl_DCFC[C Montant € HT],tbl_DCFC[CW ORDER],I$1,tbl_DCFC[BU_Key],"INT")</f>
        <v/>
      </c>
      <c r="J28" s="772">
        <f>SUMIFS(tbl_DCFC[C Montant € HT],tbl_DCFC[CW ORDER],J$1,tbl_DCFC[BU_Key],"INT")</f>
        <v/>
      </c>
      <c r="K28" s="772">
        <f>SUMIFS(tbl_DCFC[C Montant € HT],tbl_DCFC[CW ORDER],K$1,tbl_DCFC[BU_Key],"INT")</f>
        <v/>
      </c>
      <c r="L28" s="772">
        <f>SUMIFS(tbl_DCFC[C Montant € HT],tbl_DCFC[CW ORDER],L$1,tbl_DCFC[BU_Key],"INT")</f>
        <v/>
      </c>
      <c r="M28" s="772">
        <f>SUMIFS(tbl_DCFC[C Montant € HT],tbl_DCFC[CW ORDER],M$1,tbl_DCFC[BU_Key],"INT")</f>
        <v/>
      </c>
      <c r="N28" s="772">
        <f>SUMIFS(tbl_DCFC[C Montant € HT],tbl_DCFC[CW ORDER],N$1,tbl_DCFC[BU_Key],"INT")</f>
        <v/>
      </c>
      <c r="O28" s="772">
        <f>SUMIFS(tbl_DCFC[C Montant € HT],tbl_DCFC[CW ORDER],O$1,tbl_DCFC[BU_Key],"INT")</f>
        <v/>
      </c>
      <c r="P28" s="772">
        <f>SUMIFS(tbl_DCFC[C Montant € HT],tbl_DCFC[CW ORDER],P$1,tbl_DCFC[BU_Key],"INT")</f>
        <v/>
      </c>
      <c r="Q28" s="772">
        <f>SUMIFS(tbl_DCFC[C Montant € HT],tbl_DCFC[CW ORDER],Q$1,tbl_DCFC[BU_Key],"INT")</f>
        <v/>
      </c>
      <c r="R28" s="772">
        <f>SUMIFS(tbl_DCFC[C Montant € HT],tbl_DCFC[CW ORDER],R$1,tbl_DCFC[BU_Key],"INT")</f>
        <v/>
      </c>
      <c r="S28" s="772">
        <f>SUMIFS(tbl_DCFC[C Montant € HT],tbl_DCFC[CW ORDER],S$1,tbl_DCFC[BU_Key],"INT")</f>
        <v/>
      </c>
      <c r="T28" s="772">
        <f>SUMIFS(tbl_DCFC[C Montant € HT],tbl_DCFC[CW ORDER],T$1,tbl_DCFC[BU_Key],"INT")</f>
        <v/>
      </c>
      <c r="U28" s="772">
        <f>SUMIFS(tbl_DCFC[C Montant € HT],tbl_DCFC[CW ORDER],U$1,tbl_DCFC[BU_Key],"INT")</f>
        <v/>
      </c>
      <c r="V28" s="772">
        <f>SUMIFS(tbl_DCFC[C Montant € HT],tbl_DCFC[CW ORDER],V$1,tbl_DCFC[BU_Key],"INT")</f>
        <v/>
      </c>
      <c r="W28" s="772">
        <f>SUMIFS(tbl_DCFC[C Montant € HT],tbl_DCFC[CW ORDER],W$1,tbl_DCFC[BU_Key],"INT")</f>
        <v/>
      </c>
      <c r="X28" s="772">
        <f>SUMIFS(tbl_DCFC[C Montant € HT],tbl_DCFC[CW ORDER],X$1,tbl_DCFC[BU_Key],"INT")</f>
        <v/>
      </c>
      <c r="Y28" s="772">
        <f>SUMIFS(tbl_DCFC[C Montant € HT],tbl_DCFC[CW ORDER],Y$1,tbl_DCFC[BU_Key],"INT")</f>
        <v/>
      </c>
      <c r="Z28" s="772">
        <f>SUMIFS(tbl_DCFC[C Montant € HT],tbl_DCFC[CW ORDER],Z$1,tbl_DCFC[BU_Key],"INT")</f>
        <v/>
      </c>
      <c r="AA28" s="772">
        <f>SUMIFS(tbl_DCFC[C Montant € HT],tbl_DCFC[CW ORDER],AA$1,tbl_DCFC[BU_Key],"INT")</f>
        <v/>
      </c>
      <c r="AB28" s="772">
        <f>SUMIFS(tbl_DCFC[C Montant € HT],tbl_DCFC[CW ORDER],AB$1,tbl_DCFC[BU_Key],"INT")</f>
        <v/>
      </c>
      <c r="AC28" s="772">
        <f>SUMIFS(tbl_DCFC[C Montant € HT],tbl_DCFC[CW ORDER],AC$1,tbl_DCFC[BU_Key],"INT")</f>
        <v/>
      </c>
      <c r="AD28" s="772">
        <f>SUMIFS(tbl_DCFC[C Montant € HT],tbl_DCFC[CW ORDER],AD$1,tbl_DCFC[BU_Key],"INT")</f>
        <v/>
      </c>
      <c r="AE28" s="772">
        <f>SUMIFS(tbl_DCFC[C Montant € HT],tbl_DCFC[CW ORDER],AE$1,tbl_DCFC[BU_Key],"INT")</f>
        <v/>
      </c>
      <c r="AF28" s="772">
        <f>SUMIFS(tbl_DCFC[C Montant € HT],tbl_DCFC[CW ORDER],AF$1,tbl_DCFC[BU_Key],"INT")</f>
        <v/>
      </c>
      <c r="AG28" s="772">
        <f>SUMIFS(tbl_DCFC[C Montant € HT],tbl_DCFC[CW ORDER],AG$1,tbl_DCFC[BU_Key],"INT")</f>
        <v/>
      </c>
      <c r="AH28" s="772">
        <f>SUMIFS(tbl_DCFC[C Montant € HT],tbl_DCFC[CW ORDER],AH$1,tbl_DCFC[BU_Key],"INT")</f>
        <v/>
      </c>
      <c r="AI28" s="772">
        <f>SUMIFS(tbl_DCFC[C Montant € HT],tbl_DCFC[CW ORDER],AI$1,tbl_DCFC[BU_Key],"INT")</f>
        <v/>
      </c>
      <c r="AJ28" s="772">
        <f>SUMIFS(tbl_DCFC[C Montant € HT],tbl_DCFC[CW ORDER],AJ$1,tbl_DCFC[BU_Key],"INT")</f>
        <v/>
      </c>
      <c r="AK28" s="772">
        <f>SUMIFS(tbl_DCFC[C Montant € HT],tbl_DCFC[CW ORDER],AK$1,tbl_DCFC[BU_Key],"INT")</f>
        <v/>
      </c>
      <c r="AL28" s="772">
        <f>SUMIFS(tbl_DCFC[C Montant € HT],tbl_DCFC[CW ORDER],AL$1,tbl_DCFC[BU_Key],"INT")</f>
        <v/>
      </c>
      <c r="AM28" s="772">
        <f>SUMIFS(tbl_DCFC[C Montant € HT],tbl_DCFC[CW ORDER],AM$1,tbl_DCFC[BU_Key],"INT")</f>
        <v/>
      </c>
      <c r="AN28" s="772">
        <f>SUMIFS(tbl_DCFC[C Montant € HT],tbl_DCFC[CW ORDER],AN$1,tbl_DCFC[BU_Key],"INT")</f>
        <v/>
      </c>
      <c r="AO28" s="772">
        <f>SUMIFS(tbl_DCFC[C Montant € HT],tbl_DCFC[CW ORDER],AO$1,tbl_DCFC[BU_Key],"INT")</f>
        <v/>
      </c>
      <c r="AP28" s="772">
        <f>SUMIFS(tbl_DCFC[C Montant € HT],tbl_DCFC[CW ORDER],AP$1,tbl_DCFC[BU_Key],"INT")</f>
        <v/>
      </c>
      <c r="AQ28" s="772">
        <f>SUMIFS(tbl_DCFC[C Montant € HT],tbl_DCFC[CW ORDER],AQ$1,tbl_DCFC[BU_Key],"INT")</f>
        <v/>
      </c>
      <c r="AR28" s="772">
        <f>SUMIFS(tbl_DCFC[C Montant € HT],tbl_DCFC[CW ORDER],AR$1,tbl_DCFC[BU_Key],"INT")</f>
        <v/>
      </c>
      <c r="AS28" s="772">
        <f>SUMIFS(tbl_DCFC[C Montant € HT],tbl_DCFC[CW ORDER],AS$1,tbl_DCFC[BU_Key],"INT")</f>
        <v/>
      </c>
      <c r="AT28" s="772">
        <f>SUMIFS(tbl_DCFC[C Montant € HT],tbl_DCFC[CW ORDER],AT$1,tbl_DCFC[BU_Key],"INT")</f>
        <v/>
      </c>
      <c r="AU28" s="772">
        <f>SUMIFS(tbl_DCFC[C Montant € HT],tbl_DCFC[CW ORDER],AU$1,tbl_DCFC[BU_Key],"INT")</f>
        <v/>
      </c>
      <c r="AV28" s="772">
        <f>SUMIFS(tbl_DCFC[C Montant € HT],tbl_DCFC[CW ORDER],AV$1,tbl_DCFC[BU_Key],"INT")</f>
        <v/>
      </c>
      <c r="AW28" s="772">
        <f>SUMIFS(tbl_DCFC[C Montant € HT],tbl_DCFC[CW ORDER],AW$1,tbl_DCFC[BU_Key],"INT")</f>
        <v/>
      </c>
      <c r="AX28" s="772">
        <f>SUMIFS(tbl_DCFC[C Montant € HT],tbl_DCFC[CW ORDER],AX$1,tbl_DCFC[BU_Key],"INT")</f>
        <v/>
      </c>
      <c r="AY28" s="772">
        <f>SUMIFS(tbl_DCFC[C Montant € HT],tbl_DCFC[CW ORDER],AY$1,tbl_DCFC[BU_Key],"INT")</f>
        <v/>
      </c>
      <c r="AZ28" s="772">
        <f>SUMIFS(tbl_DCFC[C Montant € HT],tbl_DCFC[CW ORDER],AZ$1,tbl_DCFC[BU_Key],"INT")</f>
        <v/>
      </c>
      <c r="BA28" s="772">
        <f>SUMIFS(tbl_DCFC[C Montant € HT],tbl_DCFC[CW ORDER],BA$1,tbl_DCFC[BU_Key],"INT")</f>
        <v/>
      </c>
      <c r="BB28" s="772">
        <f>SUMIFS(tbl_DCFC[C Montant € HT],tbl_DCFC[CW ORDER],BB$1,tbl_DCFC[BU_Key],"INT")</f>
        <v/>
      </c>
    </row>
    <row r="29">
      <c r="B29" s="267" t="inlineStr">
        <is>
          <t>BU GSE OI YTD</t>
        </is>
      </c>
      <c r="C29" s="773">
        <f>C25</f>
        <v/>
      </c>
      <c r="D29" s="773">
        <f>C29+D25</f>
        <v/>
      </c>
      <c r="E29" s="773">
        <f>D29+E25</f>
        <v/>
      </c>
      <c r="F29" s="773">
        <f>E29+F25</f>
        <v/>
      </c>
      <c r="G29" s="773">
        <f>F29+G25</f>
        <v/>
      </c>
      <c r="H29" s="773">
        <f>G29+H25</f>
        <v/>
      </c>
      <c r="I29" s="773">
        <f>H29+I25</f>
        <v/>
      </c>
      <c r="J29" s="773">
        <f>I29+J25</f>
        <v/>
      </c>
      <c r="K29" s="773">
        <f>J29+K25</f>
        <v/>
      </c>
      <c r="L29" s="773">
        <f>K29+L25</f>
        <v/>
      </c>
      <c r="M29" s="773">
        <f>L29+M25</f>
        <v/>
      </c>
      <c r="N29" s="773">
        <f>M29+N25</f>
        <v/>
      </c>
      <c r="O29" s="773">
        <f>N29+O25</f>
        <v/>
      </c>
      <c r="P29" s="773">
        <f>O29+P25</f>
        <v/>
      </c>
      <c r="Q29" s="773">
        <f>P29+Q25</f>
        <v/>
      </c>
      <c r="R29" s="773">
        <f>Q29+R25</f>
        <v/>
      </c>
      <c r="S29" s="773">
        <f>R29+S25</f>
        <v/>
      </c>
      <c r="T29" s="773">
        <f>S29+T25</f>
        <v/>
      </c>
      <c r="U29" s="773">
        <f>T29+U25</f>
        <v/>
      </c>
      <c r="V29" s="773">
        <f>U29+V25</f>
        <v/>
      </c>
      <c r="W29" s="773">
        <f>V29+W25</f>
        <v/>
      </c>
      <c r="X29" s="773">
        <f>W29+X25</f>
        <v/>
      </c>
      <c r="Y29" s="773">
        <f>X29+Y25</f>
        <v/>
      </c>
      <c r="Z29" s="773">
        <f>Y29+Z25</f>
        <v/>
      </c>
      <c r="AA29" s="773">
        <f>Z29+AA25</f>
        <v/>
      </c>
      <c r="AB29" s="773">
        <f>AA29+AB25</f>
        <v/>
      </c>
      <c r="AC29" s="773">
        <f>AB29+AC25</f>
        <v/>
      </c>
      <c r="AD29" s="773">
        <f>AC29+AD25</f>
        <v/>
      </c>
      <c r="AE29" s="773">
        <f>AD29+AE25</f>
        <v/>
      </c>
      <c r="AF29" s="773">
        <f>AE29+AF25</f>
        <v/>
      </c>
      <c r="AG29" s="773">
        <f>AF29+AG25</f>
        <v/>
      </c>
      <c r="AH29" s="773">
        <f>AG29+AH25</f>
        <v/>
      </c>
      <c r="AI29" s="773">
        <f>AH29+AI25</f>
        <v/>
      </c>
      <c r="AJ29" s="773">
        <f>AI29+AJ25</f>
        <v/>
      </c>
      <c r="AK29" s="773">
        <f>AJ29+AK25</f>
        <v/>
      </c>
      <c r="AL29" s="773">
        <f>AK29+AL25</f>
        <v/>
      </c>
      <c r="AM29" s="773">
        <f>AL29+AM25</f>
        <v/>
      </c>
      <c r="AN29" s="773">
        <f>AM29+AN25</f>
        <v/>
      </c>
      <c r="AO29" s="773">
        <f>AN29+AO25</f>
        <v/>
      </c>
      <c r="AP29" s="773">
        <f>AO29+AP25</f>
        <v/>
      </c>
      <c r="AQ29" s="773">
        <f>AP29+AQ25</f>
        <v/>
      </c>
      <c r="AR29" s="773">
        <f>AQ29+AR25</f>
        <v/>
      </c>
      <c r="AS29" s="773">
        <f>AR29+AS25</f>
        <v/>
      </c>
      <c r="AT29" s="773">
        <f>AS29+AT25</f>
        <v/>
      </c>
      <c r="AU29" s="773">
        <f>AT29+AU25</f>
        <v/>
      </c>
      <c r="AV29" s="773">
        <f>AU29+AV25</f>
        <v/>
      </c>
      <c r="AW29" s="773">
        <f>AV29+AW25</f>
        <v/>
      </c>
      <c r="AX29" s="773">
        <f>AW29+AX25</f>
        <v/>
      </c>
      <c r="AY29" s="773">
        <f>AX29+AY25</f>
        <v/>
      </c>
      <c r="AZ29" s="773">
        <f>AY29+AZ25</f>
        <v/>
      </c>
      <c r="BA29" s="773">
        <f>AZ29+BA25</f>
        <v/>
      </c>
      <c r="BB29" s="773">
        <f>BA29+BB25</f>
        <v/>
      </c>
    </row>
    <row r="30">
      <c r="B30" s="267" t="inlineStr">
        <is>
          <t>BU Tooling OI YTD</t>
        </is>
      </c>
      <c r="C30" s="709">
        <f>C26</f>
        <v/>
      </c>
      <c r="D30" s="709">
        <f>C30+D26</f>
        <v/>
      </c>
      <c r="E30" s="709">
        <f>D30+E26</f>
        <v/>
      </c>
      <c r="F30" s="709">
        <f>E30+F26</f>
        <v/>
      </c>
      <c r="G30" s="709">
        <f>F30+G26</f>
        <v/>
      </c>
      <c r="H30" s="709">
        <f>G30+H26</f>
        <v/>
      </c>
      <c r="I30" s="709">
        <f>H30+I26</f>
        <v/>
      </c>
      <c r="J30" s="709">
        <f>I30+J26</f>
        <v/>
      </c>
      <c r="K30" s="709">
        <f>J30+K26</f>
        <v/>
      </c>
      <c r="L30" s="709">
        <f>K30+L26</f>
        <v/>
      </c>
      <c r="M30" s="709">
        <f>L30+M26</f>
        <v/>
      </c>
      <c r="N30" s="709">
        <f>M30+N26</f>
        <v/>
      </c>
      <c r="O30" s="709">
        <f>N30+O26</f>
        <v/>
      </c>
      <c r="P30" s="709">
        <f>O30+P26</f>
        <v/>
      </c>
      <c r="Q30" s="709">
        <f>P30+Q26</f>
        <v/>
      </c>
      <c r="R30" s="709">
        <f>Q30+R26</f>
        <v/>
      </c>
      <c r="S30" s="709">
        <f>R30+S26</f>
        <v/>
      </c>
      <c r="T30" s="709">
        <f>S30+T26</f>
        <v/>
      </c>
      <c r="U30" s="709">
        <f>T30+U26</f>
        <v/>
      </c>
      <c r="V30" s="709">
        <f>U30+V26</f>
        <v/>
      </c>
      <c r="W30" s="709">
        <f>V30+W26</f>
        <v/>
      </c>
      <c r="X30" s="709">
        <f>W30+X26</f>
        <v/>
      </c>
      <c r="Y30" s="709">
        <f>X30+Y26</f>
        <v/>
      </c>
      <c r="Z30" s="709">
        <f>Y30+Z26</f>
        <v/>
      </c>
      <c r="AA30" s="709">
        <f>Z30+AA26</f>
        <v/>
      </c>
      <c r="AB30" s="709">
        <f>AA30+AB26</f>
        <v/>
      </c>
      <c r="AC30" s="709">
        <f>AB30+AC26</f>
        <v/>
      </c>
      <c r="AD30" s="709">
        <f>AC30+AD26</f>
        <v/>
      </c>
      <c r="AE30" s="709">
        <f>AD30+AE26</f>
        <v/>
      </c>
      <c r="AF30" s="709">
        <f>AE30+AF26</f>
        <v/>
      </c>
      <c r="AG30" s="709">
        <f>AF30+AG26</f>
        <v/>
      </c>
      <c r="AH30" s="709">
        <f>AG30+AH26</f>
        <v/>
      </c>
      <c r="AI30" s="709">
        <f>AH30+AI26</f>
        <v/>
      </c>
      <c r="AJ30" s="709">
        <f>AI30+AJ26</f>
        <v/>
      </c>
      <c r="AK30" s="709">
        <f>AJ30+AK26</f>
        <v/>
      </c>
      <c r="AL30" s="709">
        <f>AK30+AL26</f>
        <v/>
      </c>
      <c r="AM30" s="709">
        <f>AL30+AM26</f>
        <v/>
      </c>
      <c r="AN30" s="709">
        <f>AM30+AN26</f>
        <v/>
      </c>
      <c r="AO30" s="709">
        <f>AN30+AO26</f>
        <v/>
      </c>
      <c r="AP30" s="709">
        <f>AO30+AP26</f>
        <v/>
      </c>
      <c r="AQ30" s="709">
        <f>AP30+AQ26</f>
        <v/>
      </c>
      <c r="AR30" s="709">
        <f>AQ30+AR26</f>
        <v/>
      </c>
      <c r="AS30" s="709">
        <f>AR30+AS26</f>
        <v/>
      </c>
      <c r="AT30" s="709">
        <f>AS30+AT26</f>
        <v/>
      </c>
      <c r="AU30" s="709">
        <f>AT30+AU26</f>
        <v/>
      </c>
      <c r="AV30" s="709">
        <f>AU30+AV26</f>
        <v/>
      </c>
      <c r="AW30" s="709">
        <f>AV30+AW26</f>
        <v/>
      </c>
      <c r="AX30" s="709">
        <f>AW30+AX26</f>
        <v/>
      </c>
      <c r="AY30" s="709">
        <f>AX30+AY26</f>
        <v/>
      </c>
      <c r="AZ30" s="709">
        <f>AY30+AZ26</f>
        <v/>
      </c>
      <c r="BA30" s="709">
        <f>AZ30+BA26</f>
        <v/>
      </c>
      <c r="BB30" s="709">
        <f>BA30+BB26</f>
        <v/>
      </c>
    </row>
    <row r="31">
      <c r="B31" s="267" t="inlineStr">
        <is>
          <t>BU Service OI YTD</t>
        </is>
      </c>
      <c r="C31" s="709">
        <f>C27</f>
        <v/>
      </c>
      <c r="D31" s="709">
        <f>C31+D27</f>
        <v/>
      </c>
      <c r="E31" s="709">
        <f>D31+E27</f>
        <v/>
      </c>
      <c r="F31" s="709">
        <f>E31+F27</f>
        <v/>
      </c>
      <c r="G31" s="709">
        <f>F31+G27</f>
        <v/>
      </c>
      <c r="H31" s="709">
        <f>G31+H27</f>
        <v/>
      </c>
      <c r="I31" s="709">
        <f>H31+I27</f>
        <v/>
      </c>
      <c r="J31" s="709">
        <f>I31+J27</f>
        <v/>
      </c>
      <c r="K31" s="709">
        <f>J31+K27</f>
        <v/>
      </c>
      <c r="L31" s="709">
        <f>K31+L27</f>
        <v/>
      </c>
      <c r="M31" s="709">
        <f>L31+M27</f>
        <v/>
      </c>
      <c r="N31" s="709">
        <f>M31+N27</f>
        <v/>
      </c>
      <c r="O31" s="709">
        <f>N31+O27</f>
        <v/>
      </c>
      <c r="P31" s="709">
        <f>O31+P27</f>
        <v/>
      </c>
      <c r="Q31" s="709">
        <f>P31+Q27</f>
        <v/>
      </c>
      <c r="R31" s="709">
        <f>Q31+R27</f>
        <v/>
      </c>
      <c r="S31" s="709">
        <f>R31+S27</f>
        <v/>
      </c>
      <c r="T31" s="709">
        <f>S31+T27</f>
        <v/>
      </c>
      <c r="U31" s="709">
        <f>T31+U27</f>
        <v/>
      </c>
      <c r="V31" s="709">
        <f>U31+V27</f>
        <v/>
      </c>
      <c r="W31" s="709">
        <f>V31+W27</f>
        <v/>
      </c>
      <c r="X31" s="709">
        <f>W31+X27</f>
        <v/>
      </c>
      <c r="Y31" s="709">
        <f>X31+Y27</f>
        <v/>
      </c>
      <c r="Z31" s="709">
        <f>Y31+Z27</f>
        <v/>
      </c>
      <c r="AA31" s="709">
        <f>Z31+AA27</f>
        <v/>
      </c>
      <c r="AB31" s="709">
        <f>AA31+AB27</f>
        <v/>
      </c>
      <c r="AC31" s="709">
        <f>AB31+AC27</f>
        <v/>
      </c>
      <c r="AD31" s="709">
        <f>AC31+AD27</f>
        <v/>
      </c>
      <c r="AE31" s="709">
        <f>AD31+AE27</f>
        <v/>
      </c>
      <c r="AF31" s="709">
        <f>AE31+AF27</f>
        <v/>
      </c>
      <c r="AG31" s="709">
        <f>AF31+AG27</f>
        <v/>
      </c>
      <c r="AH31" s="709">
        <f>AG31+AH27</f>
        <v/>
      </c>
      <c r="AI31" s="709">
        <f>AH31+AI27</f>
        <v/>
      </c>
      <c r="AJ31" s="709">
        <f>AI31+AJ27</f>
        <v/>
      </c>
      <c r="AK31" s="709">
        <f>AJ31+AK27</f>
        <v/>
      </c>
      <c r="AL31" s="709">
        <f>AK31+AL27</f>
        <v/>
      </c>
      <c r="AM31" s="709">
        <f>AL31+AM27</f>
        <v/>
      </c>
      <c r="AN31" s="709">
        <f>AM31+AN27</f>
        <v/>
      </c>
      <c r="AO31" s="709">
        <f>AN31+AO27</f>
        <v/>
      </c>
      <c r="AP31" s="709">
        <f>AO31+AP27</f>
        <v/>
      </c>
      <c r="AQ31" s="709">
        <f>AP31+AQ27</f>
        <v/>
      </c>
      <c r="AR31" s="709">
        <f>AQ31+AR27</f>
        <v/>
      </c>
      <c r="AS31" s="709">
        <f>AR31+AS27</f>
        <v/>
      </c>
      <c r="AT31" s="709">
        <f>AS31+AT27</f>
        <v/>
      </c>
      <c r="AU31" s="709">
        <f>AT31+AU27</f>
        <v/>
      </c>
      <c r="AV31" s="709">
        <f>AU31+AV27</f>
        <v/>
      </c>
      <c r="AW31" s="709">
        <f>AV31+AW27</f>
        <v/>
      </c>
      <c r="AX31" s="709">
        <f>AW31+AX27</f>
        <v/>
      </c>
      <c r="AY31" s="709">
        <f>AX31+AY27</f>
        <v/>
      </c>
      <c r="AZ31" s="709">
        <f>AY31+AZ27</f>
        <v/>
      </c>
      <c r="BA31" s="709">
        <f>AZ31+BA27</f>
        <v/>
      </c>
      <c r="BB31" s="709">
        <f>BA31+BB27</f>
        <v/>
      </c>
    </row>
    <row r="32">
      <c r="B32" s="267" t="inlineStr">
        <is>
          <t>Intercompany OI YTD</t>
        </is>
      </c>
      <c r="C32" s="774">
        <f>C28</f>
        <v/>
      </c>
      <c r="D32" s="774">
        <f>C32+D28</f>
        <v/>
      </c>
      <c r="E32" s="774">
        <f>D32+E28</f>
        <v/>
      </c>
      <c r="F32" s="774">
        <f>E32+F28</f>
        <v/>
      </c>
      <c r="G32" s="774">
        <f>F32+G28</f>
        <v/>
      </c>
      <c r="H32" s="774">
        <f>G32+H28</f>
        <v/>
      </c>
      <c r="I32" s="774">
        <f>H32+I28</f>
        <v/>
      </c>
      <c r="J32" s="774">
        <f>I32+J28</f>
        <v/>
      </c>
      <c r="K32" s="774">
        <f>J32+K28</f>
        <v/>
      </c>
      <c r="L32" s="774">
        <f>K32+L28</f>
        <v/>
      </c>
      <c r="M32" s="774">
        <f>L32+M28</f>
        <v/>
      </c>
      <c r="N32" s="774">
        <f>M32+N28</f>
        <v/>
      </c>
      <c r="O32" s="774">
        <f>N32+O28</f>
        <v/>
      </c>
      <c r="P32" s="774">
        <f>O32+P28</f>
        <v/>
      </c>
      <c r="Q32" s="774">
        <f>P32+Q28</f>
        <v/>
      </c>
      <c r="R32" s="774">
        <f>Q32+R28</f>
        <v/>
      </c>
      <c r="S32" s="774">
        <f>R32+S28</f>
        <v/>
      </c>
      <c r="T32" s="774">
        <f>S32+T28</f>
        <v/>
      </c>
      <c r="U32" s="774">
        <f>T32+U28</f>
        <v/>
      </c>
      <c r="V32" s="774">
        <f>U32+V28</f>
        <v/>
      </c>
      <c r="W32" s="774">
        <f>V32+W28</f>
        <v/>
      </c>
      <c r="X32" s="774">
        <f>W32+X28</f>
        <v/>
      </c>
      <c r="Y32" s="774">
        <f>X32+Y28</f>
        <v/>
      </c>
      <c r="Z32" s="774">
        <f>Y32+Z28</f>
        <v/>
      </c>
      <c r="AA32" s="774">
        <f>Z32+AA28</f>
        <v/>
      </c>
      <c r="AB32" s="774">
        <f>AA32+AB28</f>
        <v/>
      </c>
      <c r="AC32" s="774">
        <f>AB32+AC28</f>
        <v/>
      </c>
      <c r="AD32" s="774">
        <f>AC32+AD28</f>
        <v/>
      </c>
      <c r="AE32" s="774">
        <f>AD32+AE28</f>
        <v/>
      </c>
      <c r="AF32" s="774">
        <f>AE32+AF28</f>
        <v/>
      </c>
      <c r="AG32" s="774">
        <f>AF32+AG28</f>
        <v/>
      </c>
      <c r="AH32" s="774">
        <f>AG32+AH28</f>
        <v/>
      </c>
      <c r="AI32" s="774">
        <f>AH32+AI28</f>
        <v/>
      </c>
      <c r="AJ32" s="774">
        <f>AI32+AJ28</f>
        <v/>
      </c>
      <c r="AK32" s="774">
        <f>AJ32+AK28</f>
        <v/>
      </c>
      <c r="AL32" s="774">
        <f>AK32+AL28</f>
        <v/>
      </c>
      <c r="AM32" s="774">
        <f>AL32+AM28</f>
        <v/>
      </c>
      <c r="AN32" s="774">
        <f>AM32+AN28</f>
        <v/>
      </c>
      <c r="AO32" s="774">
        <f>AN32+AO28</f>
        <v/>
      </c>
      <c r="AP32" s="774">
        <f>AO32+AP28</f>
        <v/>
      </c>
      <c r="AQ32" s="774">
        <f>AP32+AQ28</f>
        <v/>
      </c>
      <c r="AR32" s="774">
        <f>AQ32+AR28</f>
        <v/>
      </c>
      <c r="AS32" s="774">
        <f>AR32+AS28</f>
        <v/>
      </c>
      <c r="AT32" s="774">
        <f>AS32+AT28</f>
        <v/>
      </c>
      <c r="AU32" s="774">
        <f>AT32+AU28</f>
        <v/>
      </c>
      <c r="AV32" s="774">
        <f>AU32+AV28</f>
        <v/>
      </c>
      <c r="AW32" s="774">
        <f>AV32+AW28</f>
        <v/>
      </c>
      <c r="AX32" s="774">
        <f>AW32+AX28</f>
        <v/>
      </c>
      <c r="AY32" s="774">
        <f>AX32+AY28</f>
        <v/>
      </c>
      <c r="AZ32" s="774">
        <f>AY32+AZ28</f>
        <v/>
      </c>
      <c r="BA32" s="774">
        <f>AZ32+BA28</f>
        <v/>
      </c>
      <c r="BB32" s="774">
        <f>BA32+BB28</f>
        <v/>
      </c>
    </row>
    <row r="36">
      <c r="B36" s="267" t="inlineStr">
        <is>
          <t>BU GSE REV.</t>
        </is>
      </c>
      <c r="C36" s="709">
        <f>SUMIFS(tbl_DCFC[F Montant HT],tbl_DCFC[CW REV],C$1,tbl_DCFC[BU_Key],"GSE")</f>
        <v/>
      </c>
      <c r="D36" s="709">
        <f>SUMIFS(tbl_DCFC[F Montant HT],tbl_DCFC[CW REV],D$1,tbl_DCFC[BU_Key],"GSE")</f>
        <v/>
      </c>
      <c r="E36" s="709">
        <f>SUMIFS(tbl_DCFC[F Montant HT],tbl_DCFC[CW REV],E$1,tbl_DCFC[BU_Key],"GSE")</f>
        <v/>
      </c>
      <c r="F36" s="709">
        <f>SUMIFS(tbl_DCFC[F Montant HT],tbl_DCFC[CW REV],F$1,tbl_DCFC[BU_Key],"GSE")</f>
        <v/>
      </c>
      <c r="G36" s="709">
        <f>SUMIFS(tbl_DCFC[F Montant HT],tbl_DCFC[CW REV],G$1,tbl_DCFC[BU_Key],"GSE")</f>
        <v/>
      </c>
      <c r="H36" s="709">
        <f>SUMIFS(tbl_DCFC[F Montant HT],tbl_DCFC[CW REV],H$1,tbl_DCFC[BU_Key],"GSE")</f>
        <v/>
      </c>
      <c r="I36" s="709">
        <f>SUMIFS(tbl_DCFC[F Montant HT],tbl_DCFC[CW REV],I$1,tbl_DCFC[BU_Key],"GSE")</f>
        <v/>
      </c>
      <c r="J36" s="709">
        <f>SUMIFS(tbl_DCFC[F Montant HT],tbl_DCFC[CW REV],J$1,tbl_DCFC[BU_Key],"GSE")</f>
        <v/>
      </c>
      <c r="K36" s="709">
        <f>SUMIFS(tbl_DCFC[F Montant HT],tbl_DCFC[CW REV],K$1,tbl_DCFC[BU_Key],"GSE")</f>
        <v/>
      </c>
      <c r="L36" s="709">
        <f>SUMIFS(tbl_DCFC[F Montant HT],tbl_DCFC[CW REV],L$1,tbl_DCFC[BU_Key],"GSE")</f>
        <v/>
      </c>
      <c r="M36" s="709">
        <f>SUMIFS(tbl_DCFC[F Montant HT],tbl_DCFC[CW REV],M$1,tbl_DCFC[BU_Key],"GSE")</f>
        <v/>
      </c>
      <c r="N36" s="709">
        <f>SUMIFS(tbl_DCFC[F Montant HT],tbl_DCFC[CW REV],N$1,tbl_DCFC[BU_Key],"GSE")</f>
        <v/>
      </c>
      <c r="O36" s="709">
        <f>SUMIFS(tbl_DCFC[F Montant HT],tbl_DCFC[CW REV],O$1,tbl_DCFC[BU_Key],"GSE")</f>
        <v/>
      </c>
      <c r="P36" s="709">
        <f>SUMIFS(tbl_DCFC[F Montant HT],tbl_DCFC[CW REV],P$1,tbl_DCFC[BU_Key],"GSE")</f>
        <v/>
      </c>
      <c r="Q36" s="709">
        <f>SUMIFS(tbl_DCFC[F Montant HT],tbl_DCFC[CW REV],Q$1,tbl_DCFC[BU_Key],"GSE")</f>
        <v/>
      </c>
      <c r="R36" s="709">
        <f>SUMIFS(tbl_DCFC[F Montant HT],tbl_DCFC[CW REV],R$1,tbl_DCFC[BU_Key],"GSE")</f>
        <v/>
      </c>
      <c r="S36" s="709">
        <f>SUMIFS(tbl_DCFC[F Montant HT],tbl_DCFC[CW REV],S$1,tbl_DCFC[BU_Key],"GSE")</f>
        <v/>
      </c>
      <c r="T36" s="709">
        <f>SUMIFS(tbl_DCFC[F Montant HT],tbl_DCFC[CW REV],T$1,tbl_DCFC[BU_Key],"GSE")</f>
        <v/>
      </c>
      <c r="U36" s="709">
        <f>SUMIFS(tbl_DCFC[F Montant HT],tbl_DCFC[CW REV],U$1,tbl_DCFC[BU_Key],"GSE")</f>
        <v/>
      </c>
      <c r="V36" s="709">
        <f>SUMIFS(tbl_DCFC[F Montant HT],tbl_DCFC[CW REV],V$1,tbl_DCFC[BU_Key],"GSE")</f>
        <v/>
      </c>
      <c r="W36" s="709">
        <f>SUMIFS(tbl_DCFC[F Montant HT],tbl_DCFC[CW REV],W$1,tbl_DCFC[BU_Key],"GSE")</f>
        <v/>
      </c>
      <c r="X36" s="709">
        <f>SUMIFS(tbl_DCFC[F Montant HT],tbl_DCFC[CW REV],X$1,tbl_DCFC[BU_Key],"GSE")</f>
        <v/>
      </c>
      <c r="Y36" s="709">
        <f>SUMIFS(tbl_DCFC[F Montant HT],tbl_DCFC[CW REV],Y$1,tbl_DCFC[BU_Key],"GSE")</f>
        <v/>
      </c>
      <c r="Z36" s="709">
        <f>SUMIFS(tbl_DCFC[F Montant HT],tbl_DCFC[CW REV],Z$1,tbl_DCFC[BU_Key],"GSE")</f>
        <v/>
      </c>
      <c r="AA36" s="709">
        <f>SUMIFS(tbl_DCFC[F Montant HT],tbl_DCFC[CW REV],AA$1,tbl_DCFC[BU_Key],"GSE")</f>
        <v/>
      </c>
      <c r="AB36" s="709">
        <f>SUMIFS(tbl_DCFC[F Montant HT],tbl_DCFC[CW REV],AB$1,tbl_DCFC[BU_Key],"GSE")</f>
        <v/>
      </c>
      <c r="AC36" s="709">
        <f>SUMIFS(tbl_DCFC[F Montant HT],tbl_DCFC[CW REV],AC$1,tbl_DCFC[BU_Key],"GSE")</f>
        <v/>
      </c>
      <c r="AD36" s="709">
        <f>SUMIFS(tbl_DCFC[F Montant HT],tbl_DCFC[CW REV],AD$1,tbl_DCFC[BU_Key],"GSE")</f>
        <v/>
      </c>
      <c r="AE36" s="709">
        <f>SUMIFS(tbl_DCFC[F Montant HT],tbl_DCFC[CW REV],AE$1,tbl_DCFC[BU_Key],"GSE")</f>
        <v/>
      </c>
      <c r="AF36" s="709">
        <f>SUMIFS(tbl_DCFC[F Montant HT],tbl_DCFC[CW REV],AF$1,tbl_DCFC[BU_Key],"GSE")</f>
        <v/>
      </c>
      <c r="AG36" s="709">
        <f>SUMIFS(tbl_DCFC[F Montant HT],tbl_DCFC[CW REV],AG$1,tbl_DCFC[BU_Key],"GSE")</f>
        <v/>
      </c>
      <c r="AH36" s="709">
        <f>SUMIFS(tbl_DCFC[F Montant HT],tbl_DCFC[CW REV],AH$1,tbl_DCFC[BU_Key],"GSE")</f>
        <v/>
      </c>
      <c r="AI36" s="709">
        <f>SUMIFS(tbl_DCFC[F Montant HT],tbl_DCFC[CW REV],AI$1,tbl_DCFC[BU_Key],"GSE")</f>
        <v/>
      </c>
      <c r="AJ36" s="709">
        <f>SUMIFS(tbl_DCFC[F Montant HT],tbl_DCFC[CW REV],AJ$1,tbl_DCFC[BU_Key],"GSE")</f>
        <v/>
      </c>
      <c r="AK36" s="709">
        <f>SUMIFS(tbl_DCFC[F Montant HT],tbl_DCFC[CW REV],AK$1,tbl_DCFC[BU_Key],"GSE")</f>
        <v/>
      </c>
      <c r="AL36" s="709">
        <f>SUMIFS(tbl_DCFC[F Montant HT],tbl_DCFC[CW REV],AL$1,tbl_DCFC[BU_Key],"GSE")</f>
        <v/>
      </c>
      <c r="AM36" s="709">
        <f>SUMIFS(tbl_DCFC[F Montant HT],tbl_DCFC[CW REV],AM$1,tbl_DCFC[BU_Key],"GSE")</f>
        <v/>
      </c>
      <c r="AN36" s="709">
        <f>SUMIFS(tbl_DCFC[F Montant HT],tbl_DCFC[CW REV],AN$1,tbl_DCFC[BU_Key],"GSE")</f>
        <v/>
      </c>
      <c r="AO36" s="709">
        <f>SUMIFS(tbl_DCFC[F Montant HT],tbl_DCFC[CW REV],AO$1,tbl_DCFC[BU_Key],"GSE")</f>
        <v/>
      </c>
      <c r="AP36" s="709">
        <f>SUMIFS(tbl_DCFC[F Montant HT],tbl_DCFC[CW REV],AP$1,tbl_DCFC[BU_Key],"GSE")</f>
        <v/>
      </c>
      <c r="AQ36" s="709">
        <f>SUMIFS(tbl_DCFC[F Montant HT],tbl_DCFC[CW REV],AQ$1,tbl_DCFC[BU_Key],"GSE")</f>
        <v/>
      </c>
      <c r="AR36" s="709">
        <f>SUMIFS(tbl_DCFC[F Montant HT],tbl_DCFC[CW REV],AR$1,tbl_DCFC[BU_Key],"GSE")</f>
        <v/>
      </c>
      <c r="AS36" s="709">
        <f>SUMIFS(tbl_DCFC[F Montant HT],tbl_DCFC[CW REV],AS$1,tbl_DCFC[BU_Key],"GSE")</f>
        <v/>
      </c>
      <c r="AT36" s="709">
        <f>SUMIFS(tbl_DCFC[F Montant HT],tbl_DCFC[CW REV],AT$1,tbl_DCFC[BU_Key],"GSE")</f>
        <v/>
      </c>
      <c r="AU36" s="709">
        <f>SUMIFS(tbl_DCFC[F Montant HT],tbl_DCFC[CW REV],AU$1,tbl_DCFC[BU_Key],"GSE")</f>
        <v/>
      </c>
      <c r="AV36" s="709">
        <f>SUMIFS(tbl_DCFC[F Montant HT],tbl_DCFC[CW REV],AV$1,tbl_DCFC[BU_Key],"GSE")</f>
        <v/>
      </c>
      <c r="AW36" s="709">
        <f>SUMIFS(tbl_DCFC[F Montant HT],tbl_DCFC[CW REV],AW$1,tbl_DCFC[BU_Key],"GSE")</f>
        <v/>
      </c>
      <c r="AX36" s="709">
        <f>SUMIFS(tbl_DCFC[F Montant HT],tbl_DCFC[CW REV],AX$1,tbl_DCFC[BU_Key],"GSE")</f>
        <v/>
      </c>
      <c r="AY36" s="709">
        <f>SUMIFS(tbl_DCFC[F Montant HT],tbl_DCFC[CW REV],AY$1,tbl_DCFC[BU_Key],"GSE")</f>
        <v/>
      </c>
      <c r="AZ36" s="709">
        <f>SUMIFS(tbl_DCFC[F Montant HT],tbl_DCFC[CW REV],AZ$1,tbl_DCFC[BU_Key],"GSE")</f>
        <v/>
      </c>
      <c r="BA36" s="709">
        <f>SUMIFS(tbl_DCFC[F Montant HT],tbl_DCFC[CW REV],BA$1,tbl_DCFC[BU_Key],"GSE")</f>
        <v/>
      </c>
      <c r="BB36" s="709">
        <f>SUMIFS(tbl_DCFC[F Montant HT],tbl_DCFC[CW REV],BB$1,tbl_DCFC[BU_Key],"GSE")</f>
        <v/>
      </c>
    </row>
    <row r="37">
      <c r="B37" s="267" t="inlineStr">
        <is>
          <t>BU Tooling REV.</t>
        </is>
      </c>
      <c r="C37" s="709">
        <f>SUMIFS(tbl_DCFC[F Montant HT],tbl_DCFC[CW REV],C$1,tbl_DCFC[BU_Key],"TOO")</f>
        <v/>
      </c>
      <c r="D37" s="709">
        <f>SUMIFS(tbl_DCFC[F Montant HT],tbl_DCFC[CW REV],D$1,tbl_DCFC[BU_Key],"TOO")</f>
        <v/>
      </c>
      <c r="E37" s="709">
        <f>SUMIFS(tbl_DCFC[F Montant HT],tbl_DCFC[CW REV],E$1,tbl_DCFC[BU_Key],"TOO")</f>
        <v/>
      </c>
      <c r="F37" s="709">
        <f>SUMIFS(tbl_DCFC[F Montant HT],tbl_DCFC[CW REV],F$1,tbl_DCFC[BU_Key],"TOO")</f>
        <v/>
      </c>
      <c r="G37" s="709">
        <f>SUMIFS(tbl_DCFC[F Montant HT],tbl_DCFC[CW REV],G$1,tbl_DCFC[BU_Key],"TOO")</f>
        <v/>
      </c>
      <c r="H37" s="709">
        <f>SUMIFS(tbl_DCFC[F Montant HT],tbl_DCFC[CW REV],H$1,tbl_DCFC[BU_Key],"TOO")</f>
        <v/>
      </c>
      <c r="I37" s="709">
        <f>SUMIFS(tbl_DCFC[F Montant HT],tbl_DCFC[CW REV],I$1,tbl_DCFC[BU_Key],"TOO")</f>
        <v/>
      </c>
      <c r="J37" s="709">
        <f>SUMIFS(tbl_DCFC[F Montant HT],tbl_DCFC[CW REV],J$1,tbl_DCFC[BU_Key],"TOO")</f>
        <v/>
      </c>
      <c r="K37" s="709">
        <f>SUMIFS(tbl_DCFC[F Montant HT],tbl_DCFC[CW REV],K$1,tbl_DCFC[BU_Key],"TOO")</f>
        <v/>
      </c>
      <c r="L37" s="709">
        <f>SUMIFS(tbl_DCFC[F Montant HT],tbl_DCFC[CW REV],L$1,tbl_DCFC[BU_Key],"TOO")</f>
        <v/>
      </c>
      <c r="M37" s="709">
        <f>SUMIFS(tbl_DCFC[F Montant HT],tbl_DCFC[CW REV],M$1,tbl_DCFC[BU_Key],"TOO")</f>
        <v/>
      </c>
      <c r="N37" s="709">
        <f>SUMIFS(tbl_DCFC[F Montant HT],tbl_DCFC[CW REV],N$1,tbl_DCFC[BU_Key],"TOO")</f>
        <v/>
      </c>
      <c r="O37" s="709">
        <f>SUMIFS(tbl_DCFC[F Montant HT],tbl_DCFC[CW REV],O$1,tbl_DCFC[BU_Key],"TOO")</f>
        <v/>
      </c>
      <c r="P37" s="709">
        <f>SUMIFS(tbl_DCFC[F Montant HT],tbl_DCFC[CW REV],P$1,tbl_DCFC[BU_Key],"TOO")</f>
        <v/>
      </c>
      <c r="Q37" s="709">
        <f>SUMIFS(tbl_DCFC[F Montant HT],tbl_DCFC[CW REV],Q$1,tbl_DCFC[BU_Key],"TOO")</f>
        <v/>
      </c>
      <c r="R37" s="709">
        <f>SUMIFS(tbl_DCFC[F Montant HT],tbl_DCFC[CW REV],R$1,tbl_DCFC[BU_Key],"TOO")</f>
        <v/>
      </c>
      <c r="S37" s="709">
        <f>SUMIFS(tbl_DCFC[F Montant HT],tbl_DCFC[CW REV],S$1,tbl_DCFC[BU_Key],"TOO")</f>
        <v/>
      </c>
      <c r="T37" s="709">
        <f>SUMIFS(tbl_DCFC[F Montant HT],tbl_DCFC[CW REV],T$1,tbl_DCFC[BU_Key],"TOO")</f>
        <v/>
      </c>
      <c r="U37" s="709">
        <f>SUMIFS(tbl_DCFC[F Montant HT],tbl_DCFC[CW REV],U$1,tbl_DCFC[BU_Key],"TOO")</f>
        <v/>
      </c>
      <c r="V37" s="709">
        <f>SUMIFS(tbl_DCFC[F Montant HT],tbl_DCFC[CW REV],V$1,tbl_DCFC[BU_Key],"TOO")</f>
        <v/>
      </c>
      <c r="W37" s="709">
        <f>SUMIFS(tbl_DCFC[F Montant HT],tbl_DCFC[CW REV],W$1,tbl_DCFC[BU_Key],"TOO")</f>
        <v/>
      </c>
      <c r="X37" s="709">
        <f>SUMIFS(tbl_DCFC[F Montant HT],tbl_DCFC[CW REV],X$1,tbl_DCFC[BU_Key],"TOO")</f>
        <v/>
      </c>
      <c r="Y37" s="709">
        <f>SUMIFS(tbl_DCFC[F Montant HT],tbl_DCFC[CW REV],Y$1,tbl_DCFC[BU_Key],"TOO")</f>
        <v/>
      </c>
      <c r="Z37" s="709">
        <f>SUMIFS(tbl_DCFC[F Montant HT],tbl_DCFC[CW REV],Z$1,tbl_DCFC[BU_Key],"TOO")</f>
        <v/>
      </c>
      <c r="AA37" s="709">
        <f>SUMIFS(tbl_DCFC[F Montant HT],tbl_DCFC[CW REV],AA$1,tbl_DCFC[BU_Key],"TOO")</f>
        <v/>
      </c>
      <c r="AB37" s="709">
        <f>SUMIFS(tbl_DCFC[F Montant HT],tbl_DCFC[CW REV],AB$1,tbl_DCFC[BU_Key],"TOO")</f>
        <v/>
      </c>
      <c r="AC37" s="709">
        <f>SUMIFS(tbl_DCFC[F Montant HT],tbl_DCFC[CW REV],AC$1,tbl_DCFC[BU_Key],"TOO")</f>
        <v/>
      </c>
      <c r="AD37" s="709">
        <f>SUMIFS(tbl_DCFC[F Montant HT],tbl_DCFC[CW REV],AD$1,tbl_DCFC[BU_Key],"TOO")</f>
        <v/>
      </c>
      <c r="AE37" s="709">
        <f>SUMIFS(tbl_DCFC[F Montant HT],tbl_DCFC[CW REV],AE$1,tbl_DCFC[BU_Key],"TOO")</f>
        <v/>
      </c>
      <c r="AF37" s="709">
        <f>SUMIFS(tbl_DCFC[F Montant HT],tbl_DCFC[CW REV],AF$1,tbl_DCFC[BU_Key],"TOO")</f>
        <v/>
      </c>
      <c r="AG37" s="709">
        <f>SUMIFS(tbl_DCFC[F Montant HT],tbl_DCFC[CW REV],AG$1,tbl_DCFC[BU_Key],"TOO")</f>
        <v/>
      </c>
      <c r="AH37" s="709">
        <f>SUMIFS(tbl_DCFC[F Montant HT],tbl_DCFC[CW REV],AH$1,tbl_DCFC[BU_Key],"TOO")</f>
        <v/>
      </c>
      <c r="AI37" s="709">
        <f>SUMIFS(tbl_DCFC[F Montant HT],tbl_DCFC[CW REV],AI$1,tbl_DCFC[BU_Key],"TOO")</f>
        <v/>
      </c>
      <c r="AJ37" s="709">
        <f>SUMIFS(tbl_DCFC[F Montant HT],tbl_DCFC[CW REV],AJ$1,tbl_DCFC[BU_Key],"TOO")</f>
        <v/>
      </c>
      <c r="AK37" s="709">
        <f>SUMIFS(tbl_DCFC[F Montant HT],tbl_DCFC[CW REV],AK$1,tbl_DCFC[BU_Key],"TOO")</f>
        <v/>
      </c>
      <c r="AL37" s="709">
        <f>SUMIFS(tbl_DCFC[F Montant HT],tbl_DCFC[CW REV],AL$1,tbl_DCFC[BU_Key],"TOO")</f>
        <v/>
      </c>
      <c r="AM37" s="709">
        <f>SUMIFS(tbl_DCFC[F Montant HT],tbl_DCFC[CW REV],AM$1,tbl_DCFC[BU_Key],"TOO")</f>
        <v/>
      </c>
      <c r="AN37" s="709">
        <f>SUMIFS(tbl_DCFC[F Montant HT],tbl_DCFC[CW REV],AN$1,tbl_DCFC[BU_Key],"TOO")</f>
        <v/>
      </c>
      <c r="AO37" s="709">
        <f>SUMIFS(tbl_DCFC[F Montant HT],tbl_DCFC[CW REV],AO$1,tbl_DCFC[BU_Key],"TOO")</f>
        <v/>
      </c>
      <c r="AP37" s="709">
        <f>SUMIFS(tbl_DCFC[F Montant HT],tbl_DCFC[CW REV],AP$1,tbl_DCFC[BU_Key],"TOO")</f>
        <v/>
      </c>
      <c r="AQ37" s="709">
        <f>SUMIFS(tbl_DCFC[F Montant HT],tbl_DCFC[CW REV],AQ$1,tbl_DCFC[BU_Key],"TOO")</f>
        <v/>
      </c>
      <c r="AR37" s="709">
        <f>SUMIFS(tbl_DCFC[F Montant HT],tbl_DCFC[CW REV],AR$1,tbl_DCFC[BU_Key],"TOO")</f>
        <v/>
      </c>
      <c r="AS37" s="709">
        <f>SUMIFS(tbl_DCFC[F Montant HT],tbl_DCFC[CW REV],AS$1,tbl_DCFC[BU_Key],"TOO")</f>
        <v/>
      </c>
      <c r="AT37" s="709">
        <f>SUMIFS(tbl_DCFC[F Montant HT],tbl_DCFC[CW REV],AT$1,tbl_DCFC[BU_Key],"TOO")</f>
        <v/>
      </c>
      <c r="AU37" s="709">
        <f>SUMIFS(tbl_DCFC[F Montant HT],tbl_DCFC[CW REV],AU$1,tbl_DCFC[BU_Key],"TOO")</f>
        <v/>
      </c>
      <c r="AV37" s="709">
        <f>SUMIFS(tbl_DCFC[F Montant HT],tbl_DCFC[CW REV],AV$1,tbl_DCFC[BU_Key],"TOO")</f>
        <v/>
      </c>
      <c r="AW37" s="709">
        <f>SUMIFS(tbl_DCFC[F Montant HT],tbl_DCFC[CW REV],AW$1,tbl_DCFC[BU_Key],"TOO")</f>
        <v/>
      </c>
      <c r="AX37" s="709">
        <f>SUMIFS(tbl_DCFC[F Montant HT],tbl_DCFC[CW REV],AX$1,tbl_DCFC[BU_Key],"TOO")</f>
        <v/>
      </c>
      <c r="AY37" s="709">
        <f>SUMIFS(tbl_DCFC[F Montant HT],tbl_DCFC[CW REV],AY$1,tbl_DCFC[BU_Key],"TOO")</f>
        <v/>
      </c>
      <c r="AZ37" s="709">
        <f>SUMIFS(tbl_DCFC[F Montant HT],tbl_DCFC[CW REV],AZ$1,tbl_DCFC[BU_Key],"TOO")</f>
        <v/>
      </c>
      <c r="BA37" s="709">
        <f>SUMIFS(tbl_DCFC[F Montant HT],tbl_DCFC[CW REV],BA$1,tbl_DCFC[BU_Key],"TOO")</f>
        <v/>
      </c>
      <c r="BB37" s="709">
        <f>SUMIFS(tbl_DCFC[F Montant HT],tbl_DCFC[CW REV],BB$1,tbl_DCFC[BU_Key],"TOO")</f>
        <v/>
      </c>
    </row>
    <row r="38">
      <c r="B38" s="267" t="inlineStr">
        <is>
          <t>BU Service REV.</t>
        </is>
      </c>
      <c r="C38" s="709">
        <f>SUMIFS(tbl_DCFC[F Montant HT],tbl_DCFC[CW REV],C$1,tbl_DCFC[BU_Key],"SER")</f>
        <v/>
      </c>
      <c r="D38" s="709">
        <f>SUMIFS(tbl_DCFC[F Montant HT],tbl_DCFC[CW REV],D$1,tbl_DCFC[BU_Key],"SER")</f>
        <v/>
      </c>
      <c r="E38" s="709">
        <f>SUMIFS(tbl_DCFC[F Montant HT],tbl_DCFC[CW REV],E$1,tbl_DCFC[BU_Key],"SER")</f>
        <v/>
      </c>
      <c r="F38" s="709">
        <f>SUMIFS(tbl_DCFC[F Montant HT],tbl_DCFC[CW REV],F$1,tbl_DCFC[BU_Key],"SER")</f>
        <v/>
      </c>
      <c r="G38" s="709">
        <f>SUMIFS(tbl_DCFC[F Montant HT],tbl_DCFC[CW REV],G$1,tbl_DCFC[BU_Key],"SER")</f>
        <v/>
      </c>
      <c r="H38" s="709">
        <f>SUMIFS(tbl_DCFC[F Montant HT],tbl_DCFC[CW REV],H$1,tbl_DCFC[BU_Key],"SER")</f>
        <v/>
      </c>
      <c r="I38" s="709">
        <f>SUMIFS(tbl_DCFC[F Montant HT],tbl_DCFC[CW REV],I$1,tbl_DCFC[BU_Key],"SER")</f>
        <v/>
      </c>
      <c r="J38" s="709">
        <f>SUMIFS(tbl_DCFC[F Montant HT],tbl_DCFC[CW REV],J$1,tbl_DCFC[BU_Key],"SER")</f>
        <v/>
      </c>
      <c r="K38" s="709">
        <f>SUMIFS(tbl_DCFC[F Montant HT],tbl_DCFC[CW REV],K$1,tbl_DCFC[BU_Key],"SER")</f>
        <v/>
      </c>
      <c r="L38" s="709">
        <f>SUMIFS(tbl_DCFC[F Montant HT],tbl_DCFC[CW REV],L$1,tbl_DCFC[BU_Key],"SER")</f>
        <v/>
      </c>
      <c r="M38" s="709">
        <f>SUMIFS(tbl_DCFC[F Montant HT],tbl_DCFC[CW REV],M$1,tbl_DCFC[BU_Key],"SER")</f>
        <v/>
      </c>
      <c r="N38" s="709">
        <f>SUMIFS(tbl_DCFC[F Montant HT],tbl_DCFC[CW REV],N$1,tbl_DCFC[BU_Key],"SER")</f>
        <v/>
      </c>
      <c r="O38" s="709">
        <f>SUMIFS(tbl_DCFC[F Montant HT],tbl_DCFC[CW REV],O$1,tbl_DCFC[BU_Key],"SER")</f>
        <v/>
      </c>
      <c r="P38" s="709">
        <f>SUMIFS(tbl_DCFC[F Montant HT],tbl_DCFC[CW REV],P$1,tbl_DCFC[BU_Key],"SER")</f>
        <v/>
      </c>
      <c r="Q38" s="709">
        <f>SUMIFS(tbl_DCFC[F Montant HT],tbl_DCFC[CW REV],Q$1,tbl_DCFC[BU_Key],"SER")</f>
        <v/>
      </c>
      <c r="R38" s="709">
        <f>SUMIFS(tbl_DCFC[F Montant HT],tbl_DCFC[CW REV],R$1,tbl_DCFC[BU_Key],"SER")</f>
        <v/>
      </c>
      <c r="S38" s="709">
        <f>SUMIFS(tbl_DCFC[F Montant HT],tbl_DCFC[CW REV],S$1,tbl_DCFC[BU_Key],"SER")</f>
        <v/>
      </c>
      <c r="T38" s="709">
        <f>SUMIFS(tbl_DCFC[F Montant HT],tbl_DCFC[CW REV],T$1,tbl_DCFC[BU_Key],"SER")</f>
        <v/>
      </c>
      <c r="U38" s="709">
        <f>SUMIFS(tbl_DCFC[F Montant HT],tbl_DCFC[CW REV],U$1,tbl_DCFC[BU_Key],"SER")</f>
        <v/>
      </c>
      <c r="V38" s="709">
        <f>SUMIFS(tbl_DCFC[F Montant HT],tbl_DCFC[CW REV],V$1,tbl_DCFC[BU_Key],"SER")</f>
        <v/>
      </c>
      <c r="W38" s="709">
        <f>SUMIFS(tbl_DCFC[F Montant HT],tbl_DCFC[CW REV],W$1,tbl_DCFC[BU_Key],"SER")</f>
        <v/>
      </c>
      <c r="X38" s="709">
        <f>SUMIFS(tbl_DCFC[F Montant HT],tbl_DCFC[CW REV],X$1,tbl_DCFC[BU_Key],"SER")</f>
        <v/>
      </c>
      <c r="Y38" s="709">
        <f>SUMIFS(tbl_DCFC[F Montant HT],tbl_DCFC[CW REV],Y$1,tbl_DCFC[BU_Key],"SER")</f>
        <v/>
      </c>
      <c r="Z38" s="709">
        <f>SUMIFS(tbl_DCFC[F Montant HT],tbl_DCFC[CW REV],Z$1,tbl_DCFC[BU_Key],"SER")</f>
        <v/>
      </c>
      <c r="AA38" s="709">
        <f>SUMIFS(tbl_DCFC[F Montant HT],tbl_DCFC[CW REV],AA$1,tbl_DCFC[BU_Key],"SER")</f>
        <v/>
      </c>
      <c r="AB38" s="709">
        <f>SUMIFS(tbl_DCFC[F Montant HT],tbl_DCFC[CW REV],AB$1,tbl_DCFC[BU_Key],"SER")</f>
        <v/>
      </c>
      <c r="AC38" s="709">
        <f>SUMIFS(tbl_DCFC[F Montant HT],tbl_DCFC[CW REV],AC$1,tbl_DCFC[BU_Key],"SER")</f>
        <v/>
      </c>
      <c r="AD38" s="709">
        <f>SUMIFS(tbl_DCFC[F Montant HT],tbl_DCFC[CW REV],AD$1,tbl_DCFC[BU_Key],"SER")</f>
        <v/>
      </c>
      <c r="AE38" s="709">
        <f>SUMIFS(tbl_DCFC[F Montant HT],tbl_DCFC[CW REV],AE$1,tbl_DCFC[BU_Key],"SER")</f>
        <v/>
      </c>
      <c r="AF38" s="709">
        <f>SUMIFS(tbl_DCFC[F Montant HT],tbl_DCFC[CW REV],AF$1,tbl_DCFC[BU_Key],"SER")</f>
        <v/>
      </c>
      <c r="AG38" s="709">
        <f>SUMIFS(tbl_DCFC[F Montant HT],tbl_DCFC[CW REV],AG$1,tbl_DCFC[BU_Key],"SER")</f>
        <v/>
      </c>
      <c r="AH38" s="709">
        <f>SUMIFS(tbl_DCFC[F Montant HT],tbl_DCFC[CW REV],AH$1,tbl_DCFC[BU_Key],"SER")</f>
        <v/>
      </c>
      <c r="AI38" s="709">
        <f>SUMIFS(tbl_DCFC[F Montant HT],tbl_DCFC[CW REV],AI$1,tbl_DCFC[BU_Key],"SER")</f>
        <v/>
      </c>
      <c r="AJ38" s="709">
        <f>SUMIFS(tbl_DCFC[F Montant HT],tbl_DCFC[CW REV],AJ$1,tbl_DCFC[BU_Key],"SER")</f>
        <v/>
      </c>
      <c r="AK38" s="709">
        <f>SUMIFS(tbl_DCFC[F Montant HT],tbl_DCFC[CW REV],AK$1,tbl_DCFC[BU_Key],"SER")</f>
        <v/>
      </c>
      <c r="AL38" s="709">
        <f>SUMIFS(tbl_DCFC[F Montant HT],tbl_DCFC[CW REV],AL$1,tbl_DCFC[BU_Key],"SER")</f>
        <v/>
      </c>
      <c r="AM38" s="709">
        <f>SUMIFS(tbl_DCFC[F Montant HT],tbl_DCFC[CW REV],AM$1,tbl_DCFC[BU_Key],"SER")</f>
        <v/>
      </c>
      <c r="AN38" s="709">
        <f>SUMIFS(tbl_DCFC[F Montant HT],tbl_DCFC[CW REV],AN$1,tbl_DCFC[BU_Key],"SER")</f>
        <v/>
      </c>
      <c r="AO38" s="709">
        <f>SUMIFS(tbl_DCFC[F Montant HT],tbl_DCFC[CW REV],AO$1,tbl_DCFC[BU_Key],"SER")</f>
        <v/>
      </c>
      <c r="AP38" s="709">
        <f>SUMIFS(tbl_DCFC[F Montant HT],tbl_DCFC[CW REV],AP$1,tbl_DCFC[BU_Key],"SER")</f>
        <v/>
      </c>
      <c r="AQ38" s="709">
        <f>SUMIFS(tbl_DCFC[F Montant HT],tbl_DCFC[CW REV],AQ$1,tbl_DCFC[BU_Key],"SER")</f>
        <v/>
      </c>
      <c r="AR38" s="709">
        <f>SUMIFS(tbl_DCFC[F Montant HT],tbl_DCFC[CW REV],AR$1,tbl_DCFC[BU_Key],"SER")</f>
        <v/>
      </c>
      <c r="AS38" s="709">
        <f>SUMIFS(tbl_DCFC[F Montant HT],tbl_DCFC[CW REV],AS$1,tbl_DCFC[BU_Key],"SER")</f>
        <v/>
      </c>
      <c r="AT38" s="709">
        <f>SUMIFS(tbl_DCFC[F Montant HT],tbl_DCFC[CW REV],AT$1,tbl_DCFC[BU_Key],"SER")</f>
        <v/>
      </c>
      <c r="AU38" s="709">
        <f>SUMIFS(tbl_DCFC[F Montant HT],tbl_DCFC[CW REV],AU$1,tbl_DCFC[BU_Key],"SER")</f>
        <v/>
      </c>
      <c r="AV38" s="709">
        <f>SUMIFS(tbl_DCFC[F Montant HT],tbl_DCFC[CW REV],AV$1,tbl_DCFC[BU_Key],"SER")</f>
        <v/>
      </c>
      <c r="AW38" s="709">
        <f>SUMIFS(tbl_DCFC[F Montant HT],tbl_DCFC[CW REV],AW$1,tbl_DCFC[BU_Key],"SER")</f>
        <v/>
      </c>
      <c r="AX38" s="709">
        <f>SUMIFS(tbl_DCFC[F Montant HT],tbl_DCFC[CW REV],AX$1,tbl_DCFC[BU_Key],"SER")</f>
        <v/>
      </c>
      <c r="AY38" s="709">
        <f>SUMIFS(tbl_DCFC[F Montant HT],tbl_DCFC[CW REV],AY$1,tbl_DCFC[BU_Key],"SER")</f>
        <v/>
      </c>
      <c r="AZ38" s="709">
        <f>SUMIFS(tbl_DCFC[F Montant HT],tbl_DCFC[CW REV],AZ$1,tbl_DCFC[BU_Key],"SER")</f>
        <v/>
      </c>
      <c r="BA38" s="709">
        <f>SUMIFS(tbl_DCFC[F Montant HT],tbl_DCFC[CW REV],BA$1,tbl_DCFC[BU_Key],"SER")</f>
        <v/>
      </c>
      <c r="BB38" s="709">
        <f>SUMIFS(tbl_DCFC[F Montant HT],tbl_DCFC[CW REV],BB$1,tbl_DCFC[BU_Key],"SER")</f>
        <v/>
      </c>
    </row>
    <row r="39">
      <c r="B39" s="267" t="inlineStr">
        <is>
          <t>Intercompany</t>
        </is>
      </c>
      <c r="C39" s="772">
        <f>SUMIFS(tbl_DCFC[F Montant HT],tbl_DCFC[CW REV],C$1,tbl_DCFC[BU_Key],"INT")</f>
        <v/>
      </c>
      <c r="D39" s="772">
        <f>SUMIFS(tbl_DCFC[F Montant HT],tbl_DCFC[CW REV],D$1,tbl_DCFC[BU_Key],"INT")</f>
        <v/>
      </c>
      <c r="E39" s="772">
        <f>SUMIFS(tbl_DCFC[F Montant HT],tbl_DCFC[CW REV],E$1,tbl_DCFC[BU_Key],"INT")</f>
        <v/>
      </c>
      <c r="F39" s="772">
        <f>SUMIFS(tbl_DCFC[F Montant HT],tbl_DCFC[CW REV],F$1,tbl_DCFC[BU_Key],"INT")</f>
        <v/>
      </c>
      <c r="G39" s="772">
        <f>SUMIFS(tbl_DCFC[F Montant HT],tbl_DCFC[CW REV],G$1,tbl_DCFC[BU_Key],"INT")</f>
        <v/>
      </c>
      <c r="H39" s="772">
        <f>SUMIFS(tbl_DCFC[F Montant HT],tbl_DCFC[CW REV],H$1,tbl_DCFC[BU_Key],"INT")</f>
        <v/>
      </c>
      <c r="I39" s="772">
        <f>SUMIFS(tbl_DCFC[F Montant HT],tbl_DCFC[CW REV],I$1,tbl_DCFC[BU_Key],"INT")</f>
        <v/>
      </c>
      <c r="J39" s="772">
        <f>SUMIFS(tbl_DCFC[F Montant HT],tbl_DCFC[CW REV],J$1,tbl_DCFC[BU_Key],"INT")</f>
        <v/>
      </c>
      <c r="K39" s="772">
        <f>SUMIFS(tbl_DCFC[F Montant HT],tbl_DCFC[CW REV],K$1,tbl_DCFC[BU_Key],"INT")</f>
        <v/>
      </c>
      <c r="L39" s="772">
        <f>SUMIFS(tbl_DCFC[F Montant HT],tbl_DCFC[CW REV],L$1,tbl_DCFC[BU_Key],"INT")</f>
        <v/>
      </c>
      <c r="M39" s="772">
        <f>SUMIFS(tbl_DCFC[F Montant HT],tbl_DCFC[CW REV],M$1,tbl_DCFC[BU_Key],"INT")</f>
        <v/>
      </c>
      <c r="N39" s="772">
        <f>SUMIFS(tbl_DCFC[F Montant HT],tbl_DCFC[CW REV],N$1,tbl_DCFC[BU_Key],"INT")</f>
        <v/>
      </c>
      <c r="O39" s="772">
        <f>SUMIFS(tbl_DCFC[F Montant HT],tbl_DCFC[CW REV],O$1,tbl_DCFC[BU_Key],"INT")</f>
        <v/>
      </c>
      <c r="P39" s="772">
        <f>SUMIFS(tbl_DCFC[F Montant HT],tbl_DCFC[CW REV],P$1,tbl_DCFC[BU_Key],"INT")</f>
        <v/>
      </c>
      <c r="Q39" s="772">
        <f>SUMIFS(tbl_DCFC[F Montant HT],tbl_DCFC[CW REV],Q$1,tbl_DCFC[BU_Key],"INT")</f>
        <v/>
      </c>
      <c r="R39" s="772">
        <f>SUMIFS(tbl_DCFC[F Montant HT],tbl_DCFC[CW REV],R$1,tbl_DCFC[BU_Key],"INT")</f>
        <v/>
      </c>
      <c r="S39" s="772">
        <f>SUMIFS(tbl_DCFC[F Montant HT],tbl_DCFC[CW REV],S$1,tbl_DCFC[BU_Key],"INT")</f>
        <v/>
      </c>
      <c r="T39" s="772">
        <f>SUMIFS(tbl_DCFC[F Montant HT],tbl_DCFC[CW REV],T$1,tbl_DCFC[BU_Key],"INT")</f>
        <v/>
      </c>
      <c r="U39" s="772">
        <f>SUMIFS(tbl_DCFC[F Montant HT],tbl_DCFC[CW REV],U$1,tbl_DCFC[BU_Key],"INT")</f>
        <v/>
      </c>
      <c r="V39" s="772">
        <f>SUMIFS(tbl_DCFC[F Montant HT],tbl_DCFC[CW REV],V$1,tbl_DCFC[BU_Key],"INT")</f>
        <v/>
      </c>
      <c r="W39" s="772">
        <f>SUMIFS(tbl_DCFC[F Montant HT],tbl_DCFC[CW REV],W$1,tbl_DCFC[BU_Key],"INT")</f>
        <v/>
      </c>
      <c r="X39" s="772">
        <f>SUMIFS(tbl_DCFC[F Montant HT],tbl_DCFC[CW REV],X$1,tbl_DCFC[BU_Key],"INT")</f>
        <v/>
      </c>
      <c r="Y39" s="772">
        <f>SUMIFS(tbl_DCFC[F Montant HT],tbl_DCFC[CW REV],Y$1,tbl_DCFC[BU_Key],"INT")</f>
        <v/>
      </c>
      <c r="Z39" s="772">
        <f>SUMIFS(tbl_DCFC[F Montant HT],tbl_DCFC[CW REV],Z$1,tbl_DCFC[BU_Key],"INT")</f>
        <v/>
      </c>
      <c r="AA39" s="772">
        <f>SUMIFS(tbl_DCFC[F Montant HT],tbl_DCFC[CW REV],AA$1,tbl_DCFC[BU_Key],"INT")</f>
        <v/>
      </c>
      <c r="AB39" s="772">
        <f>SUMIFS(tbl_DCFC[F Montant HT],tbl_DCFC[CW REV],AB$1,tbl_DCFC[BU_Key],"INT")</f>
        <v/>
      </c>
      <c r="AC39" s="772">
        <f>SUMIFS(tbl_DCFC[F Montant HT],tbl_DCFC[CW REV],AC$1,tbl_DCFC[BU_Key],"INT")</f>
        <v/>
      </c>
      <c r="AD39" s="772">
        <f>SUMIFS(tbl_DCFC[F Montant HT],tbl_DCFC[CW REV],AD$1,tbl_DCFC[BU_Key],"INT")</f>
        <v/>
      </c>
      <c r="AE39" s="772">
        <f>SUMIFS(tbl_DCFC[F Montant HT],tbl_DCFC[CW REV],AE$1,tbl_DCFC[BU_Key],"INT")</f>
        <v/>
      </c>
      <c r="AF39" s="772">
        <f>SUMIFS(tbl_DCFC[F Montant HT],tbl_DCFC[CW REV],AF$1,tbl_DCFC[BU_Key],"INT")</f>
        <v/>
      </c>
      <c r="AG39" s="772">
        <f>SUMIFS(tbl_DCFC[F Montant HT],tbl_DCFC[CW REV],AG$1,tbl_DCFC[BU_Key],"INT")</f>
        <v/>
      </c>
      <c r="AH39" s="772">
        <f>SUMIFS(tbl_DCFC[F Montant HT],tbl_DCFC[CW REV],AH$1,tbl_DCFC[BU_Key],"INT")</f>
        <v/>
      </c>
      <c r="AI39" s="772">
        <f>SUMIFS(tbl_DCFC[F Montant HT],tbl_DCFC[CW REV],AI$1,tbl_DCFC[BU_Key],"INT")</f>
        <v/>
      </c>
      <c r="AJ39" s="772">
        <f>SUMIFS(tbl_DCFC[F Montant HT],tbl_DCFC[CW REV],AJ$1,tbl_DCFC[BU_Key],"INT")</f>
        <v/>
      </c>
      <c r="AK39" s="772">
        <f>SUMIFS(tbl_DCFC[F Montant HT],tbl_DCFC[CW REV],AK$1,tbl_DCFC[BU_Key],"INT")</f>
        <v/>
      </c>
      <c r="AL39" s="772">
        <f>SUMIFS(tbl_DCFC[F Montant HT],tbl_DCFC[CW REV],AL$1,tbl_DCFC[BU_Key],"INT")</f>
        <v/>
      </c>
      <c r="AM39" s="772">
        <f>SUMIFS(tbl_DCFC[F Montant HT],tbl_DCFC[CW REV],AM$1,tbl_DCFC[BU_Key],"INT")</f>
        <v/>
      </c>
      <c r="AN39" s="772">
        <f>SUMIFS(tbl_DCFC[F Montant HT],tbl_DCFC[CW REV],AN$1,tbl_DCFC[BU_Key],"INT")</f>
        <v/>
      </c>
      <c r="AO39" s="772">
        <f>SUMIFS(tbl_DCFC[F Montant HT],tbl_DCFC[CW REV],AO$1,tbl_DCFC[BU_Key],"INT")</f>
        <v/>
      </c>
      <c r="AP39" s="772">
        <f>SUMIFS(tbl_DCFC[F Montant HT],tbl_DCFC[CW REV],AP$1,tbl_DCFC[BU_Key],"INT")</f>
        <v/>
      </c>
      <c r="AQ39" s="772">
        <f>SUMIFS(tbl_DCFC[F Montant HT],tbl_DCFC[CW REV],AQ$1,tbl_DCFC[BU_Key],"INT")</f>
        <v/>
      </c>
      <c r="AR39" s="772">
        <f>SUMIFS(tbl_DCFC[F Montant HT],tbl_DCFC[CW REV],AR$1,tbl_DCFC[BU_Key],"INT")</f>
        <v/>
      </c>
      <c r="AS39" s="772">
        <f>SUMIFS(tbl_DCFC[F Montant HT],tbl_DCFC[CW REV],AS$1,tbl_DCFC[BU_Key],"INT")</f>
        <v/>
      </c>
      <c r="AT39" s="772">
        <f>SUMIFS(tbl_DCFC[F Montant HT],tbl_DCFC[CW REV],AT$1,tbl_DCFC[BU_Key],"INT")</f>
        <v/>
      </c>
      <c r="AU39" s="772">
        <f>SUMIFS(tbl_DCFC[F Montant HT],tbl_DCFC[CW REV],AU$1,tbl_DCFC[BU_Key],"INT")</f>
        <v/>
      </c>
      <c r="AV39" s="772">
        <f>SUMIFS(tbl_DCFC[F Montant HT],tbl_DCFC[CW REV],AV$1,tbl_DCFC[BU_Key],"INT")</f>
        <v/>
      </c>
      <c r="AW39" s="772">
        <f>SUMIFS(tbl_DCFC[F Montant HT],tbl_DCFC[CW REV],AW$1,tbl_DCFC[BU_Key],"INT")</f>
        <v/>
      </c>
      <c r="AX39" s="772">
        <f>SUMIFS(tbl_DCFC[F Montant HT],tbl_DCFC[CW REV],AX$1,tbl_DCFC[BU_Key],"INT")</f>
        <v/>
      </c>
      <c r="AY39" s="772">
        <f>SUMIFS(tbl_DCFC[F Montant HT],tbl_DCFC[CW REV],AY$1,tbl_DCFC[BU_Key],"INT")</f>
        <v/>
      </c>
      <c r="AZ39" s="772">
        <f>SUMIFS(tbl_DCFC[F Montant HT],tbl_DCFC[CW REV],AZ$1,tbl_DCFC[BU_Key],"INT")</f>
        <v/>
      </c>
      <c r="BA39" s="772">
        <f>SUMIFS(tbl_DCFC[F Montant HT],tbl_DCFC[CW REV],BA$1,tbl_DCFC[BU_Key],"INT")</f>
        <v/>
      </c>
      <c r="BB39" s="772">
        <f>SUMIFS(tbl_DCFC[F Montant HT],tbl_DCFC[CW REV],BB$1,tbl_DCFC[BU_Key],"INT")</f>
        <v/>
      </c>
    </row>
    <row r="40">
      <c r="B40" s="267" t="inlineStr">
        <is>
          <t>BU GSE REV. YTD</t>
        </is>
      </c>
      <c r="C40" s="774">
        <f>C36</f>
        <v/>
      </c>
      <c r="D40" s="774">
        <f>C40+D36</f>
        <v/>
      </c>
      <c r="E40" s="774">
        <f>D40+E36</f>
        <v/>
      </c>
      <c r="F40" s="774">
        <f>E40+F36</f>
        <v/>
      </c>
      <c r="G40" s="774">
        <f>F40+G36</f>
        <v/>
      </c>
      <c r="H40" s="774">
        <f>G40+H36</f>
        <v/>
      </c>
      <c r="I40" s="774">
        <f>H40+I36</f>
        <v/>
      </c>
      <c r="J40" s="774">
        <f>I40+J36</f>
        <v/>
      </c>
      <c r="K40" s="774">
        <f>J40+K36</f>
        <v/>
      </c>
      <c r="L40" s="774">
        <f>K40+L36</f>
        <v/>
      </c>
      <c r="M40" s="774">
        <f>L40+M36</f>
        <v/>
      </c>
      <c r="N40" s="774">
        <f>M40+N36</f>
        <v/>
      </c>
      <c r="O40" s="774">
        <f>N40+O36</f>
        <v/>
      </c>
      <c r="P40" s="774">
        <f>O40+P36</f>
        <v/>
      </c>
      <c r="Q40" s="774">
        <f>P40+Q36</f>
        <v/>
      </c>
      <c r="R40" s="774">
        <f>Q40+R36</f>
        <v/>
      </c>
      <c r="S40" s="774">
        <f>R40+S36</f>
        <v/>
      </c>
      <c r="T40" s="774">
        <f>S40+T36</f>
        <v/>
      </c>
      <c r="U40" s="774">
        <f>T40+U36</f>
        <v/>
      </c>
      <c r="V40" s="774">
        <f>U40+V36</f>
        <v/>
      </c>
      <c r="W40" s="774">
        <f>V40+W36</f>
        <v/>
      </c>
      <c r="X40" s="774">
        <f>W40+X36</f>
        <v/>
      </c>
      <c r="Y40" s="774">
        <f>X40+Y36</f>
        <v/>
      </c>
      <c r="Z40" s="774">
        <f>Y40+Z36</f>
        <v/>
      </c>
      <c r="AA40" s="774">
        <f>Z40+AA36</f>
        <v/>
      </c>
      <c r="AB40" s="774">
        <f>AA40+AB36</f>
        <v/>
      </c>
      <c r="AC40" s="774">
        <f>AB40+AC36</f>
        <v/>
      </c>
      <c r="AD40" s="774">
        <f>AC40+AD36</f>
        <v/>
      </c>
      <c r="AE40" s="774">
        <f>AD40+AE36</f>
        <v/>
      </c>
      <c r="AF40" s="774">
        <f>AE40+AF36</f>
        <v/>
      </c>
      <c r="AG40" s="774">
        <f>AF40+AG36</f>
        <v/>
      </c>
      <c r="AH40" s="774">
        <f>AG40+AH36</f>
        <v/>
      </c>
      <c r="AI40" s="774">
        <f>AH40+AI36</f>
        <v/>
      </c>
      <c r="AJ40" s="774">
        <f>AI40+AJ36</f>
        <v/>
      </c>
      <c r="AK40" s="774">
        <f>AJ40+AK36</f>
        <v/>
      </c>
      <c r="AL40" s="774">
        <f>AK40+AL36</f>
        <v/>
      </c>
      <c r="AM40" s="774">
        <f>AL40+AM36</f>
        <v/>
      </c>
      <c r="AN40" s="774">
        <f>AM40+AN36</f>
        <v/>
      </c>
      <c r="AO40" s="774">
        <f>AN40+AO36</f>
        <v/>
      </c>
      <c r="AP40" s="774">
        <f>AO40+AP36</f>
        <v/>
      </c>
      <c r="AQ40" s="774">
        <f>AP40+AQ36</f>
        <v/>
      </c>
      <c r="AR40" s="774">
        <f>AQ40+AR36</f>
        <v/>
      </c>
      <c r="AS40" s="774">
        <f>AR40+AS36</f>
        <v/>
      </c>
      <c r="AT40" s="774">
        <f>AS40+AT36</f>
        <v/>
      </c>
      <c r="AU40" s="774">
        <f>AT40+AU36</f>
        <v/>
      </c>
      <c r="AV40" s="774">
        <f>AU40+AV36</f>
        <v/>
      </c>
      <c r="AW40" s="774">
        <f>AV40+AW36</f>
        <v/>
      </c>
      <c r="AX40" s="774">
        <f>AW40+AX36</f>
        <v/>
      </c>
      <c r="AY40" s="774">
        <f>AX40+AY36</f>
        <v/>
      </c>
      <c r="AZ40" s="774">
        <f>AY40+AZ36</f>
        <v/>
      </c>
      <c r="BA40" s="774">
        <f>AZ40+BA36</f>
        <v/>
      </c>
      <c r="BB40" s="774">
        <f>BA40+BB36</f>
        <v/>
      </c>
    </row>
    <row r="41">
      <c r="B41" s="267" t="inlineStr">
        <is>
          <t>BU Tooling REV. YTD</t>
        </is>
      </c>
      <c r="C41" s="774">
        <f>C37</f>
        <v/>
      </c>
      <c r="D41" s="774">
        <f>C41+D37</f>
        <v/>
      </c>
      <c r="E41" s="774">
        <f>D41+E37</f>
        <v/>
      </c>
      <c r="F41" s="774">
        <f>E41+F37</f>
        <v/>
      </c>
      <c r="G41" s="774">
        <f>F41+G37</f>
        <v/>
      </c>
      <c r="H41" s="774">
        <f>G41+H37</f>
        <v/>
      </c>
      <c r="I41" s="774">
        <f>H41+I37</f>
        <v/>
      </c>
      <c r="J41" s="774">
        <f>I41+J37</f>
        <v/>
      </c>
      <c r="K41" s="774">
        <f>J41+K37</f>
        <v/>
      </c>
      <c r="L41" s="774">
        <f>K41+L37</f>
        <v/>
      </c>
      <c r="M41" s="774">
        <f>L41+M37</f>
        <v/>
      </c>
      <c r="N41" s="774">
        <f>M41+N37</f>
        <v/>
      </c>
      <c r="O41" s="774">
        <f>N41+O37</f>
        <v/>
      </c>
      <c r="P41" s="774">
        <f>O41+P37</f>
        <v/>
      </c>
      <c r="Q41" s="774">
        <f>P41+Q37</f>
        <v/>
      </c>
      <c r="R41" s="774">
        <f>Q41+R37</f>
        <v/>
      </c>
      <c r="S41" s="774">
        <f>R41+S37</f>
        <v/>
      </c>
      <c r="T41" s="774">
        <f>S41+T37</f>
        <v/>
      </c>
      <c r="U41" s="774">
        <f>T41+U37</f>
        <v/>
      </c>
      <c r="V41" s="774">
        <f>U41+V37</f>
        <v/>
      </c>
      <c r="W41" s="774">
        <f>V41+W37</f>
        <v/>
      </c>
      <c r="X41" s="774">
        <f>W41+X37</f>
        <v/>
      </c>
      <c r="Y41" s="774">
        <f>X41+Y37</f>
        <v/>
      </c>
      <c r="Z41" s="774">
        <f>Y41+Z37</f>
        <v/>
      </c>
      <c r="AA41" s="774">
        <f>Z41+AA37</f>
        <v/>
      </c>
      <c r="AB41" s="774">
        <f>AA41+AB37</f>
        <v/>
      </c>
      <c r="AC41" s="774">
        <f>AB41+AC37</f>
        <v/>
      </c>
      <c r="AD41" s="774">
        <f>AC41+AD37</f>
        <v/>
      </c>
      <c r="AE41" s="774">
        <f>AD41+AE37</f>
        <v/>
      </c>
      <c r="AF41" s="774">
        <f>AE41+AF37</f>
        <v/>
      </c>
      <c r="AG41" s="774">
        <f>AF41+AG37</f>
        <v/>
      </c>
      <c r="AH41" s="774">
        <f>AG41+AH37</f>
        <v/>
      </c>
      <c r="AI41" s="774">
        <f>AH41+AI37</f>
        <v/>
      </c>
      <c r="AJ41" s="774">
        <f>AI41+AJ37</f>
        <v/>
      </c>
      <c r="AK41" s="774">
        <f>AJ41+AK37</f>
        <v/>
      </c>
      <c r="AL41" s="774">
        <f>AK41+AL37</f>
        <v/>
      </c>
      <c r="AM41" s="774">
        <f>AL41+AM37</f>
        <v/>
      </c>
      <c r="AN41" s="774">
        <f>AM41+AN37</f>
        <v/>
      </c>
      <c r="AO41" s="774">
        <f>AN41+AO37</f>
        <v/>
      </c>
      <c r="AP41" s="774">
        <f>AO41+AP37</f>
        <v/>
      </c>
      <c r="AQ41" s="774">
        <f>AP41+AQ37</f>
        <v/>
      </c>
      <c r="AR41" s="774">
        <f>AQ41+AR37</f>
        <v/>
      </c>
      <c r="AS41" s="774">
        <f>AR41+AS37</f>
        <v/>
      </c>
      <c r="AT41" s="774">
        <f>AS41+AT37</f>
        <v/>
      </c>
      <c r="AU41" s="774">
        <f>AT41+AU37</f>
        <v/>
      </c>
      <c r="AV41" s="774">
        <f>AU41+AV37</f>
        <v/>
      </c>
      <c r="AW41" s="774">
        <f>AV41+AW37</f>
        <v/>
      </c>
      <c r="AX41" s="774">
        <f>AW41+AX37</f>
        <v/>
      </c>
      <c r="AY41" s="774">
        <f>AX41+AY37</f>
        <v/>
      </c>
      <c r="AZ41" s="774">
        <f>AY41+AZ37</f>
        <v/>
      </c>
      <c r="BA41" s="774">
        <f>AZ41+BA37</f>
        <v/>
      </c>
      <c r="BB41" s="774">
        <f>BA41+BB37</f>
        <v/>
      </c>
    </row>
    <row r="42">
      <c r="B42" s="267" t="inlineStr">
        <is>
          <t>BU Service REV. YTD</t>
        </is>
      </c>
      <c r="C42" s="774">
        <f>C38</f>
        <v/>
      </c>
      <c r="D42" s="774">
        <f>C42+D38</f>
        <v/>
      </c>
      <c r="E42" s="774">
        <f>D42+E38</f>
        <v/>
      </c>
      <c r="F42" s="774">
        <f>E42+F38</f>
        <v/>
      </c>
      <c r="G42" s="774">
        <f>F42+G38</f>
        <v/>
      </c>
      <c r="H42" s="774">
        <f>G42+H38</f>
        <v/>
      </c>
      <c r="I42" s="774">
        <f>H42+I38</f>
        <v/>
      </c>
      <c r="J42" s="774">
        <f>I42+J38</f>
        <v/>
      </c>
      <c r="K42" s="774">
        <f>J42+K38</f>
        <v/>
      </c>
      <c r="L42" s="774">
        <f>K42+L38</f>
        <v/>
      </c>
      <c r="M42" s="774">
        <f>L42+M38</f>
        <v/>
      </c>
      <c r="N42" s="774">
        <f>M42+N38</f>
        <v/>
      </c>
      <c r="O42" s="774">
        <f>N42+O38</f>
        <v/>
      </c>
      <c r="P42" s="774">
        <f>O42+P38</f>
        <v/>
      </c>
      <c r="Q42" s="774">
        <f>P42+Q38</f>
        <v/>
      </c>
      <c r="R42" s="774">
        <f>Q42+R38</f>
        <v/>
      </c>
      <c r="S42" s="774">
        <f>R42+S38</f>
        <v/>
      </c>
      <c r="T42" s="774">
        <f>S42+T38</f>
        <v/>
      </c>
      <c r="U42" s="774">
        <f>T42+U38</f>
        <v/>
      </c>
      <c r="V42" s="774">
        <f>U42+V38</f>
        <v/>
      </c>
      <c r="W42" s="774">
        <f>V42+W38</f>
        <v/>
      </c>
      <c r="X42" s="774">
        <f>W42+X38</f>
        <v/>
      </c>
      <c r="Y42" s="774">
        <f>X42+Y38</f>
        <v/>
      </c>
      <c r="Z42" s="774">
        <f>Y42+Z38</f>
        <v/>
      </c>
      <c r="AA42" s="774">
        <f>Z42+AA38</f>
        <v/>
      </c>
      <c r="AB42" s="774">
        <f>AA42+AB38</f>
        <v/>
      </c>
      <c r="AC42" s="774">
        <f>AB42+AC38</f>
        <v/>
      </c>
      <c r="AD42" s="774">
        <f>AC42+AD38</f>
        <v/>
      </c>
      <c r="AE42" s="774">
        <f>AD42+AE38</f>
        <v/>
      </c>
      <c r="AF42" s="774">
        <f>AE42+AF38</f>
        <v/>
      </c>
      <c r="AG42" s="774">
        <f>AF42+AG38</f>
        <v/>
      </c>
      <c r="AH42" s="774">
        <f>AG42+AH38</f>
        <v/>
      </c>
      <c r="AI42" s="774">
        <f>AH42+AI38</f>
        <v/>
      </c>
      <c r="AJ42" s="774">
        <f>AI42+AJ38</f>
        <v/>
      </c>
      <c r="AK42" s="774">
        <f>AJ42+AK38</f>
        <v/>
      </c>
      <c r="AL42" s="774">
        <f>AK42+AL38</f>
        <v/>
      </c>
      <c r="AM42" s="774">
        <f>AL42+AM38</f>
        <v/>
      </c>
      <c r="AN42" s="774">
        <f>AM42+AN38</f>
        <v/>
      </c>
      <c r="AO42" s="774">
        <f>AN42+AO38</f>
        <v/>
      </c>
      <c r="AP42" s="774">
        <f>AO42+AP38</f>
        <v/>
      </c>
      <c r="AQ42" s="774">
        <f>AP42+AQ38</f>
        <v/>
      </c>
      <c r="AR42" s="774">
        <f>AQ42+AR38</f>
        <v/>
      </c>
      <c r="AS42" s="774">
        <f>AR42+AS38</f>
        <v/>
      </c>
      <c r="AT42" s="774">
        <f>AS42+AT38</f>
        <v/>
      </c>
      <c r="AU42" s="774">
        <f>AT42+AU38</f>
        <v/>
      </c>
      <c r="AV42" s="774">
        <f>AU42+AV38</f>
        <v/>
      </c>
      <c r="AW42" s="774">
        <f>AV42+AW38</f>
        <v/>
      </c>
      <c r="AX42" s="774">
        <f>AW42+AX38</f>
        <v/>
      </c>
      <c r="AY42" s="774">
        <f>AX42+AY38</f>
        <v/>
      </c>
      <c r="AZ42" s="774">
        <f>AY42+AZ38</f>
        <v/>
      </c>
      <c r="BA42" s="774">
        <f>AZ42+BA38</f>
        <v/>
      </c>
      <c r="BB42" s="774">
        <f>BA42+BB38</f>
        <v/>
      </c>
    </row>
    <row r="43">
      <c r="B43" s="267" t="inlineStr">
        <is>
          <t>Intercompany REV. YTD</t>
        </is>
      </c>
      <c r="C43" s="774">
        <f>C39</f>
        <v/>
      </c>
      <c r="D43" s="774">
        <f>C43+D39</f>
        <v/>
      </c>
      <c r="E43" s="774">
        <f>D43+E39</f>
        <v/>
      </c>
      <c r="F43" s="774">
        <f>E43+F39</f>
        <v/>
      </c>
      <c r="G43" s="774">
        <f>F43+G39</f>
        <v/>
      </c>
      <c r="H43" s="774">
        <f>G43+H39</f>
        <v/>
      </c>
      <c r="I43" s="774">
        <f>H43+I39</f>
        <v/>
      </c>
      <c r="J43" s="774">
        <f>I43+J39</f>
        <v/>
      </c>
      <c r="K43" s="774">
        <f>J43+K39</f>
        <v/>
      </c>
      <c r="L43" s="774">
        <f>K43+L39</f>
        <v/>
      </c>
      <c r="M43" s="774">
        <f>L43+M39</f>
        <v/>
      </c>
      <c r="N43" s="774">
        <f>M43+N39</f>
        <v/>
      </c>
      <c r="O43" s="774">
        <f>N43+O39</f>
        <v/>
      </c>
      <c r="P43" s="774">
        <f>O43+P39</f>
        <v/>
      </c>
      <c r="Q43" s="774">
        <f>P43+Q39</f>
        <v/>
      </c>
      <c r="R43" s="774">
        <f>Q43+R39</f>
        <v/>
      </c>
      <c r="S43" s="774">
        <f>R43+S39</f>
        <v/>
      </c>
      <c r="T43" s="774">
        <f>S43+T39</f>
        <v/>
      </c>
      <c r="U43" s="774">
        <f>T43+U39</f>
        <v/>
      </c>
      <c r="V43" s="774">
        <f>U43+V39</f>
        <v/>
      </c>
      <c r="W43" s="774">
        <f>V43+W39</f>
        <v/>
      </c>
      <c r="X43" s="774">
        <f>W43+X39</f>
        <v/>
      </c>
      <c r="Y43" s="774">
        <f>X43+Y39</f>
        <v/>
      </c>
      <c r="Z43" s="774">
        <f>Y43+Z39</f>
        <v/>
      </c>
      <c r="AA43" s="774">
        <f>Z43+AA39</f>
        <v/>
      </c>
      <c r="AB43" s="774">
        <f>AA43+AB39</f>
        <v/>
      </c>
      <c r="AC43" s="774">
        <f>AB43+AC39</f>
        <v/>
      </c>
      <c r="AD43" s="774">
        <f>AC43+AD39</f>
        <v/>
      </c>
      <c r="AE43" s="774">
        <f>AD43+AE39</f>
        <v/>
      </c>
      <c r="AF43" s="774">
        <f>AE43+AF39</f>
        <v/>
      </c>
      <c r="AG43" s="774">
        <f>AF43+AG39</f>
        <v/>
      </c>
      <c r="AH43" s="774">
        <f>AG43+AH39</f>
        <v/>
      </c>
      <c r="AI43" s="774">
        <f>AH43+AI39</f>
        <v/>
      </c>
      <c r="AJ43" s="774">
        <f>AI43+AJ39</f>
        <v/>
      </c>
      <c r="AK43" s="774">
        <f>AJ43+AK39</f>
        <v/>
      </c>
      <c r="AL43" s="774">
        <f>AK43+AL39</f>
        <v/>
      </c>
      <c r="AM43" s="774">
        <f>AL43+AM39</f>
        <v/>
      </c>
      <c r="AN43" s="774">
        <f>AM43+AN39</f>
        <v/>
      </c>
      <c r="AO43" s="774">
        <f>AN43+AO39</f>
        <v/>
      </c>
      <c r="AP43" s="774">
        <f>AO43+AP39</f>
        <v/>
      </c>
      <c r="AQ43" s="774">
        <f>AP43+AQ39</f>
        <v/>
      </c>
      <c r="AR43" s="774">
        <f>AQ43+AR39</f>
        <v/>
      </c>
      <c r="AS43" s="774">
        <f>AR43+AS39</f>
        <v/>
      </c>
      <c r="AT43" s="774">
        <f>AS43+AT39</f>
        <v/>
      </c>
      <c r="AU43" s="774">
        <f>AT43+AU39</f>
        <v/>
      </c>
      <c r="AV43" s="774">
        <f>AU43+AV39</f>
        <v/>
      </c>
      <c r="AW43" s="774">
        <f>AV43+AW39</f>
        <v/>
      </c>
      <c r="AX43" s="774">
        <f>AW43+AX39</f>
        <v/>
      </c>
      <c r="AY43" s="774">
        <f>AX43+AY39</f>
        <v/>
      </c>
      <c r="AZ43" s="774">
        <f>AY43+AZ39</f>
        <v/>
      </c>
      <c r="BA43" s="774">
        <f>AZ43+BA39</f>
        <v/>
      </c>
      <c r="BB43" s="774">
        <f>BA43+BB39</f>
        <v/>
      </c>
    </row>
    <row r="44">
      <c r="B44" s="267" t="n"/>
      <c r="C44" s="774" t="n"/>
      <c r="D44" s="774" t="n"/>
      <c r="E44" s="774" t="n"/>
      <c r="F44" s="774" t="n"/>
      <c r="G44" s="774" t="n"/>
      <c r="H44" s="774" t="n"/>
      <c r="I44" s="774" t="n"/>
      <c r="J44" s="774" t="n"/>
      <c r="K44" s="774" t="n"/>
      <c r="L44" s="774" t="n"/>
      <c r="M44" s="774" t="n"/>
      <c r="N44" s="774" t="n"/>
      <c r="O44" s="774" t="n"/>
      <c r="P44" s="774" t="n"/>
      <c r="Q44" s="774" t="n"/>
      <c r="R44" s="774" t="n"/>
      <c r="S44" s="774" t="n"/>
      <c r="T44" s="774" t="n"/>
      <c r="U44" s="774" t="n"/>
      <c r="V44" s="774" t="n"/>
      <c r="W44" s="774" t="n"/>
      <c r="X44" s="774" t="n"/>
      <c r="Y44" s="774" t="n"/>
      <c r="Z44" s="774" t="n"/>
      <c r="AA44" s="774" t="n"/>
      <c r="AB44" s="774" t="n"/>
      <c r="AC44" s="774" t="n"/>
      <c r="AD44" s="774" t="n"/>
      <c r="AE44" s="774" t="n"/>
      <c r="AF44" s="774" t="n"/>
      <c r="AG44" s="774" t="n"/>
      <c r="AH44" s="774" t="n"/>
      <c r="AI44" s="774" t="n"/>
      <c r="AJ44" s="774" t="n"/>
      <c r="AK44" s="774" t="n"/>
      <c r="AL44" s="774" t="n"/>
      <c r="AM44" s="774" t="n"/>
      <c r="AN44" s="774" t="n"/>
      <c r="AO44" s="774" t="n"/>
      <c r="AP44" s="774" t="n"/>
      <c r="AQ44" s="774" t="n"/>
      <c r="AR44" s="774" t="n"/>
      <c r="AS44" s="774" t="n"/>
      <c r="AT44" s="774" t="n"/>
      <c r="AU44" s="774" t="n"/>
      <c r="AV44" s="774" t="n"/>
      <c r="AW44" s="774" t="n"/>
      <c r="AX44" s="774" t="n"/>
      <c r="AY44" s="774" t="n"/>
      <c r="AZ44" s="774" t="n"/>
      <c r="BA44" s="774" t="n"/>
      <c r="BB44" s="774" t="n"/>
    </row>
    <row r="45">
      <c r="C45" s="774" t="n"/>
      <c r="D45" s="774" t="n"/>
      <c r="E45" s="774" t="n"/>
      <c r="F45" s="774" t="n"/>
      <c r="G45" s="774" t="n"/>
      <c r="H45" s="774" t="n"/>
      <c r="I45" s="774" t="n"/>
      <c r="J45" s="774" t="n"/>
      <c r="K45" s="774" t="n"/>
      <c r="L45" s="774" t="n"/>
      <c r="M45" s="774" t="n"/>
      <c r="N45" s="774" t="n"/>
      <c r="O45" s="774" t="n"/>
      <c r="P45" s="774" t="n"/>
      <c r="Q45" s="774" t="n"/>
      <c r="R45" s="774" t="n"/>
      <c r="S45" s="774" t="n"/>
      <c r="T45" s="774" t="n"/>
      <c r="U45" s="774" t="n"/>
      <c r="V45" s="774" t="n"/>
      <c r="W45" s="774" t="n"/>
      <c r="X45" s="774" t="n"/>
      <c r="Y45" s="774" t="n"/>
      <c r="Z45" s="774" t="n"/>
      <c r="AA45" s="774" t="n"/>
      <c r="AB45" s="774" t="n"/>
      <c r="AC45" s="774" t="n"/>
      <c r="AD45" s="774" t="n"/>
      <c r="AE45" s="774" t="n"/>
      <c r="AF45" s="774" t="n"/>
      <c r="AG45" s="774" t="n"/>
      <c r="AH45" s="774" t="n"/>
      <c r="AI45" s="774" t="n"/>
      <c r="AJ45" s="774" t="n"/>
      <c r="AK45" s="774" t="n"/>
      <c r="AL45" s="774" t="n"/>
      <c r="AM45" s="774" t="n"/>
      <c r="AN45" s="774" t="n"/>
      <c r="AO45" s="774" t="n"/>
      <c r="AP45" s="774" t="n"/>
      <c r="AQ45" s="774" t="n"/>
      <c r="AR45" s="774" t="n"/>
      <c r="AS45" s="774" t="n"/>
      <c r="AT45" s="774" t="n"/>
      <c r="AU45" s="774" t="n"/>
      <c r="AV45" s="774" t="n"/>
      <c r="AW45" s="774" t="n"/>
      <c r="AX45" s="774" t="n"/>
      <c r="AY45" s="774" t="n"/>
      <c r="AZ45" s="774" t="n"/>
      <c r="BA45" s="774" t="n"/>
      <c r="BB45" s="774" t="n"/>
    </row>
    <row r="46" customFormat="1" s="700">
      <c r="C46" s="775" t="n"/>
      <c r="D46" s="114" t="n"/>
      <c r="E46" s="114" t="n"/>
      <c r="F46" s="114" t="n"/>
      <c r="G46" s="114" t="n"/>
      <c r="H46" s="114" t="n"/>
      <c r="I46" s="114" t="n"/>
      <c r="J46" s="114" t="n"/>
      <c r="K46" s="114" t="n"/>
      <c r="L46" s="114" t="n"/>
      <c r="M46" s="114" t="n"/>
      <c r="N46" s="114" t="n"/>
      <c r="O46" s="114" t="n"/>
      <c r="P46" s="114" t="n"/>
      <c r="Q46" s="114" t="n"/>
      <c r="R46" s="114" t="n"/>
      <c r="S46" s="114" t="n"/>
      <c r="T46" s="114" t="n"/>
      <c r="U46" s="114" t="n"/>
      <c r="V46" s="114" t="n"/>
      <c r="W46" s="114" t="n"/>
      <c r="X46" s="114" t="n"/>
      <c r="Y46" s="114" t="n"/>
      <c r="Z46" s="114" t="n"/>
      <c r="AA46" s="114" t="n"/>
      <c r="AB46" s="114" t="n"/>
      <c r="AC46" s="114" t="n"/>
      <c r="AD46" s="114" t="n"/>
      <c r="AE46" s="114" t="n"/>
      <c r="AF46" s="114" t="n"/>
      <c r="AG46" s="114" t="n"/>
      <c r="AH46" s="114" t="n"/>
      <c r="AI46" s="114" t="n"/>
      <c r="AJ46" s="114" t="n"/>
      <c r="AK46" s="114" t="n"/>
      <c r="AL46" s="114" t="n"/>
      <c r="AM46" s="114" t="n"/>
      <c r="AN46" s="114" t="n"/>
      <c r="AO46" s="114" t="n"/>
      <c r="AP46" s="114" t="n"/>
      <c r="AQ46" s="114" t="n"/>
      <c r="AR46" s="114" t="n"/>
      <c r="AS46" s="114" t="n"/>
      <c r="AT46" s="114" t="n"/>
      <c r="AU46" s="114" t="n"/>
      <c r="AV46" s="114" t="n"/>
      <c r="AW46" s="114" t="n"/>
      <c r="AX46" s="114" t="n"/>
      <c r="AY46" s="114" t="n"/>
      <c r="AZ46" s="114" t="n"/>
      <c r="BA46" s="114" t="n"/>
      <c r="BB46" s="114" t="n"/>
    </row>
    <row r="47" customFormat="1" s="700">
      <c r="B47" s="349" t="inlineStr">
        <is>
          <t>ENGINEERING AIA REVENUE</t>
        </is>
      </c>
      <c r="C47" s="709">
        <f>SUMIFS(Data!$AD$3:$AD$348,Data!$X$3:$X$348,C$1,Data!$Y$3:$Y$348,"2022",Data!$K$3:$K$348,'Reporting 2022'!$B15)</f>
        <v/>
      </c>
      <c r="D47" s="709">
        <f>SUMIFS(Data!$AD$3:$AD$348,Data!$X$3:$X$348,D$1,Data!$Y$3:$Y$348,"2022",Data!$K$3:$K$348,'Reporting 2022'!$B15)</f>
        <v/>
      </c>
      <c r="E47" s="709">
        <f>SUMIFS(Data!$AD$3:$AD$348,Data!$X$3:$X$348,E$1,Data!$Y$3:$Y$348,"2022",Data!$K$3:$K$348,'Reporting 2022'!$B15)</f>
        <v/>
      </c>
      <c r="F47" s="709">
        <f>SUMIFS(Data!$AD$3:$AD$348,Data!$X$3:$X$348,F$1,Data!$Y$3:$Y$348,"2022",Data!$K$3:$K$348,'Reporting 2022'!$B15)</f>
        <v/>
      </c>
      <c r="G47" s="709">
        <f>SUMIFS(Data!$AD$3:$AD$348,Data!$X$3:$X$348,G$1,Data!$Y$3:$Y$348,"2022",Data!$K$3:$K$348,'Reporting 2022'!$B15)</f>
        <v/>
      </c>
      <c r="H47" s="709">
        <f>SUMIFS(Data!$AD$3:$AD$348,Data!$X$3:$X$348,H$1,Data!$Y$3:$Y$348,"2022",Data!$K$3:$K$348,'Reporting 2022'!$B15)</f>
        <v/>
      </c>
      <c r="I47" s="709">
        <f>SUMIFS(Data!$AD$3:$AD$348,Data!$X$3:$X$348,I$1,Data!$Y$3:$Y$348,"2022",Data!$K$3:$K$348,'Reporting 2022'!$B15)</f>
        <v/>
      </c>
      <c r="J47" s="709">
        <f>SUMIFS(Data!$AD$3:$AD$348,Data!$X$3:$X$348,J$1,Data!$Y$3:$Y$348,"2022",Data!$K$3:$K$348,'Reporting 2022'!$B15)</f>
        <v/>
      </c>
      <c r="K47" s="709">
        <f>SUMIFS(Data!$AD$3:$AD$348,Data!$X$3:$X$348,K$1,Data!$Y$3:$Y$348,"2022",Data!$K$3:$K$348,'Reporting 2022'!$B15)</f>
        <v/>
      </c>
      <c r="L47" s="709">
        <f>SUMIFS(Data!$AD$3:$AD$348,Data!$X$3:$X$348,L$1,Data!$Y$3:$Y$348,"2022",Data!$K$3:$K$348,'Reporting 2022'!$B15)</f>
        <v/>
      </c>
      <c r="M47" s="709">
        <f>SUMIFS(Data!$AD$3:$AD$348,Data!$X$3:$X$348,M$1,Data!$Y$3:$Y$348,"2022",Data!$K$3:$K$348,'Reporting 2022'!$B15)</f>
        <v/>
      </c>
      <c r="N47" s="709">
        <f>SUMIFS(Data!$AD$3:$AD$348,Data!$X$3:$X$348,N$1,Data!$Y$3:$Y$348,"2022",Data!$K$3:$K$348,'Reporting 2022'!$B15)</f>
        <v/>
      </c>
      <c r="O47" s="709">
        <f>SUMIFS(Data!$AD$3:$AD$348,Data!$X$3:$X$348,O$1,Data!$Y$3:$Y$348,"2022",Data!$K$3:$K$348,'Reporting 2022'!$B15)</f>
        <v/>
      </c>
      <c r="P47" s="709">
        <f>SUMIFS(Data!$AD$3:$AD$348,Data!$X$3:$X$348,P$1,Data!$Y$3:$Y$348,"2022",Data!$K$3:$K$348,'Reporting 2022'!$B15)</f>
        <v/>
      </c>
      <c r="Q47" s="709">
        <f>SUMIFS(Data!$AD$3:$AD$348,Data!$X$3:$X$348,Q$1,Data!$Y$3:$Y$348,"2022",Data!$K$3:$K$348,'Reporting 2022'!$B15)</f>
        <v/>
      </c>
      <c r="R47" s="709">
        <f>SUMIFS(Data!$AD$3:$AD$348,Data!$X$3:$X$348,R$1,Data!$Y$3:$Y$348,"2022",Data!$K$3:$K$348,'Reporting 2022'!$B15)</f>
        <v/>
      </c>
      <c r="S47" s="709">
        <f>SUMIFS(Data!$AD$3:$AD$348,Data!$X$3:$X$348,S$1,Data!$Y$3:$Y$348,"2022",Data!$K$3:$K$348,'Reporting 2022'!$B15)</f>
        <v/>
      </c>
      <c r="T47" s="709">
        <f>SUMIFS(Data!$AD$3:$AD$348,Data!$X$3:$X$348,T$1,Data!$Y$3:$Y$348,"2022",Data!$K$3:$K$348,'Reporting 2022'!$B15)</f>
        <v/>
      </c>
      <c r="U47" s="709">
        <f>SUMIFS(Data!$AD$3:$AD$348,Data!$X$3:$X$348,U$1,Data!$Y$3:$Y$348,"2022",Data!$K$3:$K$348,'Reporting 2022'!$B15)</f>
        <v/>
      </c>
      <c r="V47" s="709">
        <f>SUMIFS(Data!$AD$3:$AD$348,Data!$X$3:$X$348,V$1,Data!$Y$3:$Y$348,"2022",Data!$K$3:$K$348,'Reporting 2022'!$B15)</f>
        <v/>
      </c>
      <c r="W47" s="709">
        <f>SUMIFS(Data!$AD$3:$AD$348,Data!$X$3:$X$348,W$1,Data!$Y$3:$Y$348,"2022",Data!$K$3:$K$348,'Reporting 2022'!$B15)</f>
        <v/>
      </c>
      <c r="X47" s="709">
        <f>SUMIFS(Data!$AD$3:$AD$348,Data!$X$3:$X$348,X$1,Data!$Y$3:$Y$348,"2022",Data!$K$3:$K$348,'Reporting 2022'!$B15)</f>
        <v/>
      </c>
      <c r="Y47" s="709">
        <f>SUMIFS(Data!$AD$3:$AD$348,Data!$X$3:$X$348,Y$1,Data!$Y$3:$Y$348,"2022",Data!$K$3:$K$348,'Reporting 2022'!$B15)</f>
        <v/>
      </c>
      <c r="Z47" s="709">
        <f>SUMIFS(Data!$AD$3:$AD$348,Data!$X$3:$X$348,Z$1,Data!$Y$3:$Y$348,"2022",Data!$K$3:$K$348,'Reporting 2022'!$B15)</f>
        <v/>
      </c>
      <c r="AA47" s="709">
        <f>SUMIFS(Data!$AD$3:$AD$348,Data!$X$3:$X$348,AA$1,Data!$Y$3:$Y$348,"2022",Data!$K$3:$K$348,'Reporting 2022'!$B15)</f>
        <v/>
      </c>
      <c r="AB47" s="709">
        <f>SUMIFS(Data!$AD$3:$AD$348,Data!$X$3:$X$348,AB$1,Data!$Y$3:$Y$348,"2022",Data!$K$3:$K$348,'Reporting 2022'!$B15)</f>
        <v/>
      </c>
      <c r="AC47" s="709">
        <f>SUMIFS(Data!$AD$3:$AD$348,Data!$X$3:$X$348,AC$1,Data!$Y$3:$Y$348,"2022",Data!$K$3:$K$348,'Reporting 2022'!$B15)</f>
        <v/>
      </c>
      <c r="AD47" s="709">
        <f>SUMIFS(Data!$AD$3:$AD$348,Data!$X$3:$X$348,AD$1,Data!$Y$3:$Y$348,"2022",Data!$K$3:$K$348,'Reporting 2022'!$B15)</f>
        <v/>
      </c>
      <c r="AE47" s="709">
        <f>SUMIFS(Data!$AD$3:$AD$348,Data!$X$3:$X$348,AE$1,Data!$Y$3:$Y$348,"2022",Data!$K$3:$K$348,'Reporting 2022'!$B15)</f>
        <v/>
      </c>
      <c r="AF47" s="709">
        <f>SUMIFS(Data!$AD$3:$AD$348,Data!$X$3:$X$348,AF$1,Data!$Y$3:$Y$348,"2022",Data!$K$3:$K$348,'Reporting 2022'!$B15)</f>
        <v/>
      </c>
      <c r="AG47" s="709">
        <f>SUMIFS(Data!$AD$3:$AD$348,Data!$X$3:$X$348,AG$1,Data!$Y$3:$Y$348,"2022",Data!$K$3:$K$348,'Reporting 2022'!$B15)</f>
        <v/>
      </c>
      <c r="AH47" s="709">
        <f>SUMIFS(Data!$AD$3:$AD$348,Data!$X$3:$X$348,AH$1,Data!$Y$3:$Y$348,"2022",Data!$K$3:$K$348,'Reporting 2022'!$B15)</f>
        <v/>
      </c>
      <c r="AI47" s="709">
        <f>SUMIFS(Data!$AD$3:$AD$348,Data!$X$3:$X$348,AI$1,Data!$Y$3:$Y$348,"2022",Data!$K$3:$K$348,'Reporting 2022'!$B15)</f>
        <v/>
      </c>
      <c r="AJ47" s="709">
        <f>SUMIFS(Data!$AD$3:$AD$348,Data!$X$3:$X$348,AJ$1,Data!$Y$3:$Y$348,"2022",Data!$K$3:$K$348,'Reporting 2022'!$B15)</f>
        <v/>
      </c>
      <c r="AK47" s="709">
        <f>SUMIFS(Data!$AD$3:$AD$348,Data!$X$3:$X$348,AK$1,Data!$Y$3:$Y$348,"2022",Data!$K$3:$K$348,'Reporting 2022'!$B15)</f>
        <v/>
      </c>
      <c r="AL47" s="709">
        <f>SUMIFS(Data!$AD$3:$AD$348,Data!$X$3:$X$348,AL$1,Data!$Y$3:$Y$348,"2022",Data!$K$3:$K$348,'Reporting 2022'!$B15)</f>
        <v/>
      </c>
      <c r="AM47" s="709">
        <f>SUMIFS(Data!$AD$3:$AD$348,Data!$X$3:$X$348,AM$1,Data!$Y$3:$Y$348,"2022",Data!$K$3:$K$348,'Reporting 2022'!$B15)</f>
        <v/>
      </c>
      <c r="AN47" s="709">
        <f>SUMIFS(Data!$AD$3:$AD$348,Data!$X$3:$X$348,AN$1,Data!$Y$3:$Y$348,"2022",Data!$K$3:$K$348,'Reporting 2022'!$B15)</f>
        <v/>
      </c>
      <c r="AO47" s="709">
        <f>SUMIFS(Data!$AD$3:$AD$348,Data!$X$3:$X$348,AO$1,Data!$Y$3:$Y$348,"2022",Data!$K$3:$K$348,'Reporting 2022'!$B15)</f>
        <v/>
      </c>
      <c r="AP47" s="709">
        <f>SUMIFS(Data!$AD$3:$AD$348,Data!$X$3:$X$348,AP$1,Data!$Y$3:$Y$348,"2022",Data!$K$3:$K$348,'Reporting 2022'!$B15)</f>
        <v/>
      </c>
      <c r="AQ47" s="709">
        <f>SUMIFS(Data!$AD$3:$AD$348,Data!$X$3:$X$348,AQ$1,Data!$Y$3:$Y$348,"2022",Data!$K$3:$K$348,'Reporting 2022'!$B15)</f>
        <v/>
      </c>
      <c r="AR47" s="709">
        <f>SUMIFS(Data!$AD$3:$AD$348,Data!$X$3:$X$348,AR$1,Data!$Y$3:$Y$348,"2022",Data!$K$3:$K$348,'Reporting 2022'!$B15)</f>
        <v/>
      </c>
      <c r="AS47" s="709">
        <f>SUMIFS(Data!$AD$3:$AD$348,Data!$X$3:$X$348,AS$1,Data!$Y$3:$Y$348,"2022",Data!$K$3:$K$348,'Reporting 2022'!$B15)</f>
        <v/>
      </c>
      <c r="AT47" s="709">
        <f>SUMIFS(Data!$AD$3:$AD$348,Data!$X$3:$X$348,AT$1,Data!$Y$3:$Y$348,"2022",Data!$K$3:$K$348,'Reporting 2022'!$B15)</f>
        <v/>
      </c>
      <c r="AU47" s="709">
        <f>SUMIFS(Data!$AD$3:$AD$348,Data!$X$3:$X$348,AU$1,Data!$Y$3:$Y$348,"2022",Data!$K$3:$K$348,'Reporting 2022'!$B15)</f>
        <v/>
      </c>
      <c r="AV47" s="709">
        <f>SUMIFS(Data!$AD$3:$AD$348,Data!$X$3:$X$348,AV$1,Data!$Y$3:$Y$348,"2022",Data!$K$3:$K$348,'Reporting 2022'!$B15)</f>
        <v/>
      </c>
      <c r="AW47" s="709">
        <f>SUMIFS(Data!$AD$3:$AD$348,Data!$X$3:$X$348,AW$1,Data!$Y$3:$Y$348,"2022",Data!$K$3:$K$348,'Reporting 2022'!$B15)</f>
        <v/>
      </c>
      <c r="AX47" s="709">
        <f>SUMIFS(Data!$AD$3:$AD$348,Data!$X$3:$X$348,AX$1,Data!$Y$3:$Y$348,"2022",Data!$K$3:$K$348,'Reporting 2022'!$B15)</f>
        <v/>
      </c>
      <c r="AY47" s="709">
        <f>SUMIFS(Data!$AD$3:$AD$348,Data!$X$3:$X$348,AY$1,Data!$Y$3:$Y$348,"2022",Data!$K$3:$K$348,'Reporting 2022'!$B15)</f>
        <v/>
      </c>
      <c r="AZ47" s="709">
        <f>SUMIFS(Data!$AD$3:$AD$348,Data!$X$3:$X$348,AZ$1,Data!$Y$3:$Y$348,"2022",Data!$K$3:$K$348,'Reporting 2022'!$B15)</f>
        <v/>
      </c>
      <c r="BA47" s="709">
        <f>SUMIFS(Data!$AD$3:$AD$348,Data!$X$3:$X$348,BA$1,Data!$Y$3:$Y$348,"2022",Data!$K$3:$K$348,'Reporting 2022'!$B15)</f>
        <v/>
      </c>
      <c r="BB47" s="709">
        <f>SUMIFS(Data!$AD$3:$AD$348,Data!$X$3:$X$348,BB$1,Data!$Y$3:$Y$348,"2022",Data!$K$3:$K$348,'Reporting 2022'!$B15)</f>
        <v/>
      </c>
    </row>
    <row r="48">
      <c r="B48" s="349" t="inlineStr">
        <is>
          <t>ENGINEERING IC REVENUE</t>
        </is>
      </c>
      <c r="C48" s="709">
        <f>SUMIFS(Data!$AD$3:$AD$348,Data!$X$3:$X$348,C$1,Data!$Y$3:$Y$348,"2022",Data!$K$3:$K$348,'Reporting 2022'!$B16)</f>
        <v/>
      </c>
      <c r="D48" s="709">
        <f>SUMIFS(Data!$AD$3:$AD$348,Data!$X$3:$X$348,D$1,Data!$Y$3:$Y$348,"2022",Data!$K$3:$K$348,'Reporting 2022'!$B16)</f>
        <v/>
      </c>
      <c r="E48" s="709">
        <f>SUMIFS(Data!$AD$3:$AD$348,Data!$X$3:$X$348,E$1,Data!$Y$3:$Y$348,"2022",Data!$K$3:$K$348,'Reporting 2022'!$B16)</f>
        <v/>
      </c>
      <c r="F48" s="709">
        <f>SUMIFS(Data!$AD$3:$AD$348,Data!$X$3:$X$348,F$1,Data!$Y$3:$Y$348,"2022",Data!$K$3:$K$348,'Reporting 2022'!$B16)</f>
        <v/>
      </c>
      <c r="G48" s="709">
        <f>SUMIFS(Data!$AD$3:$AD$348,Data!$X$3:$X$348,G$1,Data!$Y$3:$Y$348,"2022",Data!$K$3:$K$348,'Reporting 2022'!$B16)</f>
        <v/>
      </c>
      <c r="H48" s="709">
        <f>SUMIFS(Data!$AD$3:$AD$348,Data!$X$3:$X$348,H$1,Data!$Y$3:$Y$348,"2022",Data!$K$3:$K$348,'Reporting 2022'!$B16)</f>
        <v/>
      </c>
      <c r="I48" s="709">
        <f>SUMIFS(Data!$AD$3:$AD$348,Data!$X$3:$X$348,I$1,Data!$Y$3:$Y$348,"2022",Data!$K$3:$K$348,'Reporting 2022'!$B16)</f>
        <v/>
      </c>
      <c r="J48" s="709">
        <f>SUMIFS(Data!$AD$3:$AD$348,Data!$X$3:$X$348,J$1,Data!$Y$3:$Y$348,"2022",Data!$K$3:$K$348,'Reporting 2022'!$B16)</f>
        <v/>
      </c>
      <c r="K48" s="709">
        <f>SUMIFS(Data!$AD$3:$AD$348,Data!$X$3:$X$348,K$1,Data!$Y$3:$Y$348,"2022",Data!$K$3:$K$348,'Reporting 2022'!$B16)</f>
        <v/>
      </c>
      <c r="L48" s="709">
        <f>SUMIFS(Data!$AD$3:$AD$348,Data!$X$3:$X$348,L$1,Data!$Y$3:$Y$348,"2022",Data!$K$3:$K$348,'Reporting 2022'!$B16)</f>
        <v/>
      </c>
      <c r="M48" s="709">
        <f>SUMIFS(Data!$AD$3:$AD$348,Data!$X$3:$X$348,M$1,Data!$Y$3:$Y$348,"2022",Data!$K$3:$K$348,'Reporting 2022'!$B16)</f>
        <v/>
      </c>
      <c r="N48" s="709">
        <f>SUMIFS(Data!$AD$3:$AD$348,Data!$X$3:$X$348,N$1,Data!$Y$3:$Y$348,"2022",Data!$K$3:$K$348,'Reporting 2022'!$B16)</f>
        <v/>
      </c>
      <c r="O48" s="709">
        <f>SUMIFS(Data!$AD$3:$AD$348,Data!$X$3:$X$348,O$1,Data!$Y$3:$Y$348,"2022",Data!$K$3:$K$348,'Reporting 2022'!$B16)</f>
        <v/>
      </c>
      <c r="P48" s="709">
        <f>SUMIFS(Data!$AD$3:$AD$348,Data!$X$3:$X$348,P$1,Data!$Y$3:$Y$348,"2022",Data!$K$3:$K$348,'Reporting 2022'!$B16)</f>
        <v/>
      </c>
      <c r="Q48" s="709">
        <f>SUMIFS(Data!$AD$3:$AD$348,Data!$X$3:$X$348,Q$1,Data!$Y$3:$Y$348,"2022",Data!$K$3:$K$348,'Reporting 2022'!$B16)</f>
        <v/>
      </c>
      <c r="R48" s="709">
        <f>SUMIFS(Data!$AD$3:$AD$348,Data!$X$3:$X$348,R$1,Data!$Y$3:$Y$348,"2022",Data!$K$3:$K$348,'Reporting 2022'!$B16)</f>
        <v/>
      </c>
      <c r="S48" s="709">
        <f>SUMIFS(Data!$AD$3:$AD$348,Data!$X$3:$X$348,S$1,Data!$Y$3:$Y$348,"2022",Data!$K$3:$K$348,'Reporting 2022'!$B16)</f>
        <v/>
      </c>
      <c r="T48" s="709">
        <f>SUMIFS(Data!$AD$3:$AD$348,Data!$X$3:$X$348,T$1,Data!$Y$3:$Y$348,"2022",Data!$K$3:$K$348,'Reporting 2022'!$B16)</f>
        <v/>
      </c>
      <c r="U48" s="709">
        <f>SUMIFS(Data!$AD$3:$AD$348,Data!$X$3:$X$348,U$1,Data!$Y$3:$Y$348,"2022",Data!$K$3:$K$348,'Reporting 2022'!$B16)</f>
        <v/>
      </c>
      <c r="V48" s="709">
        <f>SUMIFS(Data!$AD$3:$AD$348,Data!$X$3:$X$348,V$1,Data!$Y$3:$Y$348,"2022",Data!$K$3:$K$348,'Reporting 2022'!$B16)</f>
        <v/>
      </c>
      <c r="W48" s="709">
        <f>SUMIFS(Data!$AD$3:$AD$348,Data!$X$3:$X$348,W$1,Data!$Y$3:$Y$348,"2022",Data!$K$3:$K$348,'Reporting 2022'!$B16)</f>
        <v/>
      </c>
      <c r="X48" s="709">
        <f>SUMIFS(Data!$AD$3:$AD$348,Data!$X$3:$X$348,X$1,Data!$Y$3:$Y$348,"2022",Data!$K$3:$K$348,'Reporting 2022'!$B16)</f>
        <v/>
      </c>
      <c r="Y48" s="709">
        <f>SUMIFS(Data!$AD$3:$AD$348,Data!$X$3:$X$348,Y$1,Data!$Y$3:$Y$348,"2022",Data!$K$3:$K$348,'Reporting 2022'!$B16)</f>
        <v/>
      </c>
      <c r="Z48" s="709">
        <f>SUMIFS(Data!$AD$3:$AD$348,Data!$X$3:$X$348,Z$1,Data!$Y$3:$Y$348,"2022",Data!$K$3:$K$348,'Reporting 2022'!$B16)</f>
        <v/>
      </c>
      <c r="AA48" s="709">
        <f>SUMIFS(Data!$AD$3:$AD$348,Data!$X$3:$X$348,AA$1,Data!$Y$3:$Y$348,"2022",Data!$K$3:$K$348,'Reporting 2022'!$B16)</f>
        <v/>
      </c>
      <c r="AB48" s="709">
        <f>SUMIFS(Data!$AD$3:$AD$348,Data!$X$3:$X$348,AB$1,Data!$Y$3:$Y$348,"2022",Data!$K$3:$K$348,'Reporting 2022'!$B16)</f>
        <v/>
      </c>
      <c r="AC48" s="709">
        <f>SUMIFS(Data!$AD$3:$AD$348,Data!$X$3:$X$348,AC$1,Data!$Y$3:$Y$348,"2022",Data!$K$3:$K$348,'Reporting 2022'!$B16)</f>
        <v/>
      </c>
      <c r="AD48" s="709">
        <f>SUMIFS(Data!$AD$3:$AD$348,Data!$X$3:$X$348,AD$1,Data!$Y$3:$Y$348,"2022",Data!$K$3:$K$348,'Reporting 2022'!$B16)</f>
        <v/>
      </c>
      <c r="AE48" s="709">
        <f>SUMIFS(Data!$AD$3:$AD$348,Data!$X$3:$X$348,AE$1,Data!$Y$3:$Y$348,"2022",Data!$K$3:$K$348,'Reporting 2022'!$B16)</f>
        <v/>
      </c>
      <c r="AF48" s="709">
        <f>SUMIFS(Data!$AD$3:$AD$348,Data!$X$3:$X$348,AF$1,Data!$Y$3:$Y$348,"2022",Data!$K$3:$K$348,'Reporting 2022'!$B16)</f>
        <v/>
      </c>
      <c r="AG48" s="709">
        <f>SUMIFS(Data!$AD$3:$AD$348,Data!$X$3:$X$348,AG$1,Data!$Y$3:$Y$348,"2022",Data!$K$3:$K$348,'Reporting 2022'!$B16)</f>
        <v/>
      </c>
      <c r="AH48" s="709">
        <f>SUMIFS(Data!$AD$3:$AD$348,Data!$X$3:$X$348,AH$1,Data!$Y$3:$Y$348,"2022",Data!$K$3:$K$348,'Reporting 2022'!$B16)</f>
        <v/>
      </c>
      <c r="AI48" s="709">
        <f>SUMIFS(Data!$AD$3:$AD$348,Data!$X$3:$X$348,AI$1,Data!$Y$3:$Y$348,"2022",Data!$K$3:$K$348,'Reporting 2022'!$B16)</f>
        <v/>
      </c>
      <c r="AJ48" s="709">
        <f>SUMIFS(Data!$AD$3:$AD$348,Data!$X$3:$X$348,AJ$1,Data!$Y$3:$Y$348,"2022",Data!$K$3:$K$348,'Reporting 2022'!$B16)</f>
        <v/>
      </c>
      <c r="AK48" s="709">
        <f>SUMIFS(Data!$AD$3:$AD$348,Data!$X$3:$X$348,AK$1,Data!$Y$3:$Y$348,"2022",Data!$K$3:$K$348,'Reporting 2022'!$B16)</f>
        <v/>
      </c>
      <c r="AL48" s="709">
        <f>SUMIFS(Data!$AD$3:$AD$348,Data!$X$3:$X$348,AL$1,Data!$Y$3:$Y$348,"2022",Data!$K$3:$K$348,'Reporting 2022'!$B16)</f>
        <v/>
      </c>
      <c r="AM48" s="709">
        <f>SUMIFS(Data!$AD$3:$AD$348,Data!$X$3:$X$348,AM$1,Data!$Y$3:$Y$348,"2022",Data!$K$3:$K$348,'Reporting 2022'!$B16)</f>
        <v/>
      </c>
      <c r="AN48" s="709">
        <f>SUMIFS(Data!$AD$3:$AD$348,Data!$X$3:$X$348,AN$1,Data!$Y$3:$Y$348,"2022",Data!$K$3:$K$348,'Reporting 2022'!$B16)</f>
        <v/>
      </c>
      <c r="AO48" s="709">
        <f>SUMIFS(Data!$AD$3:$AD$348,Data!$X$3:$X$348,AO$1,Data!$Y$3:$Y$348,"2022",Data!$K$3:$K$348,'Reporting 2022'!$B16)</f>
        <v/>
      </c>
      <c r="AP48" s="709">
        <f>SUMIFS(Data!$AD$3:$AD$348,Data!$X$3:$X$348,AP$1,Data!$Y$3:$Y$348,"2022",Data!$K$3:$K$348,'Reporting 2022'!$B16)</f>
        <v/>
      </c>
      <c r="AQ48" s="709">
        <f>SUMIFS(Data!$AD$3:$AD$348,Data!$X$3:$X$348,AQ$1,Data!$Y$3:$Y$348,"2022",Data!$K$3:$K$348,'Reporting 2022'!$B16)</f>
        <v/>
      </c>
      <c r="AR48" s="709">
        <f>SUMIFS(Data!$AD$3:$AD$348,Data!$X$3:$X$348,AR$1,Data!$Y$3:$Y$348,"2022",Data!$K$3:$K$348,'Reporting 2022'!$B16)</f>
        <v/>
      </c>
      <c r="AS48" s="709">
        <f>SUMIFS(Data!$AD$3:$AD$348,Data!$X$3:$X$348,AS$1,Data!$Y$3:$Y$348,"2022",Data!$K$3:$K$348,'Reporting 2022'!$B16)</f>
        <v/>
      </c>
      <c r="AT48" s="709">
        <f>SUMIFS(Data!$AD$3:$AD$348,Data!$X$3:$X$348,AT$1,Data!$Y$3:$Y$348,"2022",Data!$K$3:$K$348,'Reporting 2022'!$B16)</f>
        <v/>
      </c>
      <c r="AU48" s="709">
        <f>SUMIFS(Data!$AD$3:$AD$348,Data!$X$3:$X$348,AU$1,Data!$Y$3:$Y$348,"2022",Data!$K$3:$K$348,'Reporting 2022'!$B16)</f>
        <v/>
      </c>
      <c r="AV48" s="709">
        <f>SUMIFS(Data!$AD$3:$AD$348,Data!$X$3:$X$348,AV$1,Data!$Y$3:$Y$348,"2022",Data!$K$3:$K$348,'Reporting 2022'!$B16)</f>
        <v/>
      </c>
      <c r="AW48" s="709">
        <f>SUMIFS(Data!$AD$3:$AD$348,Data!$X$3:$X$348,AW$1,Data!$Y$3:$Y$348,"2022",Data!$K$3:$K$348,'Reporting 2022'!$B16)</f>
        <v/>
      </c>
      <c r="AX48" s="709">
        <f>SUMIFS(Data!$AD$3:$AD$348,Data!$X$3:$X$348,AX$1,Data!$Y$3:$Y$348,"2022",Data!$K$3:$K$348,'Reporting 2022'!$B16)</f>
        <v/>
      </c>
      <c r="AY48" s="709">
        <f>SUMIFS(Data!$AD$3:$AD$348,Data!$X$3:$X$348,AY$1,Data!$Y$3:$Y$348,"2022",Data!$K$3:$K$348,'Reporting 2022'!$B16)</f>
        <v/>
      </c>
      <c r="AZ48" s="709">
        <f>SUMIFS(Data!$AD$3:$AD$348,Data!$X$3:$X$348,AZ$1,Data!$Y$3:$Y$348,"2022",Data!$K$3:$K$348,'Reporting 2022'!$B16)</f>
        <v/>
      </c>
      <c r="BA48" s="709">
        <f>SUMIFS(Data!$AD$3:$AD$348,Data!$X$3:$X$348,BA$1,Data!$Y$3:$Y$348,"2022",Data!$K$3:$K$348,'Reporting 2022'!$B16)</f>
        <v/>
      </c>
      <c r="BB48" s="709">
        <f>SUMIFS(Data!$AD$3:$AD$348,Data!$X$3:$X$348,BB$1,Data!$Y$3:$Y$348,"2022",Data!$K$3:$K$348,'Reporting 2022'!$B16)</f>
        <v/>
      </c>
    </row>
    <row r="49">
      <c r="B49" s="349" t="inlineStr">
        <is>
          <t>FCP AIA REVENUE</t>
        </is>
      </c>
      <c r="C49" s="709">
        <f>SUMIFS(Data!$AD$3:$AD$348,Data!$X$3:$X$348,C$1,Data!$Y$3:$Y$348,"2022",Data!$K$3:$K$348,'Reporting 2022'!$B17)</f>
        <v/>
      </c>
      <c r="D49" s="709">
        <f>SUMIFS(Data!$AD$3:$AD$348,Data!$X$3:$X$348,D$1,Data!$Y$3:$Y$348,"2022",Data!$K$3:$K$348,'Reporting 2022'!$B17)</f>
        <v/>
      </c>
      <c r="E49" s="709">
        <f>SUMIFS(Data!$AD$3:$AD$348,Data!$X$3:$X$348,E$1,Data!$Y$3:$Y$348,"2022",Data!$K$3:$K$348,'Reporting 2022'!$B17)</f>
        <v/>
      </c>
      <c r="F49" s="709">
        <f>SUMIFS(Data!$AD$3:$AD$348,Data!$X$3:$X$348,F$1,Data!$Y$3:$Y$348,"2022",Data!$K$3:$K$348,'Reporting 2022'!$B17)</f>
        <v/>
      </c>
      <c r="G49" s="709">
        <f>SUMIFS(Data!$AD$3:$AD$348,Data!$X$3:$X$348,G$1,Data!$Y$3:$Y$348,"2022",Data!$K$3:$K$348,'Reporting 2022'!$B17)</f>
        <v/>
      </c>
      <c r="H49" s="709">
        <f>SUMIFS(Data!$AD$3:$AD$348,Data!$X$3:$X$348,H$1,Data!$Y$3:$Y$348,"2022",Data!$K$3:$K$348,'Reporting 2022'!$B17)</f>
        <v/>
      </c>
      <c r="I49" s="709">
        <f>SUMIFS(Data!$AD$3:$AD$348,Data!$X$3:$X$348,I$1,Data!$Y$3:$Y$348,"2022",Data!$K$3:$K$348,'Reporting 2022'!$B17)</f>
        <v/>
      </c>
      <c r="J49" s="709">
        <f>SUMIFS(Data!$AD$3:$AD$348,Data!$X$3:$X$348,J$1,Data!$Y$3:$Y$348,"2022",Data!$K$3:$K$348,'Reporting 2022'!$B17)</f>
        <v/>
      </c>
      <c r="K49" s="709">
        <f>SUMIFS(Data!$AD$3:$AD$348,Data!$X$3:$X$348,K$1,Data!$Y$3:$Y$348,"2022",Data!$K$3:$K$348,'Reporting 2022'!$B17)</f>
        <v/>
      </c>
      <c r="L49" s="709">
        <f>SUMIFS(Data!$AD$3:$AD$348,Data!$X$3:$X$348,L$1,Data!$Y$3:$Y$348,"2022",Data!$K$3:$K$348,'Reporting 2022'!$B17)</f>
        <v/>
      </c>
      <c r="M49" s="709">
        <f>SUMIFS(Data!$AD$3:$AD$348,Data!$X$3:$X$348,M$1,Data!$Y$3:$Y$348,"2022",Data!$K$3:$K$348,'Reporting 2022'!$B17)</f>
        <v/>
      </c>
      <c r="N49" s="709">
        <f>SUMIFS(Data!$AD$3:$AD$348,Data!$X$3:$X$348,N$1,Data!$Y$3:$Y$348,"2022",Data!$K$3:$K$348,'Reporting 2022'!$B17)</f>
        <v/>
      </c>
      <c r="O49" s="709">
        <f>SUMIFS(Data!$AD$3:$AD$348,Data!$X$3:$X$348,O$1,Data!$Y$3:$Y$348,"2022",Data!$K$3:$K$348,'Reporting 2022'!$B17)</f>
        <v/>
      </c>
      <c r="P49" s="709">
        <f>SUMIFS(Data!$AD$3:$AD$348,Data!$X$3:$X$348,P$1,Data!$Y$3:$Y$348,"2022",Data!$K$3:$K$348,'Reporting 2022'!$B17)</f>
        <v/>
      </c>
      <c r="Q49" s="709">
        <f>SUMIFS(Data!$AD$3:$AD$348,Data!$X$3:$X$348,Q$1,Data!$Y$3:$Y$348,"2022",Data!$K$3:$K$348,'Reporting 2022'!$B17)</f>
        <v/>
      </c>
      <c r="R49" s="709">
        <f>SUMIFS(Data!$AD$3:$AD$348,Data!$X$3:$X$348,R$1,Data!$Y$3:$Y$348,"2022",Data!$K$3:$K$348,'Reporting 2022'!$B17)</f>
        <v/>
      </c>
      <c r="S49" s="709">
        <f>SUMIFS(Data!$AD$3:$AD$348,Data!$X$3:$X$348,S$1,Data!$Y$3:$Y$348,"2022",Data!$K$3:$K$348,'Reporting 2022'!$B17)</f>
        <v/>
      </c>
      <c r="T49" s="709">
        <f>SUMIFS(Data!$AD$3:$AD$348,Data!$X$3:$X$348,T$1,Data!$Y$3:$Y$348,"2022",Data!$K$3:$K$348,'Reporting 2022'!$B17)</f>
        <v/>
      </c>
      <c r="U49" s="709">
        <f>SUMIFS(Data!$AD$3:$AD$348,Data!$X$3:$X$348,U$1,Data!$Y$3:$Y$348,"2022",Data!$K$3:$K$348,'Reporting 2022'!$B17)</f>
        <v/>
      </c>
      <c r="V49" s="709">
        <f>SUMIFS(Data!$AD$3:$AD$348,Data!$X$3:$X$348,V$1,Data!$Y$3:$Y$348,"2022",Data!$K$3:$K$348,'Reporting 2022'!$B17)</f>
        <v/>
      </c>
      <c r="W49" s="709">
        <f>SUMIFS(Data!$AD$3:$AD$348,Data!$X$3:$X$348,W$1,Data!$Y$3:$Y$348,"2022",Data!$K$3:$K$348,'Reporting 2022'!$B17)</f>
        <v/>
      </c>
      <c r="X49" s="709">
        <f>SUMIFS(Data!$AD$3:$AD$348,Data!$X$3:$X$348,X$1,Data!$Y$3:$Y$348,"2022",Data!$K$3:$K$348,'Reporting 2022'!$B17)</f>
        <v/>
      </c>
      <c r="Y49" s="709">
        <f>SUMIFS(Data!$AD$3:$AD$348,Data!$X$3:$X$348,Y$1,Data!$Y$3:$Y$348,"2022",Data!$K$3:$K$348,'Reporting 2022'!$B17)</f>
        <v/>
      </c>
      <c r="Z49" s="709">
        <f>SUMIFS(Data!$AD$3:$AD$348,Data!$X$3:$X$348,Z$1,Data!$Y$3:$Y$348,"2022",Data!$K$3:$K$348,'Reporting 2022'!$B17)</f>
        <v/>
      </c>
      <c r="AA49" s="709">
        <f>SUMIFS(Data!$AD$3:$AD$348,Data!$X$3:$X$348,AA$1,Data!$Y$3:$Y$348,"2022",Data!$K$3:$K$348,'Reporting 2022'!$B17)</f>
        <v/>
      </c>
      <c r="AB49" s="709">
        <f>SUMIFS(Data!$AD$3:$AD$348,Data!$X$3:$X$348,AB$1,Data!$Y$3:$Y$348,"2022",Data!$K$3:$K$348,'Reporting 2022'!$B17)</f>
        <v/>
      </c>
      <c r="AC49" s="709">
        <f>SUMIFS(Data!$AD$3:$AD$348,Data!$X$3:$X$348,AC$1,Data!$Y$3:$Y$348,"2022",Data!$K$3:$K$348,'Reporting 2022'!$B17)</f>
        <v/>
      </c>
      <c r="AD49" s="709">
        <f>SUMIFS(Data!$AD$3:$AD$348,Data!$X$3:$X$348,AD$1,Data!$Y$3:$Y$348,"2022",Data!$K$3:$K$348,'Reporting 2022'!$B17)</f>
        <v/>
      </c>
      <c r="AE49" s="709">
        <f>SUMIFS(Data!$AD$3:$AD$348,Data!$X$3:$X$348,AE$1,Data!$Y$3:$Y$348,"2022",Data!$K$3:$K$348,'Reporting 2022'!$B17)</f>
        <v/>
      </c>
      <c r="AF49" s="709">
        <f>SUMIFS(Data!$AD$3:$AD$348,Data!$X$3:$X$348,AF$1,Data!$Y$3:$Y$348,"2022",Data!$K$3:$K$348,'Reporting 2022'!$B17)</f>
        <v/>
      </c>
      <c r="AG49" s="709">
        <f>SUMIFS(Data!$AD$3:$AD$348,Data!$X$3:$X$348,AG$1,Data!$Y$3:$Y$348,"2022",Data!$K$3:$K$348,'Reporting 2022'!$B17)</f>
        <v/>
      </c>
      <c r="AH49" s="709">
        <f>SUMIFS(Data!$AD$3:$AD$348,Data!$X$3:$X$348,AH$1,Data!$Y$3:$Y$348,"2022",Data!$K$3:$K$348,'Reporting 2022'!$B17)</f>
        <v/>
      </c>
      <c r="AI49" s="709">
        <f>SUMIFS(Data!$AD$3:$AD$348,Data!$X$3:$X$348,AI$1,Data!$Y$3:$Y$348,"2022",Data!$K$3:$K$348,'Reporting 2022'!$B17)</f>
        <v/>
      </c>
      <c r="AJ49" s="709">
        <f>SUMIFS(Data!$AD$3:$AD$348,Data!$X$3:$X$348,AJ$1,Data!$Y$3:$Y$348,"2022",Data!$K$3:$K$348,'Reporting 2022'!$B17)</f>
        <v/>
      </c>
      <c r="AK49" s="709">
        <f>SUMIFS(Data!$AD$3:$AD$348,Data!$X$3:$X$348,AK$1,Data!$Y$3:$Y$348,"2022",Data!$K$3:$K$348,'Reporting 2022'!$B17)</f>
        <v/>
      </c>
      <c r="AL49" s="709">
        <f>SUMIFS(Data!$AD$3:$AD$348,Data!$X$3:$X$348,AL$1,Data!$Y$3:$Y$348,"2022",Data!$K$3:$K$348,'Reporting 2022'!$B17)</f>
        <v/>
      </c>
      <c r="AM49" s="709">
        <f>SUMIFS(Data!$AD$3:$AD$348,Data!$X$3:$X$348,AM$1,Data!$Y$3:$Y$348,"2022",Data!$K$3:$K$348,'Reporting 2022'!$B17)</f>
        <v/>
      </c>
      <c r="AN49" s="709">
        <f>SUMIFS(Data!$AD$3:$AD$348,Data!$X$3:$X$348,AN$1,Data!$Y$3:$Y$348,"2022",Data!$K$3:$K$348,'Reporting 2022'!$B17)</f>
        <v/>
      </c>
      <c r="AO49" s="709">
        <f>SUMIFS(Data!$AD$3:$AD$348,Data!$X$3:$X$348,AO$1,Data!$Y$3:$Y$348,"2022",Data!$K$3:$K$348,'Reporting 2022'!$B17)</f>
        <v/>
      </c>
      <c r="AP49" s="709">
        <f>SUMIFS(Data!$AD$3:$AD$348,Data!$X$3:$X$348,AP$1,Data!$Y$3:$Y$348,"2022",Data!$K$3:$K$348,'Reporting 2022'!$B17)</f>
        <v/>
      </c>
      <c r="AQ49" s="709">
        <f>SUMIFS(Data!$AD$3:$AD$348,Data!$X$3:$X$348,AQ$1,Data!$Y$3:$Y$348,"2022",Data!$K$3:$K$348,'Reporting 2022'!$B17)</f>
        <v/>
      </c>
      <c r="AR49" s="709">
        <f>SUMIFS(Data!$AD$3:$AD$348,Data!$X$3:$X$348,AR$1,Data!$Y$3:$Y$348,"2022",Data!$K$3:$K$348,'Reporting 2022'!$B17)</f>
        <v/>
      </c>
      <c r="AS49" s="709">
        <f>SUMIFS(Data!$AD$3:$AD$348,Data!$X$3:$X$348,AS$1,Data!$Y$3:$Y$348,"2022",Data!$K$3:$K$348,'Reporting 2022'!$B17)</f>
        <v/>
      </c>
      <c r="AT49" s="709">
        <f>SUMIFS(Data!$AD$3:$AD$348,Data!$X$3:$X$348,AT$1,Data!$Y$3:$Y$348,"2022",Data!$K$3:$K$348,'Reporting 2022'!$B17)</f>
        <v/>
      </c>
      <c r="AU49" s="709">
        <f>SUMIFS(Data!$AD$3:$AD$348,Data!$X$3:$X$348,AU$1,Data!$Y$3:$Y$348,"2022",Data!$K$3:$K$348,'Reporting 2022'!$B17)</f>
        <v/>
      </c>
      <c r="AV49" s="709">
        <f>SUMIFS(Data!$AD$3:$AD$348,Data!$X$3:$X$348,AV$1,Data!$Y$3:$Y$348,"2022",Data!$K$3:$K$348,'Reporting 2022'!$B17)</f>
        <v/>
      </c>
      <c r="AW49" s="709">
        <f>SUMIFS(Data!$AD$3:$AD$348,Data!$X$3:$X$348,AW$1,Data!$Y$3:$Y$348,"2022",Data!$K$3:$K$348,'Reporting 2022'!$B17)</f>
        <v/>
      </c>
      <c r="AX49" s="709">
        <f>SUMIFS(Data!$AD$3:$AD$348,Data!$X$3:$X$348,AX$1,Data!$Y$3:$Y$348,"2022",Data!$K$3:$K$348,'Reporting 2022'!$B17)</f>
        <v/>
      </c>
      <c r="AY49" s="709">
        <f>SUMIFS(Data!$AD$3:$AD$348,Data!$X$3:$X$348,AY$1,Data!$Y$3:$Y$348,"2022",Data!$K$3:$K$348,'Reporting 2022'!$B17)</f>
        <v/>
      </c>
      <c r="AZ49" s="709">
        <f>SUMIFS(Data!$AD$3:$AD$348,Data!$X$3:$X$348,AZ$1,Data!$Y$3:$Y$348,"2022",Data!$K$3:$K$348,'Reporting 2022'!$B17)</f>
        <v/>
      </c>
      <c r="BA49" s="709">
        <f>SUMIFS(Data!$AD$3:$AD$348,Data!$X$3:$X$348,BA$1,Data!$Y$3:$Y$348,"2022",Data!$K$3:$K$348,'Reporting 2022'!$B17)</f>
        <v/>
      </c>
      <c r="BB49" s="709">
        <f>SUMIFS(Data!$AD$3:$AD$348,Data!$X$3:$X$348,BB$1,Data!$Y$3:$Y$348,"2022",Data!$K$3:$K$348,'Reporting 2022'!$B17)</f>
        <v/>
      </c>
    </row>
    <row r="50">
      <c r="B50" s="349" t="inlineStr">
        <is>
          <t>FCP OTHER AIA REVENUE</t>
        </is>
      </c>
      <c r="C50" s="709">
        <f>SUMIFS(Data!$AD$3:$AD$348,Data!$X$3:$X$348,C$1,Data!$Y$3:$Y$348,"2022",Data!$K$3:$K$348,'Reporting 2022'!$B18)</f>
        <v/>
      </c>
      <c r="D50" s="709">
        <f>SUMIFS(Data!$AD$3:$AD$348,Data!$X$3:$X$348,D$1,Data!$Y$3:$Y$348,"2022",Data!$K$3:$K$348,'Reporting 2022'!$B18)</f>
        <v/>
      </c>
      <c r="E50" s="709">
        <f>SUMIFS(Data!$AD$3:$AD$348,Data!$X$3:$X$348,E$1,Data!$Y$3:$Y$348,"2022",Data!$K$3:$K$348,'Reporting 2022'!$B18)</f>
        <v/>
      </c>
      <c r="F50" s="709">
        <f>SUMIFS(Data!$AD$3:$AD$348,Data!$X$3:$X$348,F$1,Data!$Y$3:$Y$348,"2022",Data!$K$3:$K$348,'Reporting 2022'!$B18)</f>
        <v/>
      </c>
      <c r="G50" s="709">
        <f>SUMIFS(Data!$AD$3:$AD$348,Data!$X$3:$X$348,G$1,Data!$Y$3:$Y$348,"2022",Data!$K$3:$K$348,'Reporting 2022'!$B18)</f>
        <v/>
      </c>
      <c r="H50" s="709">
        <f>SUMIFS(Data!$AD$3:$AD$348,Data!$X$3:$X$348,H$1,Data!$Y$3:$Y$348,"2022",Data!$K$3:$K$348,'Reporting 2022'!$B18)</f>
        <v/>
      </c>
      <c r="I50" s="709">
        <f>SUMIFS(Data!$AD$3:$AD$348,Data!$X$3:$X$348,I$1,Data!$Y$3:$Y$348,"2022",Data!$K$3:$K$348,'Reporting 2022'!$B18)</f>
        <v/>
      </c>
      <c r="J50" s="709">
        <f>SUMIFS(Data!$AD$3:$AD$348,Data!$X$3:$X$348,J$1,Data!$Y$3:$Y$348,"2022",Data!$K$3:$K$348,'Reporting 2022'!$B18)</f>
        <v/>
      </c>
      <c r="K50" s="709">
        <f>SUMIFS(Data!$AD$3:$AD$348,Data!$X$3:$X$348,K$1,Data!$Y$3:$Y$348,"2022",Data!$K$3:$K$348,'Reporting 2022'!$B18)</f>
        <v/>
      </c>
      <c r="L50" s="709">
        <f>SUMIFS(Data!$AD$3:$AD$348,Data!$X$3:$X$348,L$1,Data!$Y$3:$Y$348,"2022",Data!$K$3:$K$348,'Reporting 2022'!$B18)</f>
        <v/>
      </c>
      <c r="M50" s="709">
        <f>SUMIFS(Data!$AD$3:$AD$348,Data!$X$3:$X$348,M$1,Data!$Y$3:$Y$348,"2022",Data!$K$3:$K$348,'Reporting 2022'!$B18)</f>
        <v/>
      </c>
      <c r="N50" s="709">
        <f>SUMIFS(Data!$AD$3:$AD$348,Data!$X$3:$X$348,N$1,Data!$Y$3:$Y$348,"2022",Data!$K$3:$K$348,'Reporting 2022'!$B18)</f>
        <v/>
      </c>
      <c r="O50" s="709">
        <f>SUMIFS(Data!$AD$3:$AD$348,Data!$X$3:$X$348,O$1,Data!$Y$3:$Y$348,"2022",Data!$K$3:$K$348,'Reporting 2022'!$B18)</f>
        <v/>
      </c>
      <c r="P50" s="709">
        <f>SUMIFS(Data!$AD$3:$AD$348,Data!$X$3:$X$348,P$1,Data!$Y$3:$Y$348,"2022",Data!$K$3:$K$348,'Reporting 2022'!$B18)</f>
        <v/>
      </c>
      <c r="Q50" s="709">
        <f>SUMIFS(Data!$AD$3:$AD$348,Data!$X$3:$X$348,Q$1,Data!$Y$3:$Y$348,"2022",Data!$K$3:$K$348,'Reporting 2022'!$B18)</f>
        <v/>
      </c>
      <c r="R50" s="709">
        <f>SUMIFS(Data!$AD$3:$AD$348,Data!$X$3:$X$348,R$1,Data!$Y$3:$Y$348,"2022",Data!$K$3:$K$348,'Reporting 2022'!$B18)</f>
        <v/>
      </c>
      <c r="S50" s="709">
        <f>SUMIFS(Data!$AD$3:$AD$348,Data!$X$3:$X$348,S$1,Data!$Y$3:$Y$348,"2022",Data!$K$3:$K$348,'Reporting 2022'!$B18)</f>
        <v/>
      </c>
      <c r="T50" s="709">
        <f>SUMIFS(Data!$AD$3:$AD$348,Data!$X$3:$X$348,T$1,Data!$Y$3:$Y$348,"2022",Data!$K$3:$K$348,'Reporting 2022'!$B18)</f>
        <v/>
      </c>
      <c r="U50" s="709">
        <f>SUMIFS(Data!$AD$3:$AD$348,Data!$X$3:$X$348,U$1,Data!$Y$3:$Y$348,"2022",Data!$K$3:$K$348,'Reporting 2022'!$B18)</f>
        <v/>
      </c>
      <c r="V50" s="709">
        <f>SUMIFS(Data!$AD$3:$AD$348,Data!$X$3:$X$348,V$1,Data!$Y$3:$Y$348,"2022",Data!$K$3:$K$348,'Reporting 2022'!$B18)</f>
        <v/>
      </c>
      <c r="W50" s="709">
        <f>SUMIFS(Data!$AD$3:$AD$348,Data!$X$3:$X$348,W$1,Data!$Y$3:$Y$348,"2022",Data!$K$3:$K$348,'Reporting 2022'!$B18)</f>
        <v/>
      </c>
      <c r="X50" s="709">
        <f>SUMIFS(Data!$AD$3:$AD$348,Data!$X$3:$X$348,X$1,Data!$Y$3:$Y$348,"2022",Data!$K$3:$K$348,'Reporting 2022'!$B18)</f>
        <v/>
      </c>
      <c r="Y50" s="709">
        <f>SUMIFS(Data!$AD$3:$AD$348,Data!$X$3:$X$348,Y$1,Data!$Y$3:$Y$348,"2022",Data!$K$3:$K$348,'Reporting 2022'!$B18)</f>
        <v/>
      </c>
      <c r="Z50" s="709">
        <f>SUMIFS(Data!$AD$3:$AD$348,Data!$X$3:$X$348,Z$1,Data!$Y$3:$Y$348,"2022",Data!$K$3:$K$348,'Reporting 2022'!$B18)</f>
        <v/>
      </c>
      <c r="AA50" s="709">
        <f>SUMIFS(Data!$AD$3:$AD$348,Data!$X$3:$X$348,AA$1,Data!$Y$3:$Y$348,"2022",Data!$K$3:$K$348,'Reporting 2022'!$B18)</f>
        <v/>
      </c>
      <c r="AB50" s="709">
        <f>SUMIFS(Data!$AD$3:$AD$348,Data!$X$3:$X$348,AB$1,Data!$Y$3:$Y$348,"2022",Data!$K$3:$K$348,'Reporting 2022'!$B18)</f>
        <v/>
      </c>
      <c r="AC50" s="709">
        <f>SUMIFS(Data!$AD$3:$AD$348,Data!$X$3:$X$348,AC$1,Data!$Y$3:$Y$348,"2022",Data!$K$3:$K$348,'Reporting 2022'!$B18)</f>
        <v/>
      </c>
      <c r="AD50" s="709">
        <f>SUMIFS(Data!$AD$3:$AD$348,Data!$X$3:$X$348,AD$1,Data!$Y$3:$Y$348,"2022",Data!$K$3:$K$348,'Reporting 2022'!$B18)</f>
        <v/>
      </c>
      <c r="AE50" s="709">
        <f>SUMIFS(Data!$AD$3:$AD$348,Data!$X$3:$X$348,AE$1,Data!$Y$3:$Y$348,"2022",Data!$K$3:$K$348,'Reporting 2022'!$B18)</f>
        <v/>
      </c>
      <c r="AF50" s="709">
        <f>SUMIFS(Data!$AD$3:$AD$348,Data!$X$3:$X$348,AF$1,Data!$Y$3:$Y$348,"2022",Data!$K$3:$K$348,'Reporting 2022'!$B18)</f>
        <v/>
      </c>
      <c r="AG50" s="709">
        <f>SUMIFS(Data!$AD$3:$AD$348,Data!$X$3:$X$348,AG$1,Data!$Y$3:$Y$348,"2022",Data!$K$3:$K$348,'Reporting 2022'!$B18)</f>
        <v/>
      </c>
      <c r="AH50" s="709">
        <f>SUMIFS(Data!$AD$3:$AD$348,Data!$X$3:$X$348,AH$1,Data!$Y$3:$Y$348,"2022",Data!$K$3:$K$348,'Reporting 2022'!$B18)</f>
        <v/>
      </c>
      <c r="AI50" s="709">
        <f>SUMIFS(Data!$AD$3:$AD$348,Data!$X$3:$X$348,AI$1,Data!$Y$3:$Y$348,"2022",Data!$K$3:$K$348,'Reporting 2022'!$B18)</f>
        <v/>
      </c>
      <c r="AJ50" s="709">
        <f>SUMIFS(Data!$AD$3:$AD$348,Data!$X$3:$X$348,AJ$1,Data!$Y$3:$Y$348,"2022",Data!$K$3:$K$348,'Reporting 2022'!$B18)</f>
        <v/>
      </c>
      <c r="AK50" s="709">
        <f>SUMIFS(Data!$AD$3:$AD$348,Data!$X$3:$X$348,AK$1,Data!$Y$3:$Y$348,"2022",Data!$K$3:$K$348,'Reporting 2022'!$B18)</f>
        <v/>
      </c>
      <c r="AL50" s="709">
        <f>SUMIFS(Data!$AD$3:$AD$348,Data!$X$3:$X$348,AL$1,Data!$Y$3:$Y$348,"2022",Data!$K$3:$K$348,'Reporting 2022'!$B18)</f>
        <v/>
      </c>
      <c r="AM50" s="709">
        <f>SUMIFS(Data!$AD$3:$AD$348,Data!$X$3:$X$348,AM$1,Data!$Y$3:$Y$348,"2022",Data!$K$3:$K$348,'Reporting 2022'!$B18)</f>
        <v/>
      </c>
      <c r="AN50" s="709">
        <f>SUMIFS(Data!$AD$3:$AD$348,Data!$X$3:$X$348,AN$1,Data!$Y$3:$Y$348,"2022",Data!$K$3:$K$348,'Reporting 2022'!$B18)</f>
        <v/>
      </c>
      <c r="AO50" s="709">
        <f>SUMIFS(Data!$AD$3:$AD$348,Data!$X$3:$X$348,AO$1,Data!$Y$3:$Y$348,"2022",Data!$K$3:$K$348,'Reporting 2022'!$B18)</f>
        <v/>
      </c>
      <c r="AP50" s="709">
        <f>SUMIFS(Data!$AD$3:$AD$348,Data!$X$3:$X$348,AP$1,Data!$Y$3:$Y$348,"2022",Data!$K$3:$K$348,'Reporting 2022'!$B18)</f>
        <v/>
      </c>
      <c r="AQ50" s="709">
        <f>SUMIFS(Data!$AD$3:$AD$348,Data!$X$3:$X$348,AQ$1,Data!$Y$3:$Y$348,"2022",Data!$K$3:$K$348,'Reporting 2022'!$B18)</f>
        <v/>
      </c>
      <c r="AR50" s="709">
        <f>SUMIFS(Data!$AD$3:$AD$348,Data!$X$3:$X$348,AR$1,Data!$Y$3:$Y$348,"2022",Data!$K$3:$K$348,'Reporting 2022'!$B18)</f>
        <v/>
      </c>
      <c r="AS50" s="709">
        <f>SUMIFS(Data!$AD$3:$AD$348,Data!$X$3:$X$348,AS$1,Data!$Y$3:$Y$348,"2022",Data!$K$3:$K$348,'Reporting 2022'!$B18)</f>
        <v/>
      </c>
      <c r="AT50" s="709">
        <f>SUMIFS(Data!$AD$3:$AD$348,Data!$X$3:$X$348,AT$1,Data!$Y$3:$Y$348,"2022",Data!$K$3:$K$348,'Reporting 2022'!$B18)</f>
        <v/>
      </c>
      <c r="AU50" s="709">
        <f>SUMIFS(Data!$AD$3:$AD$348,Data!$X$3:$X$348,AU$1,Data!$Y$3:$Y$348,"2022",Data!$K$3:$K$348,'Reporting 2022'!$B18)</f>
        <v/>
      </c>
      <c r="AV50" s="709">
        <f>SUMIFS(Data!$AD$3:$AD$348,Data!$X$3:$X$348,AV$1,Data!$Y$3:$Y$348,"2022",Data!$K$3:$K$348,'Reporting 2022'!$B18)</f>
        <v/>
      </c>
      <c r="AW50" s="709">
        <f>SUMIFS(Data!$AD$3:$AD$348,Data!$X$3:$X$348,AW$1,Data!$Y$3:$Y$348,"2022",Data!$K$3:$K$348,'Reporting 2022'!$B18)</f>
        <v/>
      </c>
      <c r="AX50" s="709">
        <f>SUMIFS(Data!$AD$3:$AD$348,Data!$X$3:$X$348,AX$1,Data!$Y$3:$Y$348,"2022",Data!$K$3:$K$348,'Reporting 2022'!$B18)</f>
        <v/>
      </c>
      <c r="AY50" s="709">
        <f>SUMIFS(Data!$AD$3:$AD$348,Data!$X$3:$X$348,AY$1,Data!$Y$3:$Y$348,"2022",Data!$K$3:$K$348,'Reporting 2022'!$B18)</f>
        <v/>
      </c>
      <c r="AZ50" s="709">
        <f>SUMIFS(Data!$AD$3:$AD$348,Data!$X$3:$X$348,AZ$1,Data!$Y$3:$Y$348,"2022",Data!$K$3:$K$348,'Reporting 2022'!$B18)</f>
        <v/>
      </c>
      <c r="BA50" s="709">
        <f>SUMIFS(Data!$AD$3:$AD$348,Data!$X$3:$X$348,BA$1,Data!$Y$3:$Y$348,"2022",Data!$K$3:$K$348,'Reporting 2022'!$B18)</f>
        <v/>
      </c>
      <c r="BB50" s="709">
        <f>SUMIFS(Data!$AD$3:$AD$348,Data!$X$3:$X$348,BB$1,Data!$Y$3:$Y$348,"2022",Data!$K$3:$K$348,'Reporting 2022'!$B18)</f>
        <v/>
      </c>
    </row>
    <row r="51">
      <c r="B51" s="349" t="inlineStr">
        <is>
          <t>GSE to AIA REVENUE</t>
        </is>
      </c>
      <c r="C51" s="709">
        <f>SUMIFS(Data!$AD$3:$AD$348,Data!$X$3:$X$348,C$1,Data!$Y$3:$Y$348,"2022",Data!$K$3:$K$348,'Reporting 2022'!$B19)</f>
        <v/>
      </c>
      <c r="D51" s="709">
        <f>SUMIFS(Data!$AD$3:$AD$348,Data!$X$3:$X$348,D$1,Data!$Y$3:$Y$348,"2022",Data!$K$3:$K$348,'Reporting 2022'!$B19)</f>
        <v/>
      </c>
      <c r="E51" s="709">
        <f>SUMIFS(Data!$AD$3:$AD$348,Data!$X$3:$X$348,E$1,Data!$Y$3:$Y$348,"2022",Data!$K$3:$K$348,'Reporting 2022'!$B19)</f>
        <v/>
      </c>
      <c r="F51" s="709">
        <f>SUMIFS(Data!$AD$3:$AD$348,Data!$X$3:$X$348,F$1,Data!$Y$3:$Y$348,"2022",Data!$K$3:$K$348,'Reporting 2022'!$B19)</f>
        <v/>
      </c>
      <c r="G51" s="709">
        <f>SUMIFS(Data!$AD$3:$AD$348,Data!$X$3:$X$348,G$1,Data!$Y$3:$Y$348,"2022",Data!$K$3:$K$348,'Reporting 2022'!$B19)</f>
        <v/>
      </c>
      <c r="H51" s="709">
        <f>SUMIFS(Data!$AD$3:$AD$348,Data!$X$3:$X$348,H$1,Data!$Y$3:$Y$348,"2022",Data!$K$3:$K$348,'Reporting 2022'!$B19)</f>
        <v/>
      </c>
      <c r="I51" s="709">
        <f>SUMIFS(Data!$AD$3:$AD$348,Data!$X$3:$X$348,I$1,Data!$Y$3:$Y$348,"2022",Data!$K$3:$K$348,'Reporting 2022'!$B19)</f>
        <v/>
      </c>
      <c r="J51" s="709">
        <f>SUMIFS(Data!$AD$3:$AD$348,Data!$X$3:$X$348,J$1,Data!$Y$3:$Y$348,"2022",Data!$K$3:$K$348,'Reporting 2022'!$B19)</f>
        <v/>
      </c>
      <c r="K51" s="709">
        <f>SUMIFS(Data!$AD$3:$AD$348,Data!$X$3:$X$348,K$1,Data!$Y$3:$Y$348,"2022",Data!$K$3:$K$348,'Reporting 2022'!$B19)</f>
        <v/>
      </c>
      <c r="L51" s="709">
        <f>SUMIFS(Data!$AD$3:$AD$348,Data!$X$3:$X$348,L$1,Data!$Y$3:$Y$348,"2022",Data!$K$3:$K$348,'Reporting 2022'!$B19)</f>
        <v/>
      </c>
      <c r="M51" s="709">
        <f>SUMIFS(Data!$AD$3:$AD$348,Data!$X$3:$X$348,M$1,Data!$Y$3:$Y$348,"2022",Data!$K$3:$K$348,'Reporting 2022'!$B19)</f>
        <v/>
      </c>
      <c r="N51" s="709">
        <f>SUMIFS(Data!$AD$3:$AD$348,Data!$X$3:$X$348,N$1,Data!$Y$3:$Y$348,"2022",Data!$K$3:$K$348,'Reporting 2022'!$B19)</f>
        <v/>
      </c>
      <c r="O51" s="709">
        <f>SUMIFS(Data!$AD$3:$AD$348,Data!$X$3:$X$348,O$1,Data!$Y$3:$Y$348,"2022",Data!$K$3:$K$348,'Reporting 2022'!$B19)</f>
        <v/>
      </c>
      <c r="P51" s="709">
        <f>SUMIFS(Data!$AD$3:$AD$348,Data!$X$3:$X$348,P$1,Data!$Y$3:$Y$348,"2022",Data!$K$3:$K$348,'Reporting 2022'!$B19)</f>
        <v/>
      </c>
      <c r="Q51" s="709">
        <f>SUMIFS(Data!$AD$3:$AD$348,Data!$X$3:$X$348,Q$1,Data!$Y$3:$Y$348,"2022",Data!$K$3:$K$348,'Reporting 2022'!$B19)</f>
        <v/>
      </c>
      <c r="R51" s="709">
        <f>SUMIFS(Data!$AD$3:$AD$348,Data!$X$3:$X$348,R$1,Data!$Y$3:$Y$348,"2022",Data!$K$3:$K$348,'Reporting 2022'!$B19)</f>
        <v/>
      </c>
      <c r="S51" s="709">
        <f>SUMIFS(Data!$AD$3:$AD$348,Data!$X$3:$X$348,S$1,Data!$Y$3:$Y$348,"2022",Data!$K$3:$K$348,'Reporting 2022'!$B19)</f>
        <v/>
      </c>
      <c r="T51" s="709">
        <f>SUMIFS(Data!$AD$3:$AD$348,Data!$X$3:$X$348,T$1,Data!$Y$3:$Y$348,"2022",Data!$K$3:$K$348,'Reporting 2022'!$B19)</f>
        <v/>
      </c>
      <c r="U51" s="709">
        <f>SUMIFS(Data!$AD$3:$AD$348,Data!$X$3:$X$348,U$1,Data!$Y$3:$Y$348,"2022",Data!$K$3:$K$348,'Reporting 2022'!$B19)</f>
        <v/>
      </c>
      <c r="V51" s="709">
        <f>SUMIFS(Data!$AD$3:$AD$348,Data!$X$3:$X$348,V$1,Data!$Y$3:$Y$348,"2022",Data!$K$3:$K$348,'Reporting 2022'!$B19)</f>
        <v/>
      </c>
      <c r="W51" s="709">
        <f>SUMIFS(Data!$AD$3:$AD$348,Data!$X$3:$X$348,W$1,Data!$Y$3:$Y$348,"2022",Data!$K$3:$K$348,'Reporting 2022'!$B19)</f>
        <v/>
      </c>
      <c r="X51" s="709">
        <f>SUMIFS(Data!$AD$3:$AD$348,Data!$X$3:$X$348,X$1,Data!$Y$3:$Y$348,"2022",Data!$K$3:$K$348,'Reporting 2022'!$B19)</f>
        <v/>
      </c>
      <c r="Y51" s="709">
        <f>SUMIFS(Data!$AD$3:$AD$348,Data!$X$3:$X$348,Y$1,Data!$Y$3:$Y$348,"2022",Data!$K$3:$K$348,'Reporting 2022'!$B19)</f>
        <v/>
      </c>
      <c r="Z51" s="709">
        <f>SUMIFS(Data!$AD$3:$AD$348,Data!$X$3:$X$348,Z$1,Data!$Y$3:$Y$348,"2022",Data!$K$3:$K$348,'Reporting 2022'!$B19)</f>
        <v/>
      </c>
      <c r="AA51" s="709">
        <f>SUMIFS(Data!$AD$3:$AD$348,Data!$X$3:$X$348,AA$1,Data!$Y$3:$Y$348,"2022",Data!$K$3:$K$348,'Reporting 2022'!$B19)</f>
        <v/>
      </c>
      <c r="AB51" s="709">
        <f>SUMIFS(Data!$AD$3:$AD$348,Data!$X$3:$X$348,AB$1,Data!$Y$3:$Y$348,"2022",Data!$K$3:$K$348,'Reporting 2022'!$B19)</f>
        <v/>
      </c>
      <c r="AC51" s="709">
        <f>SUMIFS(Data!$AD$3:$AD$348,Data!$X$3:$X$348,AC$1,Data!$Y$3:$Y$348,"2022",Data!$K$3:$K$348,'Reporting 2022'!$B19)</f>
        <v/>
      </c>
      <c r="AD51" s="709">
        <f>SUMIFS(Data!$AD$3:$AD$348,Data!$X$3:$X$348,AD$1,Data!$Y$3:$Y$348,"2022",Data!$K$3:$K$348,'Reporting 2022'!$B19)</f>
        <v/>
      </c>
      <c r="AE51" s="709">
        <f>SUMIFS(Data!$AD$3:$AD$348,Data!$X$3:$X$348,AE$1,Data!$Y$3:$Y$348,"2022",Data!$K$3:$K$348,'Reporting 2022'!$B19)</f>
        <v/>
      </c>
      <c r="AF51" s="709">
        <f>SUMIFS(Data!$AD$3:$AD$348,Data!$X$3:$X$348,AF$1,Data!$Y$3:$Y$348,"2022",Data!$K$3:$K$348,'Reporting 2022'!$B19)</f>
        <v/>
      </c>
      <c r="AG51" s="709">
        <f>SUMIFS(Data!$AD$3:$AD$348,Data!$X$3:$X$348,AG$1,Data!$Y$3:$Y$348,"2022",Data!$K$3:$K$348,'Reporting 2022'!$B19)</f>
        <v/>
      </c>
      <c r="AH51" s="709">
        <f>SUMIFS(Data!$AD$3:$AD$348,Data!$X$3:$X$348,AH$1,Data!$Y$3:$Y$348,"2022",Data!$K$3:$K$348,'Reporting 2022'!$B19)</f>
        <v/>
      </c>
      <c r="AI51" s="709">
        <f>SUMIFS(Data!$AD$3:$AD$348,Data!$X$3:$X$348,AI$1,Data!$Y$3:$Y$348,"2022",Data!$K$3:$K$348,'Reporting 2022'!$B19)</f>
        <v/>
      </c>
      <c r="AJ51" s="709">
        <f>SUMIFS(Data!$AD$3:$AD$348,Data!$X$3:$X$348,AJ$1,Data!$Y$3:$Y$348,"2022",Data!$K$3:$K$348,'Reporting 2022'!$B19)</f>
        <v/>
      </c>
      <c r="AK51" s="709">
        <f>SUMIFS(Data!$AD$3:$AD$348,Data!$X$3:$X$348,AK$1,Data!$Y$3:$Y$348,"2022",Data!$K$3:$K$348,'Reporting 2022'!$B19)</f>
        <v/>
      </c>
      <c r="AL51" s="709">
        <f>SUMIFS(Data!$AD$3:$AD$348,Data!$X$3:$X$348,AL$1,Data!$Y$3:$Y$348,"2022",Data!$K$3:$K$348,'Reporting 2022'!$B19)</f>
        <v/>
      </c>
      <c r="AM51" s="709">
        <f>SUMIFS(Data!$AD$3:$AD$348,Data!$X$3:$X$348,AM$1,Data!$Y$3:$Y$348,"2022",Data!$K$3:$K$348,'Reporting 2022'!$B19)</f>
        <v/>
      </c>
      <c r="AN51" s="709">
        <f>SUMIFS(Data!$AD$3:$AD$348,Data!$X$3:$X$348,AN$1,Data!$Y$3:$Y$348,"2022",Data!$K$3:$K$348,'Reporting 2022'!$B19)</f>
        <v/>
      </c>
      <c r="AO51" s="709">
        <f>SUMIFS(Data!$AD$3:$AD$348,Data!$X$3:$X$348,AO$1,Data!$Y$3:$Y$348,"2022",Data!$K$3:$K$348,'Reporting 2022'!$B19)</f>
        <v/>
      </c>
      <c r="AP51" s="709">
        <f>SUMIFS(Data!$AD$3:$AD$348,Data!$X$3:$X$348,AP$1,Data!$Y$3:$Y$348,"2022",Data!$K$3:$K$348,'Reporting 2022'!$B19)</f>
        <v/>
      </c>
      <c r="AQ51" s="709">
        <f>SUMIFS(Data!$AD$3:$AD$348,Data!$X$3:$X$348,AQ$1,Data!$Y$3:$Y$348,"2022",Data!$K$3:$K$348,'Reporting 2022'!$B19)</f>
        <v/>
      </c>
      <c r="AR51" s="709">
        <f>SUMIFS(Data!$AD$3:$AD$348,Data!$X$3:$X$348,AR$1,Data!$Y$3:$Y$348,"2022",Data!$K$3:$K$348,'Reporting 2022'!$B19)</f>
        <v/>
      </c>
      <c r="AS51" s="709">
        <f>SUMIFS(Data!$AD$3:$AD$348,Data!$X$3:$X$348,AS$1,Data!$Y$3:$Y$348,"2022",Data!$K$3:$K$348,'Reporting 2022'!$B19)</f>
        <v/>
      </c>
      <c r="AT51" s="709">
        <f>SUMIFS(Data!$AD$3:$AD$348,Data!$X$3:$X$348,AT$1,Data!$Y$3:$Y$348,"2022",Data!$K$3:$K$348,'Reporting 2022'!$B19)</f>
        <v/>
      </c>
      <c r="AU51" s="709">
        <f>SUMIFS(Data!$AD$3:$AD$348,Data!$X$3:$X$348,AU$1,Data!$Y$3:$Y$348,"2022",Data!$K$3:$K$348,'Reporting 2022'!$B19)</f>
        <v/>
      </c>
      <c r="AV51" s="709">
        <f>SUMIFS(Data!$AD$3:$AD$348,Data!$X$3:$X$348,AV$1,Data!$Y$3:$Y$348,"2022",Data!$K$3:$K$348,'Reporting 2022'!$B19)</f>
        <v/>
      </c>
      <c r="AW51" s="709">
        <f>SUMIFS(Data!$AD$3:$AD$348,Data!$X$3:$X$348,AW$1,Data!$Y$3:$Y$348,"2022",Data!$K$3:$K$348,'Reporting 2022'!$B19)</f>
        <v/>
      </c>
      <c r="AX51" s="709">
        <f>SUMIFS(Data!$AD$3:$AD$348,Data!$X$3:$X$348,AX$1,Data!$Y$3:$Y$348,"2022",Data!$K$3:$K$348,'Reporting 2022'!$B19)</f>
        <v/>
      </c>
      <c r="AY51" s="709">
        <f>SUMIFS(Data!$AD$3:$AD$348,Data!$X$3:$X$348,AY$1,Data!$Y$3:$Y$348,"2022",Data!$K$3:$K$348,'Reporting 2022'!$B19)</f>
        <v/>
      </c>
      <c r="AZ51" s="709">
        <f>SUMIFS(Data!$AD$3:$AD$348,Data!$X$3:$X$348,AZ$1,Data!$Y$3:$Y$348,"2022",Data!$K$3:$K$348,'Reporting 2022'!$B19)</f>
        <v/>
      </c>
      <c r="BA51" s="709">
        <f>SUMIFS(Data!$AD$3:$AD$348,Data!$X$3:$X$348,BA$1,Data!$Y$3:$Y$348,"2022",Data!$K$3:$K$348,'Reporting 2022'!$B19)</f>
        <v/>
      </c>
      <c r="BB51" s="709">
        <f>SUMIFS(Data!$AD$3:$AD$348,Data!$X$3:$X$348,BB$1,Data!$Y$3:$Y$348,"2022",Data!$K$3:$K$348,'Reporting 2022'!$B19)</f>
        <v/>
      </c>
    </row>
    <row r="52">
      <c r="B52" s="349" t="inlineStr">
        <is>
          <t>SERVICE AIA REVENUE</t>
        </is>
      </c>
      <c r="C52" s="709">
        <f>SUMIFS(Data!$AD$3:$AD$348,Data!$X$3:$X$348,C$1,Data!$Y$3:$Y$348,"2022",Data!$K$3:$K$348,'Reporting 2022'!$B20)</f>
        <v/>
      </c>
      <c r="D52" s="709">
        <f>SUMIFS(Data!$AD$3:$AD$348,Data!$X$3:$X$348,D$1,Data!$Y$3:$Y$348,"2022",Data!$K$3:$K$348,'Reporting 2022'!$B20)</f>
        <v/>
      </c>
      <c r="E52" s="709">
        <f>SUMIFS(Data!$AD$3:$AD$348,Data!$X$3:$X$348,E$1,Data!$Y$3:$Y$348,"2022",Data!$K$3:$K$348,'Reporting 2022'!$B20)</f>
        <v/>
      </c>
      <c r="F52" s="709">
        <f>SUMIFS(Data!$AD$3:$AD$348,Data!$X$3:$X$348,F$1,Data!$Y$3:$Y$348,"2022",Data!$K$3:$K$348,'Reporting 2022'!$B20)</f>
        <v/>
      </c>
      <c r="G52" s="709">
        <f>SUMIFS(Data!$AD$3:$AD$348,Data!$X$3:$X$348,G$1,Data!$Y$3:$Y$348,"2022",Data!$K$3:$K$348,'Reporting 2022'!$B20)</f>
        <v/>
      </c>
      <c r="H52" s="709">
        <f>SUMIFS(Data!$AD$3:$AD$348,Data!$X$3:$X$348,H$1,Data!$Y$3:$Y$348,"2022",Data!$K$3:$K$348,'Reporting 2022'!$B20)</f>
        <v/>
      </c>
      <c r="I52" s="709">
        <f>SUMIFS(Data!$AD$3:$AD$348,Data!$X$3:$X$348,I$1,Data!$Y$3:$Y$348,"2022",Data!$K$3:$K$348,'Reporting 2022'!$B20)</f>
        <v/>
      </c>
      <c r="J52" s="709">
        <f>SUMIFS(Data!$AD$3:$AD$348,Data!$X$3:$X$348,J$1,Data!$Y$3:$Y$348,"2022",Data!$K$3:$K$348,'Reporting 2022'!$B20)</f>
        <v/>
      </c>
      <c r="K52" s="709">
        <f>SUMIFS(Data!$AD$3:$AD$348,Data!$X$3:$X$348,K$1,Data!$Y$3:$Y$348,"2022",Data!$K$3:$K$348,'Reporting 2022'!$B20)</f>
        <v/>
      </c>
      <c r="L52" s="709">
        <f>SUMIFS(Data!$AD$3:$AD$348,Data!$X$3:$X$348,L$1,Data!$Y$3:$Y$348,"2022",Data!$K$3:$K$348,'Reporting 2022'!$B20)</f>
        <v/>
      </c>
      <c r="M52" s="709">
        <f>SUMIFS(Data!$AD$3:$AD$348,Data!$X$3:$X$348,M$1,Data!$Y$3:$Y$348,"2022",Data!$K$3:$K$348,'Reporting 2022'!$B20)</f>
        <v/>
      </c>
      <c r="N52" s="709">
        <f>SUMIFS(Data!$AD$3:$AD$348,Data!$X$3:$X$348,N$1,Data!$Y$3:$Y$348,"2022",Data!$K$3:$K$348,'Reporting 2022'!$B20)</f>
        <v/>
      </c>
      <c r="O52" s="709">
        <f>SUMIFS(Data!$AD$3:$AD$348,Data!$X$3:$X$348,O$1,Data!$Y$3:$Y$348,"2022",Data!$K$3:$K$348,'Reporting 2022'!$B20)</f>
        <v/>
      </c>
      <c r="P52" s="709">
        <f>SUMIFS(Data!$AD$3:$AD$348,Data!$X$3:$X$348,P$1,Data!$Y$3:$Y$348,"2022",Data!$K$3:$K$348,'Reporting 2022'!$B20)</f>
        <v/>
      </c>
      <c r="Q52" s="709">
        <f>SUMIFS(Data!$AD$3:$AD$348,Data!$X$3:$X$348,Q$1,Data!$Y$3:$Y$348,"2022",Data!$K$3:$K$348,'Reporting 2022'!$B20)</f>
        <v/>
      </c>
      <c r="R52" s="709">
        <f>SUMIFS(Data!$AD$3:$AD$348,Data!$X$3:$X$348,R$1,Data!$Y$3:$Y$348,"2022",Data!$K$3:$K$348,'Reporting 2022'!$B20)</f>
        <v/>
      </c>
      <c r="S52" s="709">
        <f>SUMIFS(Data!$AD$3:$AD$348,Data!$X$3:$X$348,S$1,Data!$Y$3:$Y$348,"2022",Data!$K$3:$K$348,'Reporting 2022'!$B20)</f>
        <v/>
      </c>
      <c r="T52" s="709">
        <f>SUMIFS(Data!$AD$3:$AD$348,Data!$X$3:$X$348,T$1,Data!$Y$3:$Y$348,"2022",Data!$K$3:$K$348,'Reporting 2022'!$B20)</f>
        <v/>
      </c>
      <c r="U52" s="709">
        <f>SUMIFS(Data!$AD$3:$AD$348,Data!$X$3:$X$348,U$1,Data!$Y$3:$Y$348,"2022",Data!$K$3:$K$348,'Reporting 2022'!$B20)</f>
        <v/>
      </c>
      <c r="V52" s="709">
        <f>SUMIFS(Data!$AD$3:$AD$348,Data!$X$3:$X$348,V$1,Data!$Y$3:$Y$348,"2022",Data!$K$3:$K$348,'Reporting 2022'!$B20)</f>
        <v/>
      </c>
      <c r="W52" s="709">
        <f>SUMIFS(Data!$AD$3:$AD$348,Data!$X$3:$X$348,W$1,Data!$Y$3:$Y$348,"2022",Data!$K$3:$K$348,'Reporting 2022'!$B20)</f>
        <v/>
      </c>
      <c r="X52" s="709">
        <f>SUMIFS(Data!$AD$3:$AD$348,Data!$X$3:$X$348,X$1,Data!$Y$3:$Y$348,"2022",Data!$K$3:$K$348,'Reporting 2022'!$B20)</f>
        <v/>
      </c>
      <c r="Y52" s="709">
        <f>SUMIFS(Data!$AD$3:$AD$348,Data!$X$3:$X$348,Y$1,Data!$Y$3:$Y$348,"2022",Data!$K$3:$K$348,'Reporting 2022'!$B20)</f>
        <v/>
      </c>
      <c r="Z52" s="709">
        <f>SUMIFS(Data!$AD$3:$AD$348,Data!$X$3:$X$348,Z$1,Data!$Y$3:$Y$348,"2022",Data!$K$3:$K$348,'Reporting 2022'!$B20)</f>
        <v/>
      </c>
      <c r="AA52" s="709">
        <f>SUMIFS(Data!$AD$3:$AD$348,Data!$X$3:$X$348,AA$1,Data!$Y$3:$Y$348,"2022",Data!$K$3:$K$348,'Reporting 2022'!$B20)</f>
        <v/>
      </c>
      <c r="AB52" s="709">
        <f>SUMIFS(Data!$AD$3:$AD$348,Data!$X$3:$X$348,AB$1,Data!$Y$3:$Y$348,"2022",Data!$K$3:$K$348,'Reporting 2022'!$B20)</f>
        <v/>
      </c>
      <c r="AC52" s="709">
        <f>SUMIFS(Data!$AD$3:$AD$348,Data!$X$3:$X$348,AC$1,Data!$Y$3:$Y$348,"2022",Data!$K$3:$K$348,'Reporting 2022'!$B20)</f>
        <v/>
      </c>
      <c r="AD52" s="709">
        <f>SUMIFS(Data!$AD$3:$AD$348,Data!$X$3:$X$348,AD$1,Data!$Y$3:$Y$348,"2022",Data!$K$3:$K$348,'Reporting 2022'!$B20)</f>
        <v/>
      </c>
      <c r="AE52" s="709">
        <f>SUMIFS(Data!$AD$3:$AD$348,Data!$X$3:$X$348,AE$1,Data!$Y$3:$Y$348,"2022",Data!$K$3:$K$348,'Reporting 2022'!$B20)</f>
        <v/>
      </c>
      <c r="AF52" s="709">
        <f>SUMIFS(Data!$AD$3:$AD$348,Data!$X$3:$X$348,AF$1,Data!$Y$3:$Y$348,"2022",Data!$K$3:$K$348,'Reporting 2022'!$B20)</f>
        <v/>
      </c>
      <c r="AG52" s="709">
        <f>SUMIFS(Data!$AD$3:$AD$348,Data!$X$3:$X$348,AG$1,Data!$Y$3:$Y$348,"2022",Data!$K$3:$K$348,'Reporting 2022'!$B20)</f>
        <v/>
      </c>
      <c r="AH52" s="709">
        <f>SUMIFS(Data!$AD$3:$AD$348,Data!$X$3:$X$348,AH$1,Data!$Y$3:$Y$348,"2022",Data!$K$3:$K$348,'Reporting 2022'!$B20)</f>
        <v/>
      </c>
      <c r="AI52" s="709">
        <f>SUMIFS(Data!$AD$3:$AD$348,Data!$X$3:$X$348,AI$1,Data!$Y$3:$Y$348,"2022",Data!$K$3:$K$348,'Reporting 2022'!$B20)</f>
        <v/>
      </c>
      <c r="AJ52" s="709">
        <f>SUMIFS(Data!$AD$3:$AD$348,Data!$X$3:$X$348,AJ$1,Data!$Y$3:$Y$348,"2022",Data!$K$3:$K$348,'Reporting 2022'!$B20)</f>
        <v/>
      </c>
      <c r="AK52" s="709">
        <f>SUMIFS(Data!$AD$3:$AD$348,Data!$X$3:$X$348,AK$1,Data!$Y$3:$Y$348,"2022",Data!$K$3:$K$348,'Reporting 2022'!$B20)</f>
        <v/>
      </c>
      <c r="AL52" s="709">
        <f>SUMIFS(Data!$AD$3:$AD$348,Data!$X$3:$X$348,AL$1,Data!$Y$3:$Y$348,"2022",Data!$K$3:$K$348,'Reporting 2022'!$B20)</f>
        <v/>
      </c>
      <c r="AM52" s="709">
        <f>SUMIFS(Data!$AD$3:$AD$348,Data!$X$3:$X$348,AM$1,Data!$Y$3:$Y$348,"2022",Data!$K$3:$K$348,'Reporting 2022'!$B20)</f>
        <v/>
      </c>
      <c r="AN52" s="709">
        <f>SUMIFS(Data!$AD$3:$AD$348,Data!$X$3:$X$348,AN$1,Data!$Y$3:$Y$348,"2022",Data!$K$3:$K$348,'Reporting 2022'!$B20)</f>
        <v/>
      </c>
      <c r="AO52" s="709">
        <f>SUMIFS(Data!$AD$3:$AD$348,Data!$X$3:$X$348,AO$1,Data!$Y$3:$Y$348,"2022",Data!$K$3:$K$348,'Reporting 2022'!$B20)</f>
        <v/>
      </c>
      <c r="AP52" s="709">
        <f>SUMIFS(Data!$AD$3:$AD$348,Data!$X$3:$X$348,AP$1,Data!$Y$3:$Y$348,"2022",Data!$K$3:$K$348,'Reporting 2022'!$B20)</f>
        <v/>
      </c>
      <c r="AQ52" s="709">
        <f>SUMIFS(Data!$AD$3:$AD$348,Data!$X$3:$X$348,AQ$1,Data!$Y$3:$Y$348,"2022",Data!$K$3:$K$348,'Reporting 2022'!$B20)</f>
        <v/>
      </c>
      <c r="AR52" s="709">
        <f>SUMIFS(Data!$AD$3:$AD$348,Data!$X$3:$X$348,AR$1,Data!$Y$3:$Y$348,"2022",Data!$K$3:$K$348,'Reporting 2022'!$B20)</f>
        <v/>
      </c>
      <c r="AS52" s="709">
        <f>SUMIFS(Data!$AD$3:$AD$348,Data!$X$3:$X$348,AS$1,Data!$Y$3:$Y$348,"2022",Data!$K$3:$K$348,'Reporting 2022'!$B20)</f>
        <v/>
      </c>
      <c r="AT52" s="709">
        <f>SUMIFS(Data!$AD$3:$AD$348,Data!$X$3:$X$348,AT$1,Data!$Y$3:$Y$348,"2022",Data!$K$3:$K$348,'Reporting 2022'!$B20)</f>
        <v/>
      </c>
      <c r="AU52" s="709">
        <f>SUMIFS(Data!$AD$3:$AD$348,Data!$X$3:$X$348,AU$1,Data!$Y$3:$Y$348,"2022",Data!$K$3:$K$348,'Reporting 2022'!$B20)</f>
        <v/>
      </c>
      <c r="AV52" s="709">
        <f>SUMIFS(Data!$AD$3:$AD$348,Data!$X$3:$X$348,AV$1,Data!$Y$3:$Y$348,"2022",Data!$K$3:$K$348,'Reporting 2022'!$B20)</f>
        <v/>
      </c>
      <c r="AW52" s="709">
        <f>SUMIFS(Data!$AD$3:$AD$348,Data!$X$3:$X$348,AW$1,Data!$Y$3:$Y$348,"2022",Data!$K$3:$K$348,'Reporting 2022'!$B20)</f>
        <v/>
      </c>
      <c r="AX52" s="709">
        <f>SUMIFS(Data!$AD$3:$AD$348,Data!$X$3:$X$348,AX$1,Data!$Y$3:$Y$348,"2022",Data!$K$3:$K$348,'Reporting 2022'!$B20)</f>
        <v/>
      </c>
      <c r="AY52" s="709">
        <f>SUMIFS(Data!$AD$3:$AD$348,Data!$X$3:$X$348,AY$1,Data!$Y$3:$Y$348,"2022",Data!$K$3:$K$348,'Reporting 2022'!$B20)</f>
        <v/>
      </c>
      <c r="AZ52" s="709">
        <f>SUMIFS(Data!$AD$3:$AD$348,Data!$X$3:$X$348,AZ$1,Data!$Y$3:$Y$348,"2022",Data!$K$3:$K$348,'Reporting 2022'!$B20)</f>
        <v/>
      </c>
      <c r="BA52" s="709">
        <f>SUMIFS(Data!$AD$3:$AD$348,Data!$X$3:$X$348,BA$1,Data!$Y$3:$Y$348,"2022",Data!$K$3:$K$348,'Reporting 2022'!$B20)</f>
        <v/>
      </c>
      <c r="BB52" s="709">
        <f>SUMIFS(Data!$AD$3:$AD$348,Data!$X$3:$X$348,BB$1,Data!$Y$3:$Y$348,"2022",Data!$K$3:$K$348,'Reporting 2022'!$B20)</f>
        <v/>
      </c>
    </row>
    <row r="53">
      <c r="B53" s="349" t="inlineStr">
        <is>
          <t>SERVICE IC REVENUE</t>
        </is>
      </c>
      <c r="C53" s="709">
        <f>SUMIFS(Data!$AD$3:$AD$348,Data!$X$3:$X$348,C$1,Data!$Y$3:$Y$348,"2022",Data!$K$3:$K$348,'Reporting 2022'!$B21)</f>
        <v/>
      </c>
      <c r="D53" s="709">
        <f>SUMIFS(Data!$AD$3:$AD$348,Data!$X$3:$X$348,D$1,Data!$Y$3:$Y$348,"2022",Data!$K$3:$K$348,'Reporting 2022'!$B21)</f>
        <v/>
      </c>
      <c r="E53" s="709">
        <f>SUMIFS(Data!$AD$3:$AD$348,Data!$X$3:$X$348,E$1,Data!$Y$3:$Y$348,"2022",Data!$K$3:$K$348,'Reporting 2022'!$B21)</f>
        <v/>
      </c>
      <c r="F53" s="709">
        <f>SUMIFS(Data!$AD$3:$AD$348,Data!$X$3:$X$348,F$1,Data!$Y$3:$Y$348,"2022",Data!$K$3:$K$348,'Reporting 2022'!$B21)</f>
        <v/>
      </c>
      <c r="G53" s="709">
        <f>SUMIFS(Data!$AD$3:$AD$348,Data!$X$3:$X$348,G$1,Data!$Y$3:$Y$348,"2022",Data!$K$3:$K$348,'Reporting 2022'!$B21)</f>
        <v/>
      </c>
      <c r="H53" s="709">
        <f>SUMIFS(Data!$AD$3:$AD$348,Data!$X$3:$X$348,H$1,Data!$Y$3:$Y$348,"2022",Data!$K$3:$K$348,'Reporting 2022'!$B21)</f>
        <v/>
      </c>
      <c r="I53" s="709">
        <f>SUMIFS(Data!$AD$3:$AD$348,Data!$X$3:$X$348,I$1,Data!$Y$3:$Y$348,"2022",Data!$K$3:$K$348,'Reporting 2022'!$B21)</f>
        <v/>
      </c>
      <c r="J53" s="709">
        <f>SUMIFS(Data!$AD$3:$AD$348,Data!$X$3:$X$348,J$1,Data!$Y$3:$Y$348,"2022",Data!$K$3:$K$348,'Reporting 2022'!$B21)</f>
        <v/>
      </c>
      <c r="K53" s="709">
        <f>SUMIFS(Data!$AD$3:$AD$348,Data!$X$3:$X$348,K$1,Data!$Y$3:$Y$348,"2022",Data!$K$3:$K$348,'Reporting 2022'!$B21)</f>
        <v/>
      </c>
      <c r="L53" s="709">
        <f>SUMIFS(Data!$AD$3:$AD$348,Data!$X$3:$X$348,L$1,Data!$Y$3:$Y$348,"2022",Data!$K$3:$K$348,'Reporting 2022'!$B21)</f>
        <v/>
      </c>
      <c r="M53" s="709">
        <f>SUMIFS(Data!$AD$3:$AD$348,Data!$X$3:$X$348,M$1,Data!$Y$3:$Y$348,"2022",Data!$K$3:$K$348,'Reporting 2022'!$B21)</f>
        <v/>
      </c>
      <c r="N53" s="709">
        <f>SUMIFS(Data!$AD$3:$AD$348,Data!$X$3:$X$348,N$1,Data!$Y$3:$Y$348,"2022",Data!$K$3:$K$348,'Reporting 2022'!$B21)</f>
        <v/>
      </c>
      <c r="O53" s="709">
        <f>SUMIFS(Data!$AD$3:$AD$348,Data!$X$3:$X$348,O$1,Data!$Y$3:$Y$348,"2022",Data!$K$3:$K$348,'Reporting 2022'!$B21)</f>
        <v/>
      </c>
      <c r="P53" s="709">
        <f>SUMIFS(Data!$AD$3:$AD$348,Data!$X$3:$X$348,P$1,Data!$Y$3:$Y$348,"2022",Data!$K$3:$K$348,'Reporting 2022'!$B21)</f>
        <v/>
      </c>
      <c r="Q53" s="709">
        <f>SUMIFS(Data!$AD$3:$AD$348,Data!$X$3:$X$348,Q$1,Data!$Y$3:$Y$348,"2022",Data!$K$3:$K$348,'Reporting 2022'!$B21)</f>
        <v/>
      </c>
      <c r="R53" s="709">
        <f>SUMIFS(Data!$AD$3:$AD$348,Data!$X$3:$X$348,R$1,Data!$Y$3:$Y$348,"2022",Data!$K$3:$K$348,'Reporting 2022'!$B21)</f>
        <v/>
      </c>
      <c r="S53" s="709">
        <f>SUMIFS(Data!$AD$3:$AD$348,Data!$X$3:$X$348,S$1,Data!$Y$3:$Y$348,"2022",Data!$K$3:$K$348,'Reporting 2022'!$B21)</f>
        <v/>
      </c>
      <c r="T53" s="709">
        <f>SUMIFS(Data!$AD$3:$AD$348,Data!$X$3:$X$348,T$1,Data!$Y$3:$Y$348,"2022",Data!$K$3:$K$348,'Reporting 2022'!$B21)</f>
        <v/>
      </c>
      <c r="U53" s="709">
        <f>SUMIFS(Data!$AD$3:$AD$348,Data!$X$3:$X$348,U$1,Data!$Y$3:$Y$348,"2022",Data!$K$3:$K$348,'Reporting 2022'!$B21)</f>
        <v/>
      </c>
      <c r="V53" s="709">
        <f>SUMIFS(Data!$AD$3:$AD$348,Data!$X$3:$X$348,V$1,Data!$Y$3:$Y$348,"2022",Data!$K$3:$K$348,'Reporting 2022'!$B21)</f>
        <v/>
      </c>
      <c r="W53" s="709">
        <f>SUMIFS(Data!$AD$3:$AD$348,Data!$X$3:$X$348,W$1,Data!$Y$3:$Y$348,"2022",Data!$K$3:$K$348,'Reporting 2022'!$B21)</f>
        <v/>
      </c>
      <c r="X53" s="709">
        <f>SUMIFS(Data!$AD$3:$AD$348,Data!$X$3:$X$348,X$1,Data!$Y$3:$Y$348,"2022",Data!$K$3:$K$348,'Reporting 2022'!$B21)</f>
        <v/>
      </c>
      <c r="Y53" s="709">
        <f>SUMIFS(Data!$AD$3:$AD$348,Data!$X$3:$X$348,Y$1,Data!$Y$3:$Y$348,"2022",Data!$K$3:$K$348,'Reporting 2022'!$B21)</f>
        <v/>
      </c>
      <c r="Z53" s="709">
        <f>SUMIFS(Data!$AD$3:$AD$348,Data!$X$3:$X$348,Z$1,Data!$Y$3:$Y$348,"2022",Data!$K$3:$K$348,'Reporting 2022'!$B21)</f>
        <v/>
      </c>
      <c r="AA53" s="709">
        <f>SUMIFS(Data!$AD$3:$AD$348,Data!$X$3:$X$348,AA$1,Data!$Y$3:$Y$348,"2022",Data!$K$3:$K$348,'Reporting 2022'!$B21)</f>
        <v/>
      </c>
      <c r="AB53" s="709">
        <f>SUMIFS(Data!$AD$3:$AD$348,Data!$X$3:$X$348,AB$1,Data!$Y$3:$Y$348,"2022",Data!$K$3:$K$348,'Reporting 2022'!$B21)</f>
        <v/>
      </c>
      <c r="AC53" s="709">
        <f>SUMIFS(Data!$AD$3:$AD$348,Data!$X$3:$X$348,AC$1,Data!$Y$3:$Y$348,"2022",Data!$K$3:$K$348,'Reporting 2022'!$B21)</f>
        <v/>
      </c>
      <c r="AD53" s="709">
        <f>SUMIFS(Data!$AD$3:$AD$348,Data!$X$3:$X$348,AD$1,Data!$Y$3:$Y$348,"2022",Data!$K$3:$K$348,'Reporting 2022'!$B21)</f>
        <v/>
      </c>
      <c r="AE53" s="709">
        <f>SUMIFS(Data!$AD$3:$AD$348,Data!$X$3:$X$348,AE$1,Data!$Y$3:$Y$348,"2022",Data!$K$3:$K$348,'Reporting 2022'!$B21)</f>
        <v/>
      </c>
      <c r="AF53" s="709">
        <f>SUMIFS(Data!$AD$3:$AD$348,Data!$X$3:$X$348,AF$1,Data!$Y$3:$Y$348,"2022",Data!$K$3:$K$348,'Reporting 2022'!$B21)</f>
        <v/>
      </c>
      <c r="AG53" s="709">
        <f>SUMIFS(Data!$AD$3:$AD$348,Data!$X$3:$X$348,AG$1,Data!$Y$3:$Y$348,"2022",Data!$K$3:$K$348,'Reporting 2022'!$B21)</f>
        <v/>
      </c>
      <c r="AH53" s="709">
        <f>SUMIFS(Data!$AD$3:$AD$348,Data!$X$3:$X$348,AH$1,Data!$Y$3:$Y$348,"2022",Data!$K$3:$K$348,'Reporting 2022'!$B21)</f>
        <v/>
      </c>
      <c r="AI53" s="709">
        <f>SUMIFS(Data!$AD$3:$AD$348,Data!$X$3:$X$348,AI$1,Data!$Y$3:$Y$348,"2022",Data!$K$3:$K$348,'Reporting 2022'!$B21)</f>
        <v/>
      </c>
      <c r="AJ53" s="709">
        <f>SUMIFS(Data!$AD$3:$AD$348,Data!$X$3:$X$348,AJ$1,Data!$Y$3:$Y$348,"2022",Data!$K$3:$K$348,'Reporting 2022'!$B21)</f>
        <v/>
      </c>
      <c r="AK53" s="709">
        <f>SUMIFS(Data!$AD$3:$AD$348,Data!$X$3:$X$348,AK$1,Data!$Y$3:$Y$348,"2022",Data!$K$3:$K$348,'Reporting 2022'!$B21)</f>
        <v/>
      </c>
      <c r="AL53" s="709">
        <f>SUMIFS(Data!$AD$3:$AD$348,Data!$X$3:$X$348,AL$1,Data!$Y$3:$Y$348,"2022",Data!$K$3:$K$348,'Reporting 2022'!$B21)</f>
        <v/>
      </c>
      <c r="AM53" s="709">
        <f>SUMIFS(Data!$AD$3:$AD$348,Data!$X$3:$X$348,AM$1,Data!$Y$3:$Y$348,"2022",Data!$K$3:$K$348,'Reporting 2022'!$B21)</f>
        <v/>
      </c>
      <c r="AN53" s="709">
        <f>SUMIFS(Data!$AD$3:$AD$348,Data!$X$3:$X$348,AN$1,Data!$Y$3:$Y$348,"2022",Data!$K$3:$K$348,'Reporting 2022'!$B21)</f>
        <v/>
      </c>
      <c r="AO53" s="709">
        <f>SUMIFS(Data!$AD$3:$AD$348,Data!$X$3:$X$348,AO$1,Data!$Y$3:$Y$348,"2022",Data!$K$3:$K$348,'Reporting 2022'!$B21)</f>
        <v/>
      </c>
      <c r="AP53" s="709">
        <f>SUMIFS(Data!$AD$3:$AD$348,Data!$X$3:$X$348,AP$1,Data!$Y$3:$Y$348,"2022",Data!$K$3:$K$348,'Reporting 2022'!$B21)</f>
        <v/>
      </c>
      <c r="AQ53" s="709">
        <f>SUMIFS(Data!$AD$3:$AD$348,Data!$X$3:$X$348,AQ$1,Data!$Y$3:$Y$348,"2022",Data!$K$3:$K$348,'Reporting 2022'!$B21)</f>
        <v/>
      </c>
      <c r="AR53" s="709">
        <f>SUMIFS(Data!$AD$3:$AD$348,Data!$X$3:$X$348,AR$1,Data!$Y$3:$Y$348,"2022",Data!$K$3:$K$348,'Reporting 2022'!$B21)</f>
        <v/>
      </c>
      <c r="AS53" s="709">
        <f>SUMIFS(Data!$AD$3:$AD$348,Data!$X$3:$X$348,AS$1,Data!$Y$3:$Y$348,"2022",Data!$K$3:$K$348,'Reporting 2022'!$B21)</f>
        <v/>
      </c>
      <c r="AT53" s="709">
        <f>SUMIFS(Data!$AD$3:$AD$348,Data!$X$3:$X$348,AT$1,Data!$Y$3:$Y$348,"2022",Data!$K$3:$K$348,'Reporting 2022'!$B21)</f>
        <v/>
      </c>
      <c r="AU53" s="709">
        <f>SUMIFS(Data!$AD$3:$AD$348,Data!$X$3:$X$348,AU$1,Data!$Y$3:$Y$348,"2022",Data!$K$3:$K$348,'Reporting 2022'!$B21)</f>
        <v/>
      </c>
      <c r="AV53" s="709">
        <f>SUMIFS(Data!$AD$3:$AD$348,Data!$X$3:$X$348,AV$1,Data!$Y$3:$Y$348,"2022",Data!$K$3:$K$348,'Reporting 2022'!$B21)</f>
        <v/>
      </c>
      <c r="AW53" s="709">
        <f>SUMIFS(Data!$AD$3:$AD$348,Data!$X$3:$X$348,AW$1,Data!$Y$3:$Y$348,"2022",Data!$K$3:$K$348,'Reporting 2022'!$B21)</f>
        <v/>
      </c>
      <c r="AX53" s="709">
        <f>SUMIFS(Data!$AD$3:$AD$348,Data!$X$3:$X$348,AX$1,Data!$Y$3:$Y$348,"2022",Data!$K$3:$K$348,'Reporting 2022'!$B21)</f>
        <v/>
      </c>
      <c r="AY53" s="709">
        <f>SUMIFS(Data!$AD$3:$AD$348,Data!$X$3:$X$348,AY$1,Data!$Y$3:$Y$348,"2022",Data!$K$3:$K$348,'Reporting 2022'!$B21)</f>
        <v/>
      </c>
      <c r="AZ53" s="709">
        <f>SUMIFS(Data!$AD$3:$AD$348,Data!$X$3:$X$348,AZ$1,Data!$Y$3:$Y$348,"2022",Data!$K$3:$K$348,'Reporting 2022'!$B21)</f>
        <v/>
      </c>
      <c r="BA53" s="709">
        <f>SUMIFS(Data!$AD$3:$AD$348,Data!$X$3:$X$348,BA$1,Data!$Y$3:$Y$348,"2022",Data!$K$3:$K$348,'Reporting 2022'!$B21)</f>
        <v/>
      </c>
      <c r="BB53" s="709">
        <f>SUMIFS(Data!$AD$3:$AD$348,Data!$X$3:$X$348,BB$1,Data!$Y$3:$Y$348,"2022",Data!$K$3:$K$348,'Reporting 2022'!$B21)</f>
        <v/>
      </c>
    </row>
    <row r="54">
      <c r="B54" s="349" t="inlineStr">
        <is>
          <t>SERVICE OTHER AIA REVENUE</t>
        </is>
      </c>
      <c r="C54" s="709">
        <f>SUMIFS(Data!$AD$3:$AD$348,Data!$X$3:$X$348,C$1,Data!$Y$3:$Y$348,"2022",Data!$K$3:$K$348,'Reporting 2022'!$B22)</f>
        <v/>
      </c>
      <c r="D54" s="709">
        <f>SUMIFS(Data!$AD$3:$AD$348,Data!$X$3:$X$348,D$1,Data!$Y$3:$Y$348,"2022",Data!$K$3:$K$348,'Reporting 2022'!$B22)</f>
        <v/>
      </c>
      <c r="E54" s="709">
        <f>SUMIFS(Data!$AD$3:$AD$348,Data!$X$3:$X$348,E$1,Data!$Y$3:$Y$348,"2022",Data!$K$3:$K$348,'Reporting 2022'!$B22)</f>
        <v/>
      </c>
      <c r="F54" s="709">
        <f>SUMIFS(Data!$AD$3:$AD$348,Data!$X$3:$X$348,F$1,Data!$Y$3:$Y$348,"2022",Data!$K$3:$K$348,'Reporting 2022'!$B22)</f>
        <v/>
      </c>
      <c r="G54" s="709">
        <f>SUMIFS(Data!$AD$3:$AD$348,Data!$X$3:$X$348,G$1,Data!$Y$3:$Y$348,"2022",Data!$K$3:$K$348,'Reporting 2022'!$B22)</f>
        <v/>
      </c>
      <c r="H54" s="709">
        <f>SUMIFS(Data!$AD$3:$AD$348,Data!$X$3:$X$348,H$1,Data!$Y$3:$Y$348,"2022",Data!$K$3:$K$348,'Reporting 2022'!$B22)</f>
        <v/>
      </c>
      <c r="I54" s="709">
        <f>SUMIFS(Data!$AD$3:$AD$348,Data!$X$3:$X$348,I$1,Data!$Y$3:$Y$348,"2022",Data!$K$3:$K$348,'Reporting 2022'!$B22)</f>
        <v/>
      </c>
      <c r="J54" s="709">
        <f>SUMIFS(Data!$AD$3:$AD$348,Data!$X$3:$X$348,J$1,Data!$Y$3:$Y$348,"2022",Data!$K$3:$K$348,'Reporting 2022'!$B22)</f>
        <v/>
      </c>
      <c r="K54" s="709">
        <f>SUMIFS(Data!$AD$3:$AD$348,Data!$X$3:$X$348,K$1,Data!$Y$3:$Y$348,"2022",Data!$K$3:$K$348,'Reporting 2022'!$B22)</f>
        <v/>
      </c>
      <c r="L54" s="709">
        <f>SUMIFS(Data!$AD$3:$AD$348,Data!$X$3:$X$348,L$1,Data!$Y$3:$Y$348,"2022",Data!$K$3:$K$348,'Reporting 2022'!$B22)</f>
        <v/>
      </c>
      <c r="M54" s="709">
        <f>SUMIFS(Data!$AD$3:$AD$348,Data!$X$3:$X$348,M$1,Data!$Y$3:$Y$348,"2022",Data!$K$3:$K$348,'Reporting 2022'!$B22)</f>
        <v/>
      </c>
      <c r="N54" s="709">
        <f>SUMIFS(Data!$AD$3:$AD$348,Data!$X$3:$X$348,N$1,Data!$Y$3:$Y$348,"2022",Data!$K$3:$K$348,'Reporting 2022'!$B22)</f>
        <v/>
      </c>
      <c r="O54" s="709">
        <f>SUMIFS(Data!$AD$3:$AD$348,Data!$X$3:$X$348,O$1,Data!$Y$3:$Y$348,"2022",Data!$K$3:$K$348,'Reporting 2022'!$B22)</f>
        <v/>
      </c>
      <c r="P54" s="709">
        <f>SUMIFS(Data!$AD$3:$AD$348,Data!$X$3:$X$348,P$1,Data!$Y$3:$Y$348,"2022",Data!$K$3:$K$348,'Reporting 2022'!$B22)</f>
        <v/>
      </c>
      <c r="Q54" s="709">
        <f>SUMIFS(Data!$AD$3:$AD$348,Data!$X$3:$X$348,Q$1,Data!$Y$3:$Y$348,"2022",Data!$K$3:$K$348,'Reporting 2022'!$B22)</f>
        <v/>
      </c>
      <c r="R54" s="709">
        <f>SUMIFS(Data!$AD$3:$AD$348,Data!$X$3:$X$348,R$1,Data!$Y$3:$Y$348,"2022",Data!$K$3:$K$348,'Reporting 2022'!$B22)</f>
        <v/>
      </c>
      <c r="S54" s="709">
        <f>SUMIFS(Data!$AD$3:$AD$348,Data!$X$3:$X$348,S$1,Data!$Y$3:$Y$348,"2022",Data!$K$3:$K$348,'Reporting 2022'!$B22)</f>
        <v/>
      </c>
      <c r="T54" s="709">
        <f>SUMIFS(Data!$AD$3:$AD$348,Data!$X$3:$X$348,T$1,Data!$Y$3:$Y$348,"2022",Data!$K$3:$K$348,'Reporting 2022'!$B22)</f>
        <v/>
      </c>
      <c r="U54" s="709">
        <f>SUMIFS(Data!$AD$3:$AD$348,Data!$X$3:$X$348,U$1,Data!$Y$3:$Y$348,"2022",Data!$K$3:$K$348,'Reporting 2022'!$B22)</f>
        <v/>
      </c>
      <c r="V54" s="709">
        <f>SUMIFS(Data!$AD$3:$AD$348,Data!$X$3:$X$348,V$1,Data!$Y$3:$Y$348,"2022",Data!$K$3:$K$348,'Reporting 2022'!$B22)</f>
        <v/>
      </c>
      <c r="W54" s="709">
        <f>SUMIFS(Data!$AD$3:$AD$348,Data!$X$3:$X$348,W$1,Data!$Y$3:$Y$348,"2022",Data!$K$3:$K$348,'Reporting 2022'!$B22)</f>
        <v/>
      </c>
      <c r="X54" s="709">
        <f>SUMIFS(Data!$AD$3:$AD$348,Data!$X$3:$X$348,X$1,Data!$Y$3:$Y$348,"2022",Data!$K$3:$K$348,'Reporting 2022'!$B22)</f>
        <v/>
      </c>
      <c r="Y54" s="709">
        <f>SUMIFS(Data!$AD$3:$AD$348,Data!$X$3:$X$348,Y$1,Data!$Y$3:$Y$348,"2022",Data!$K$3:$K$348,'Reporting 2022'!$B22)</f>
        <v/>
      </c>
      <c r="Z54" s="709">
        <f>SUMIFS(Data!$AD$3:$AD$348,Data!$X$3:$X$348,Z$1,Data!$Y$3:$Y$348,"2022",Data!$K$3:$K$348,'Reporting 2022'!$B22)</f>
        <v/>
      </c>
      <c r="AA54" s="709">
        <f>SUMIFS(Data!$AD$3:$AD$348,Data!$X$3:$X$348,AA$1,Data!$Y$3:$Y$348,"2022",Data!$K$3:$K$348,'Reporting 2022'!$B22)</f>
        <v/>
      </c>
      <c r="AB54" s="709">
        <f>SUMIFS(Data!$AD$3:$AD$348,Data!$X$3:$X$348,AB$1,Data!$Y$3:$Y$348,"2022",Data!$K$3:$K$348,'Reporting 2022'!$B22)</f>
        <v/>
      </c>
      <c r="AC54" s="709">
        <f>SUMIFS(Data!$AD$3:$AD$348,Data!$X$3:$X$348,AC$1,Data!$Y$3:$Y$348,"2022",Data!$K$3:$K$348,'Reporting 2022'!$B22)</f>
        <v/>
      </c>
      <c r="AD54" s="709">
        <f>SUMIFS(Data!$AD$3:$AD$348,Data!$X$3:$X$348,AD$1,Data!$Y$3:$Y$348,"2022",Data!$K$3:$K$348,'Reporting 2022'!$B22)</f>
        <v/>
      </c>
      <c r="AE54" s="709">
        <f>SUMIFS(Data!$AD$3:$AD$348,Data!$X$3:$X$348,AE$1,Data!$Y$3:$Y$348,"2022",Data!$K$3:$K$348,'Reporting 2022'!$B22)</f>
        <v/>
      </c>
      <c r="AF54" s="709">
        <f>SUMIFS(Data!$AD$3:$AD$348,Data!$X$3:$X$348,AF$1,Data!$Y$3:$Y$348,"2022",Data!$K$3:$K$348,'Reporting 2022'!$B22)</f>
        <v/>
      </c>
      <c r="AG54" s="709">
        <f>SUMIFS(Data!$AD$3:$AD$348,Data!$X$3:$X$348,AG$1,Data!$Y$3:$Y$348,"2022",Data!$K$3:$K$348,'Reporting 2022'!$B22)</f>
        <v/>
      </c>
      <c r="AH54" s="709">
        <f>SUMIFS(Data!$AD$3:$AD$348,Data!$X$3:$X$348,AH$1,Data!$Y$3:$Y$348,"2022",Data!$K$3:$K$348,'Reporting 2022'!$B22)</f>
        <v/>
      </c>
      <c r="AI54" s="709">
        <f>SUMIFS(Data!$AD$3:$AD$348,Data!$X$3:$X$348,AI$1,Data!$Y$3:$Y$348,"2022",Data!$K$3:$K$348,'Reporting 2022'!$B22)</f>
        <v/>
      </c>
      <c r="AJ54" s="709">
        <f>SUMIFS(Data!$AD$3:$AD$348,Data!$X$3:$X$348,AJ$1,Data!$Y$3:$Y$348,"2022",Data!$K$3:$K$348,'Reporting 2022'!$B22)</f>
        <v/>
      </c>
      <c r="AK54" s="709">
        <f>SUMIFS(Data!$AD$3:$AD$348,Data!$X$3:$X$348,AK$1,Data!$Y$3:$Y$348,"2022",Data!$K$3:$K$348,'Reporting 2022'!$B22)</f>
        <v/>
      </c>
      <c r="AL54" s="709">
        <f>SUMIFS(Data!$AD$3:$AD$348,Data!$X$3:$X$348,AL$1,Data!$Y$3:$Y$348,"2022",Data!$K$3:$K$348,'Reporting 2022'!$B22)</f>
        <v/>
      </c>
      <c r="AM54" s="709">
        <f>SUMIFS(Data!$AD$3:$AD$348,Data!$X$3:$X$348,AM$1,Data!$Y$3:$Y$348,"2022",Data!$K$3:$K$348,'Reporting 2022'!$B22)</f>
        <v/>
      </c>
      <c r="AN54" s="709">
        <f>SUMIFS(Data!$AD$3:$AD$348,Data!$X$3:$X$348,AN$1,Data!$Y$3:$Y$348,"2022",Data!$K$3:$K$348,'Reporting 2022'!$B22)</f>
        <v/>
      </c>
      <c r="AO54" s="709">
        <f>SUMIFS(Data!$AD$3:$AD$348,Data!$X$3:$X$348,AO$1,Data!$Y$3:$Y$348,"2022",Data!$K$3:$K$348,'Reporting 2022'!$B22)</f>
        <v/>
      </c>
      <c r="AP54" s="709">
        <f>SUMIFS(Data!$AD$3:$AD$348,Data!$X$3:$X$348,AP$1,Data!$Y$3:$Y$348,"2022",Data!$K$3:$K$348,'Reporting 2022'!$B22)</f>
        <v/>
      </c>
      <c r="AQ54" s="709">
        <f>SUMIFS(Data!$AD$3:$AD$348,Data!$X$3:$X$348,AQ$1,Data!$Y$3:$Y$348,"2022",Data!$K$3:$K$348,'Reporting 2022'!$B22)</f>
        <v/>
      </c>
      <c r="AR54" s="709">
        <f>SUMIFS(Data!$AD$3:$AD$348,Data!$X$3:$X$348,AR$1,Data!$Y$3:$Y$348,"2022",Data!$K$3:$K$348,'Reporting 2022'!$B22)</f>
        <v/>
      </c>
      <c r="AS54" s="709">
        <f>SUMIFS(Data!$AD$3:$AD$348,Data!$X$3:$X$348,AS$1,Data!$Y$3:$Y$348,"2022",Data!$K$3:$K$348,'Reporting 2022'!$B22)</f>
        <v/>
      </c>
      <c r="AT54" s="709">
        <f>SUMIFS(Data!$AD$3:$AD$348,Data!$X$3:$X$348,AT$1,Data!$Y$3:$Y$348,"2022",Data!$K$3:$K$348,'Reporting 2022'!$B22)</f>
        <v/>
      </c>
      <c r="AU54" s="709">
        <f>SUMIFS(Data!$AD$3:$AD$348,Data!$X$3:$X$348,AU$1,Data!$Y$3:$Y$348,"2022",Data!$K$3:$K$348,'Reporting 2022'!$B22)</f>
        <v/>
      </c>
      <c r="AV54" s="709">
        <f>SUMIFS(Data!$AD$3:$AD$348,Data!$X$3:$X$348,AV$1,Data!$Y$3:$Y$348,"2022",Data!$K$3:$K$348,'Reporting 2022'!$B22)</f>
        <v/>
      </c>
      <c r="AW54" s="709">
        <f>SUMIFS(Data!$AD$3:$AD$348,Data!$X$3:$X$348,AW$1,Data!$Y$3:$Y$348,"2022",Data!$K$3:$K$348,'Reporting 2022'!$B22)</f>
        <v/>
      </c>
      <c r="AX54" s="709">
        <f>SUMIFS(Data!$AD$3:$AD$348,Data!$X$3:$X$348,AX$1,Data!$Y$3:$Y$348,"2022",Data!$K$3:$K$348,'Reporting 2022'!$B22)</f>
        <v/>
      </c>
      <c r="AY54" s="709">
        <f>SUMIFS(Data!$AD$3:$AD$348,Data!$X$3:$X$348,AY$1,Data!$Y$3:$Y$348,"2022",Data!$K$3:$K$348,'Reporting 2022'!$B22)</f>
        <v/>
      </c>
      <c r="AZ54" s="709">
        <f>SUMIFS(Data!$AD$3:$AD$348,Data!$X$3:$X$348,AZ$1,Data!$Y$3:$Y$348,"2022",Data!$K$3:$K$348,'Reporting 2022'!$B22)</f>
        <v/>
      </c>
      <c r="BA54" s="709">
        <f>SUMIFS(Data!$AD$3:$AD$348,Data!$X$3:$X$348,BA$1,Data!$Y$3:$Y$348,"2022",Data!$K$3:$K$348,'Reporting 2022'!$B22)</f>
        <v/>
      </c>
      <c r="BB54" s="709">
        <f>SUMIFS(Data!$AD$3:$AD$348,Data!$X$3:$X$348,BB$1,Data!$Y$3:$Y$348,"2022",Data!$K$3:$K$348,'Reporting 2022'!$B22)</f>
        <v/>
      </c>
    </row>
    <row r="55">
      <c r="B55" s="349" t="inlineStr">
        <is>
          <t>TRADING OTHER AIA REVENUE</t>
        </is>
      </c>
      <c r="C55" s="709">
        <f>SUMIFS(Data!$AD$3:$AD$348,Data!$X$3:$X$348,C$1,Data!$Y$3:$Y$348,"2022",Data!$K$3:$K$348,'Reporting 2022'!$B23)</f>
        <v/>
      </c>
      <c r="D55" s="709">
        <f>SUMIFS(Data!$AD$3:$AD$348,Data!$X$3:$X$348,D$1,Data!$Y$3:$Y$348,"2022",Data!$K$3:$K$348,'Reporting 2022'!$B23)</f>
        <v/>
      </c>
      <c r="E55" s="709">
        <f>SUMIFS(Data!$AD$3:$AD$348,Data!$X$3:$X$348,E$1,Data!$Y$3:$Y$348,"2022",Data!$K$3:$K$348,'Reporting 2022'!$B23)</f>
        <v/>
      </c>
      <c r="F55" s="709">
        <f>SUMIFS(Data!$AD$3:$AD$348,Data!$X$3:$X$348,F$1,Data!$Y$3:$Y$348,"2022",Data!$K$3:$K$348,'Reporting 2022'!$B23)</f>
        <v/>
      </c>
      <c r="G55" s="709">
        <f>SUMIFS(Data!$AD$3:$AD$348,Data!$X$3:$X$348,G$1,Data!$Y$3:$Y$348,"2022",Data!$K$3:$K$348,'Reporting 2022'!$B23)</f>
        <v/>
      </c>
      <c r="H55" s="709">
        <f>SUMIFS(Data!$AD$3:$AD$348,Data!$X$3:$X$348,H$1,Data!$Y$3:$Y$348,"2022",Data!$K$3:$K$348,'Reporting 2022'!$B23)</f>
        <v/>
      </c>
      <c r="I55" s="709">
        <f>SUMIFS(Data!$AD$3:$AD$348,Data!$X$3:$X$348,I$1,Data!$Y$3:$Y$348,"2022",Data!$K$3:$K$348,'Reporting 2022'!$B23)</f>
        <v/>
      </c>
      <c r="J55" s="709">
        <f>SUMIFS(Data!$AD$3:$AD$348,Data!$X$3:$X$348,J$1,Data!$Y$3:$Y$348,"2022",Data!$K$3:$K$348,'Reporting 2022'!$B23)</f>
        <v/>
      </c>
      <c r="K55" s="709">
        <f>SUMIFS(Data!$AD$3:$AD$348,Data!$X$3:$X$348,K$1,Data!$Y$3:$Y$348,"2022",Data!$K$3:$K$348,'Reporting 2022'!$B23)</f>
        <v/>
      </c>
      <c r="L55" s="709">
        <f>SUMIFS(Data!$AD$3:$AD$348,Data!$X$3:$X$348,L$1,Data!$Y$3:$Y$348,"2022",Data!$K$3:$K$348,'Reporting 2022'!$B23)</f>
        <v/>
      </c>
      <c r="M55" s="709">
        <f>SUMIFS(Data!$AD$3:$AD$348,Data!$X$3:$X$348,M$1,Data!$Y$3:$Y$348,"2022",Data!$K$3:$K$348,'Reporting 2022'!$B23)</f>
        <v/>
      </c>
      <c r="N55" s="709">
        <f>SUMIFS(Data!$AD$3:$AD$348,Data!$X$3:$X$348,N$1,Data!$Y$3:$Y$348,"2022",Data!$K$3:$K$348,'Reporting 2022'!$B23)</f>
        <v/>
      </c>
      <c r="O55" s="709">
        <f>SUMIFS(Data!$AD$3:$AD$348,Data!$X$3:$X$348,O$1,Data!$Y$3:$Y$348,"2022",Data!$K$3:$K$348,'Reporting 2022'!$B23)</f>
        <v/>
      </c>
      <c r="P55" s="709">
        <f>SUMIFS(Data!$AD$3:$AD$348,Data!$X$3:$X$348,P$1,Data!$Y$3:$Y$348,"2022",Data!$K$3:$K$348,'Reporting 2022'!$B23)</f>
        <v/>
      </c>
      <c r="Q55" s="709">
        <f>SUMIFS(Data!$AD$3:$AD$348,Data!$X$3:$X$348,Q$1,Data!$Y$3:$Y$348,"2022",Data!$K$3:$K$348,'Reporting 2022'!$B23)</f>
        <v/>
      </c>
      <c r="R55" s="709">
        <f>SUMIFS(Data!$AD$3:$AD$348,Data!$X$3:$X$348,R$1,Data!$Y$3:$Y$348,"2022",Data!$K$3:$K$348,'Reporting 2022'!$B23)</f>
        <v/>
      </c>
      <c r="S55" s="709">
        <f>SUMIFS(Data!$AD$3:$AD$348,Data!$X$3:$X$348,S$1,Data!$Y$3:$Y$348,"2022",Data!$K$3:$K$348,'Reporting 2022'!$B23)</f>
        <v/>
      </c>
      <c r="T55" s="709">
        <f>SUMIFS(Data!$AD$3:$AD$348,Data!$X$3:$X$348,T$1,Data!$Y$3:$Y$348,"2022",Data!$K$3:$K$348,'Reporting 2022'!$B23)</f>
        <v/>
      </c>
      <c r="U55" s="709">
        <f>SUMIFS(Data!$AD$3:$AD$348,Data!$X$3:$X$348,U$1,Data!$Y$3:$Y$348,"2022",Data!$K$3:$K$348,'Reporting 2022'!$B23)</f>
        <v/>
      </c>
      <c r="V55" s="709">
        <f>SUMIFS(Data!$AD$3:$AD$348,Data!$X$3:$X$348,V$1,Data!$Y$3:$Y$348,"2022",Data!$K$3:$K$348,'Reporting 2022'!$B23)</f>
        <v/>
      </c>
      <c r="W55" s="709">
        <f>SUMIFS(Data!$AD$3:$AD$348,Data!$X$3:$X$348,W$1,Data!$Y$3:$Y$348,"2022",Data!$K$3:$K$348,'Reporting 2022'!$B23)</f>
        <v/>
      </c>
      <c r="X55" s="709">
        <f>SUMIFS(Data!$AD$3:$AD$348,Data!$X$3:$X$348,X$1,Data!$Y$3:$Y$348,"2022",Data!$K$3:$K$348,'Reporting 2022'!$B23)</f>
        <v/>
      </c>
      <c r="Y55" s="709">
        <f>SUMIFS(Data!$AD$3:$AD$348,Data!$X$3:$X$348,Y$1,Data!$Y$3:$Y$348,"2022",Data!$K$3:$K$348,'Reporting 2022'!$B23)</f>
        <v/>
      </c>
      <c r="Z55" s="709">
        <f>SUMIFS(Data!$AD$3:$AD$348,Data!$X$3:$X$348,Z$1,Data!$Y$3:$Y$348,"2022",Data!$K$3:$K$348,'Reporting 2022'!$B23)</f>
        <v/>
      </c>
      <c r="AA55" s="709">
        <f>SUMIFS(Data!$AD$3:$AD$348,Data!$X$3:$X$348,AA$1,Data!$Y$3:$Y$348,"2022",Data!$K$3:$K$348,'Reporting 2022'!$B23)</f>
        <v/>
      </c>
      <c r="AB55" s="709">
        <f>SUMIFS(Data!$AD$3:$AD$348,Data!$X$3:$X$348,AB$1,Data!$Y$3:$Y$348,"2022",Data!$K$3:$K$348,'Reporting 2022'!$B23)</f>
        <v/>
      </c>
      <c r="AC55" s="709">
        <f>SUMIFS(Data!$AD$3:$AD$348,Data!$X$3:$X$348,AC$1,Data!$Y$3:$Y$348,"2022",Data!$K$3:$K$348,'Reporting 2022'!$B23)</f>
        <v/>
      </c>
      <c r="AD55" s="709">
        <f>SUMIFS(Data!$AD$3:$AD$348,Data!$X$3:$X$348,AD$1,Data!$Y$3:$Y$348,"2022",Data!$K$3:$K$348,'Reporting 2022'!$B23)</f>
        <v/>
      </c>
      <c r="AE55" s="709">
        <f>SUMIFS(Data!$AD$3:$AD$348,Data!$X$3:$X$348,AE$1,Data!$Y$3:$Y$348,"2022",Data!$K$3:$K$348,'Reporting 2022'!$B23)</f>
        <v/>
      </c>
      <c r="AF55" s="709">
        <f>SUMIFS(Data!$AD$3:$AD$348,Data!$X$3:$X$348,AF$1,Data!$Y$3:$Y$348,"2022",Data!$K$3:$K$348,'Reporting 2022'!$B23)</f>
        <v/>
      </c>
      <c r="AG55" s="709">
        <f>SUMIFS(Data!$AD$3:$AD$348,Data!$X$3:$X$348,AG$1,Data!$Y$3:$Y$348,"2022",Data!$K$3:$K$348,'Reporting 2022'!$B23)</f>
        <v/>
      </c>
      <c r="AH55" s="709">
        <f>SUMIFS(Data!$AD$3:$AD$348,Data!$X$3:$X$348,AH$1,Data!$Y$3:$Y$348,"2022",Data!$K$3:$K$348,'Reporting 2022'!$B23)</f>
        <v/>
      </c>
      <c r="AI55" s="709">
        <f>SUMIFS(Data!$AD$3:$AD$348,Data!$X$3:$X$348,AI$1,Data!$Y$3:$Y$348,"2022",Data!$K$3:$K$348,'Reporting 2022'!$B23)</f>
        <v/>
      </c>
      <c r="AJ55" s="709">
        <f>SUMIFS(Data!$AD$3:$AD$348,Data!$X$3:$X$348,AJ$1,Data!$Y$3:$Y$348,"2022",Data!$K$3:$K$348,'Reporting 2022'!$B23)</f>
        <v/>
      </c>
      <c r="AK55" s="709">
        <f>SUMIFS(Data!$AD$3:$AD$348,Data!$X$3:$X$348,AK$1,Data!$Y$3:$Y$348,"2022",Data!$K$3:$K$348,'Reporting 2022'!$B23)</f>
        <v/>
      </c>
      <c r="AL55" s="709">
        <f>SUMIFS(Data!$AD$3:$AD$348,Data!$X$3:$X$348,AL$1,Data!$Y$3:$Y$348,"2022",Data!$K$3:$K$348,'Reporting 2022'!$B23)</f>
        <v/>
      </c>
      <c r="AM55" s="709">
        <f>SUMIFS(Data!$AD$3:$AD$348,Data!$X$3:$X$348,AM$1,Data!$Y$3:$Y$348,"2022",Data!$K$3:$K$348,'Reporting 2022'!$B23)</f>
        <v/>
      </c>
      <c r="AN55" s="709">
        <f>SUMIFS(Data!$AD$3:$AD$348,Data!$X$3:$X$348,AN$1,Data!$Y$3:$Y$348,"2022",Data!$K$3:$K$348,'Reporting 2022'!$B23)</f>
        <v/>
      </c>
      <c r="AO55" s="709">
        <f>SUMIFS(Data!$AD$3:$AD$348,Data!$X$3:$X$348,AO$1,Data!$Y$3:$Y$348,"2022",Data!$K$3:$K$348,'Reporting 2022'!$B23)</f>
        <v/>
      </c>
      <c r="AP55" s="709">
        <f>SUMIFS(Data!$AD$3:$AD$348,Data!$X$3:$X$348,AP$1,Data!$Y$3:$Y$348,"2022",Data!$K$3:$K$348,'Reporting 2022'!$B23)</f>
        <v/>
      </c>
      <c r="AQ55" s="709">
        <f>SUMIFS(Data!$AD$3:$AD$348,Data!$X$3:$X$348,AQ$1,Data!$Y$3:$Y$348,"2022",Data!$K$3:$K$348,'Reporting 2022'!$B23)</f>
        <v/>
      </c>
      <c r="AR55" s="709">
        <f>SUMIFS(Data!$AD$3:$AD$348,Data!$X$3:$X$348,AR$1,Data!$Y$3:$Y$348,"2022",Data!$K$3:$K$348,'Reporting 2022'!$B23)</f>
        <v/>
      </c>
      <c r="AS55" s="709">
        <f>SUMIFS(Data!$AD$3:$AD$348,Data!$X$3:$X$348,AS$1,Data!$Y$3:$Y$348,"2022",Data!$K$3:$K$348,'Reporting 2022'!$B23)</f>
        <v/>
      </c>
      <c r="AT55" s="709">
        <f>SUMIFS(Data!$AD$3:$AD$348,Data!$X$3:$X$348,AT$1,Data!$Y$3:$Y$348,"2022",Data!$K$3:$K$348,'Reporting 2022'!$B23)</f>
        <v/>
      </c>
      <c r="AU55" s="709">
        <f>SUMIFS(Data!$AD$3:$AD$348,Data!$X$3:$X$348,AU$1,Data!$Y$3:$Y$348,"2022",Data!$K$3:$K$348,'Reporting 2022'!$B23)</f>
        <v/>
      </c>
      <c r="AV55" s="709">
        <f>SUMIFS(Data!$AD$3:$AD$348,Data!$X$3:$X$348,AV$1,Data!$Y$3:$Y$348,"2022",Data!$K$3:$K$348,'Reporting 2022'!$B23)</f>
        <v/>
      </c>
      <c r="AW55" s="709">
        <f>SUMIFS(Data!$AD$3:$AD$348,Data!$X$3:$X$348,AW$1,Data!$Y$3:$Y$348,"2022",Data!$K$3:$K$348,'Reporting 2022'!$B23)</f>
        <v/>
      </c>
      <c r="AX55" s="709">
        <f>SUMIFS(Data!$AD$3:$AD$348,Data!$X$3:$X$348,AX$1,Data!$Y$3:$Y$348,"2022",Data!$K$3:$K$348,'Reporting 2022'!$B23)</f>
        <v/>
      </c>
      <c r="AY55" s="709">
        <f>SUMIFS(Data!$AD$3:$AD$348,Data!$X$3:$X$348,AY$1,Data!$Y$3:$Y$348,"2022",Data!$K$3:$K$348,'Reporting 2022'!$B23)</f>
        <v/>
      </c>
      <c r="AZ55" s="709">
        <f>SUMIFS(Data!$AD$3:$AD$348,Data!$X$3:$X$348,AZ$1,Data!$Y$3:$Y$348,"2022",Data!$K$3:$K$348,'Reporting 2022'!$B23)</f>
        <v/>
      </c>
      <c r="BA55" s="709">
        <f>SUMIFS(Data!$AD$3:$AD$348,Data!$X$3:$X$348,BA$1,Data!$Y$3:$Y$348,"2022",Data!$K$3:$K$348,'Reporting 2022'!$B23)</f>
        <v/>
      </c>
      <c r="BB55" s="709">
        <f>SUMIFS(Data!$AD$3:$AD$348,Data!$X$3:$X$348,BB$1,Data!$Y$3:$Y$348,"2022",Data!$K$3:$K$348,'Reporting 2022'!$B23)</f>
        <v/>
      </c>
    </row>
    <row r="56" ht="15.75" customHeight="1" s="701" thickBot="1">
      <c r="B56" s="251" t="inlineStr">
        <is>
          <t>TRADING AIA REVENUE</t>
        </is>
      </c>
      <c r="C56" s="776">
        <f>SUMIFS(Data!$AD$3:$AD$348,Data!$X$3:$X$348,C$1,Data!$Y$3:$Y$348,"2022",Data!$K$3:$K$348,'Reporting 2022'!$B24)</f>
        <v/>
      </c>
      <c r="D56" s="776">
        <f>SUMIFS(Data!$AD$3:$AD$348,Data!$X$3:$X$348,D$1,Data!$Y$3:$Y$348,"2022",Data!$K$3:$K$348,'Reporting 2022'!$B24)</f>
        <v/>
      </c>
      <c r="E56" s="776">
        <f>SUMIFS(Data!$AD$3:$AD$348,Data!$X$3:$X$348,E$1,Data!$Y$3:$Y$348,"2022",Data!$K$3:$K$348,'Reporting 2022'!$B24)</f>
        <v/>
      </c>
      <c r="F56" s="776">
        <f>SUMIFS(Data!$AD$3:$AD$348,Data!$X$3:$X$348,F$1,Data!$Y$3:$Y$348,"2022",Data!$K$3:$K$348,'Reporting 2022'!$B24)</f>
        <v/>
      </c>
      <c r="G56" s="776">
        <f>SUMIFS(Data!$AD$3:$AD$348,Data!$X$3:$X$348,G$1,Data!$Y$3:$Y$348,"2022",Data!$K$3:$K$348,'Reporting 2022'!$B24)</f>
        <v/>
      </c>
      <c r="H56" s="776">
        <f>SUMIFS(Data!$AD$3:$AD$348,Data!$X$3:$X$348,H$1,Data!$Y$3:$Y$348,"2022",Data!$K$3:$K$348,'Reporting 2022'!$B24)</f>
        <v/>
      </c>
      <c r="I56" s="776">
        <f>SUMIFS(Data!$AD$3:$AD$348,Data!$X$3:$X$348,I$1,Data!$Y$3:$Y$348,"2022",Data!$K$3:$K$348,'Reporting 2022'!$B24)</f>
        <v/>
      </c>
      <c r="J56" s="776">
        <f>SUMIFS(Data!$AD$3:$AD$348,Data!$X$3:$X$348,J$1,Data!$Y$3:$Y$348,"2022",Data!$K$3:$K$348,'Reporting 2022'!$B24)</f>
        <v/>
      </c>
      <c r="K56" s="776">
        <f>SUMIFS(Data!$AD$3:$AD$348,Data!$X$3:$X$348,K$1,Data!$Y$3:$Y$348,"2022",Data!$K$3:$K$348,'Reporting 2022'!$B24)</f>
        <v/>
      </c>
      <c r="L56" s="776">
        <f>SUMIFS(Data!$AD$3:$AD$348,Data!$X$3:$X$348,L$1,Data!$Y$3:$Y$348,"2022",Data!$K$3:$K$348,'Reporting 2022'!$B24)</f>
        <v/>
      </c>
      <c r="M56" s="776">
        <f>SUMIFS(Data!$AD$3:$AD$348,Data!$X$3:$X$348,M$1,Data!$Y$3:$Y$348,"2022",Data!$K$3:$K$348,'Reporting 2022'!$B24)</f>
        <v/>
      </c>
      <c r="N56" s="776">
        <f>SUMIFS(Data!$AD$3:$AD$348,Data!$X$3:$X$348,N$1,Data!$Y$3:$Y$348,"2022",Data!$K$3:$K$348,'Reporting 2022'!$B24)</f>
        <v/>
      </c>
      <c r="O56" s="776">
        <f>SUMIFS(Data!$AD$3:$AD$348,Data!$X$3:$X$348,O$1,Data!$Y$3:$Y$348,"2022",Data!$K$3:$K$348,'Reporting 2022'!$B24)</f>
        <v/>
      </c>
      <c r="P56" s="776">
        <f>SUMIFS(Data!$AD$3:$AD$348,Data!$X$3:$X$348,P$1,Data!$Y$3:$Y$348,"2022",Data!$K$3:$K$348,'Reporting 2022'!$B24)</f>
        <v/>
      </c>
      <c r="Q56" s="776">
        <f>SUMIFS(Data!$AD$3:$AD$348,Data!$X$3:$X$348,Q$1,Data!$Y$3:$Y$348,"2022",Data!$K$3:$K$348,'Reporting 2022'!$B24)</f>
        <v/>
      </c>
      <c r="R56" s="776">
        <f>SUMIFS(Data!$AD$3:$AD$348,Data!$X$3:$X$348,R$1,Data!$Y$3:$Y$348,"2022",Data!$K$3:$K$348,'Reporting 2022'!$B24)</f>
        <v/>
      </c>
      <c r="S56" s="776">
        <f>SUMIFS(Data!$AD$3:$AD$348,Data!$X$3:$X$348,S$1,Data!$Y$3:$Y$348,"2022",Data!$K$3:$K$348,'Reporting 2022'!$B24)</f>
        <v/>
      </c>
      <c r="T56" s="776">
        <f>SUMIFS(Data!$AD$3:$AD$348,Data!$X$3:$X$348,T$1,Data!$Y$3:$Y$348,"2022",Data!$K$3:$K$348,'Reporting 2022'!$B24)</f>
        <v/>
      </c>
      <c r="U56" s="776">
        <f>SUMIFS(Data!$AD$3:$AD$348,Data!$X$3:$X$348,U$1,Data!$Y$3:$Y$348,"2022",Data!$K$3:$K$348,'Reporting 2022'!$B24)</f>
        <v/>
      </c>
      <c r="V56" s="776">
        <f>SUMIFS(Data!$AD$3:$AD$348,Data!$X$3:$X$348,V$1,Data!$Y$3:$Y$348,"2022",Data!$K$3:$K$348,'Reporting 2022'!$B24)</f>
        <v/>
      </c>
      <c r="W56" s="776">
        <f>SUMIFS(Data!$AD$3:$AD$348,Data!$X$3:$X$348,W$1,Data!$Y$3:$Y$348,"2022",Data!$K$3:$K$348,'Reporting 2022'!$B24)</f>
        <v/>
      </c>
      <c r="X56" s="776">
        <f>SUMIFS(Data!$AD$3:$AD$348,Data!$X$3:$X$348,X$1,Data!$Y$3:$Y$348,"2022",Data!$K$3:$K$348,'Reporting 2022'!$B24)</f>
        <v/>
      </c>
      <c r="Y56" s="776">
        <f>SUMIFS(Data!$AD$3:$AD$348,Data!$X$3:$X$348,Y$1,Data!$Y$3:$Y$348,"2022",Data!$K$3:$K$348,'Reporting 2022'!$B24)</f>
        <v/>
      </c>
      <c r="Z56" s="776">
        <f>SUMIFS(Data!$AD$3:$AD$348,Data!$X$3:$X$348,Z$1,Data!$Y$3:$Y$348,"2022",Data!$K$3:$K$348,'Reporting 2022'!$B24)</f>
        <v/>
      </c>
      <c r="AA56" s="776">
        <f>SUMIFS(Data!$AD$3:$AD$348,Data!$X$3:$X$348,AA$1,Data!$Y$3:$Y$348,"2022",Data!$K$3:$K$348,'Reporting 2022'!$B24)</f>
        <v/>
      </c>
      <c r="AB56" s="776">
        <f>SUMIFS(Data!$AD$3:$AD$348,Data!$X$3:$X$348,AB$1,Data!$Y$3:$Y$348,"2022",Data!$K$3:$K$348,'Reporting 2022'!$B24)</f>
        <v/>
      </c>
      <c r="AC56" s="776">
        <f>SUMIFS(Data!$AD$3:$AD$348,Data!$X$3:$X$348,AC$1,Data!$Y$3:$Y$348,"2022",Data!$K$3:$K$348,'Reporting 2022'!$B24)</f>
        <v/>
      </c>
      <c r="AD56" s="776">
        <f>SUMIFS(Data!$AD$3:$AD$348,Data!$X$3:$X$348,AD$1,Data!$Y$3:$Y$348,"2022",Data!$K$3:$K$348,'Reporting 2022'!$B24)</f>
        <v/>
      </c>
      <c r="AE56" s="776">
        <f>SUMIFS(Data!$AD$3:$AD$348,Data!$X$3:$X$348,AE$1,Data!$Y$3:$Y$348,"2022",Data!$K$3:$K$348,'Reporting 2022'!$B24)</f>
        <v/>
      </c>
      <c r="AF56" s="776">
        <f>SUMIFS(Data!$AD$3:$AD$348,Data!$X$3:$X$348,AF$1,Data!$Y$3:$Y$348,"2022",Data!$K$3:$K$348,'Reporting 2022'!$B24)</f>
        <v/>
      </c>
      <c r="AG56" s="776">
        <f>SUMIFS(Data!$AD$3:$AD$348,Data!$X$3:$X$348,AG$1,Data!$Y$3:$Y$348,"2022",Data!$K$3:$K$348,'Reporting 2022'!$B24)</f>
        <v/>
      </c>
      <c r="AH56" s="776">
        <f>SUMIFS(Data!$AD$3:$AD$348,Data!$X$3:$X$348,AH$1,Data!$Y$3:$Y$348,"2022",Data!$K$3:$K$348,'Reporting 2022'!$B24)</f>
        <v/>
      </c>
      <c r="AI56" s="776">
        <f>SUMIFS(Data!$AD$3:$AD$348,Data!$X$3:$X$348,AI$1,Data!$Y$3:$Y$348,"2022",Data!$K$3:$K$348,'Reporting 2022'!$B24)</f>
        <v/>
      </c>
      <c r="AJ56" s="776">
        <f>SUMIFS(Data!$AD$3:$AD$348,Data!$X$3:$X$348,AJ$1,Data!$Y$3:$Y$348,"2022",Data!$K$3:$K$348,'Reporting 2022'!$B24)</f>
        <v/>
      </c>
      <c r="AK56" s="776">
        <f>SUMIFS(Data!$AD$3:$AD$348,Data!$X$3:$X$348,AK$1,Data!$Y$3:$Y$348,"2022",Data!$K$3:$K$348,'Reporting 2022'!$B24)</f>
        <v/>
      </c>
      <c r="AL56" s="776">
        <f>SUMIFS(Data!$AD$3:$AD$348,Data!$X$3:$X$348,AL$1,Data!$Y$3:$Y$348,"2022",Data!$K$3:$K$348,'Reporting 2022'!$B24)</f>
        <v/>
      </c>
      <c r="AM56" s="776">
        <f>SUMIFS(Data!$AD$3:$AD$348,Data!$X$3:$X$348,AM$1,Data!$Y$3:$Y$348,"2022",Data!$K$3:$K$348,'Reporting 2022'!$B24)</f>
        <v/>
      </c>
      <c r="AN56" s="776">
        <f>SUMIFS(Data!$AD$3:$AD$348,Data!$X$3:$X$348,AN$1,Data!$Y$3:$Y$348,"2022",Data!$K$3:$K$348,'Reporting 2022'!$B24)</f>
        <v/>
      </c>
      <c r="AO56" s="776">
        <f>SUMIFS(Data!$AD$3:$AD$348,Data!$X$3:$X$348,AO$1,Data!$Y$3:$Y$348,"2022",Data!$K$3:$K$348,'Reporting 2022'!$B24)</f>
        <v/>
      </c>
      <c r="AP56" s="776">
        <f>SUMIFS(Data!$AD$3:$AD$348,Data!$X$3:$X$348,AP$1,Data!$Y$3:$Y$348,"2022",Data!$K$3:$K$348,'Reporting 2022'!$B24)</f>
        <v/>
      </c>
      <c r="AQ56" s="776">
        <f>SUMIFS(Data!$AD$3:$AD$348,Data!$X$3:$X$348,AQ$1,Data!$Y$3:$Y$348,"2022",Data!$K$3:$K$348,'Reporting 2022'!$B24)</f>
        <v/>
      </c>
      <c r="AR56" s="776">
        <f>SUMIFS(Data!$AD$3:$AD$348,Data!$X$3:$X$348,AR$1,Data!$Y$3:$Y$348,"2022",Data!$K$3:$K$348,'Reporting 2022'!$B24)</f>
        <v/>
      </c>
      <c r="AS56" s="776">
        <f>SUMIFS(Data!$AD$3:$AD$348,Data!$X$3:$X$348,AS$1,Data!$Y$3:$Y$348,"2022",Data!$K$3:$K$348,'Reporting 2022'!$B24)</f>
        <v/>
      </c>
      <c r="AT56" s="776">
        <f>SUMIFS(Data!$AD$3:$AD$348,Data!$X$3:$X$348,AT$1,Data!$Y$3:$Y$348,"2022",Data!$K$3:$K$348,'Reporting 2022'!$B24)</f>
        <v/>
      </c>
      <c r="AU56" s="776">
        <f>SUMIFS(Data!$AD$3:$AD$348,Data!$X$3:$X$348,AU$1,Data!$Y$3:$Y$348,"2022",Data!$K$3:$K$348,'Reporting 2022'!$B24)</f>
        <v/>
      </c>
      <c r="AV56" s="776">
        <f>SUMIFS(Data!$AD$3:$AD$348,Data!$X$3:$X$348,AV$1,Data!$Y$3:$Y$348,"2022",Data!$K$3:$K$348,'Reporting 2022'!$B24)</f>
        <v/>
      </c>
      <c r="AW56" s="776">
        <f>SUMIFS(Data!$AD$3:$AD$348,Data!$X$3:$X$348,AW$1,Data!$Y$3:$Y$348,"2022",Data!$K$3:$K$348,'Reporting 2022'!$B24)</f>
        <v/>
      </c>
      <c r="AX56" s="776">
        <f>SUMIFS(Data!$AD$3:$AD$348,Data!$X$3:$X$348,AX$1,Data!$Y$3:$Y$348,"2022",Data!$K$3:$K$348,'Reporting 2022'!$B24)</f>
        <v/>
      </c>
      <c r="AY56" s="776">
        <f>SUMIFS(Data!$AD$3:$AD$348,Data!$X$3:$X$348,AY$1,Data!$Y$3:$Y$348,"2022",Data!$K$3:$K$348,'Reporting 2022'!$B24)</f>
        <v/>
      </c>
      <c r="AZ56" s="776">
        <f>SUMIFS(Data!$AD$3:$AD$348,Data!$X$3:$X$348,AZ$1,Data!$Y$3:$Y$348,"2022",Data!$K$3:$K$348,'Reporting 2022'!$B24)</f>
        <v/>
      </c>
      <c r="BA56" s="776">
        <f>SUMIFS(Data!$AD$3:$AD$348,Data!$X$3:$X$348,BA$1,Data!$Y$3:$Y$348,"2022",Data!$K$3:$K$348,'Reporting 2022'!$B24)</f>
        <v/>
      </c>
      <c r="BB56" s="776">
        <f>SUMIFS(Data!$AD$3:$AD$348,Data!$X$3:$X$348,BB$1,Data!$Y$3:$Y$348,"2022",Data!$K$3:$K$348,'Reporting 2022'!$B24)</f>
        <v/>
      </c>
    </row>
    <row r="57" ht="15.75" customHeight="1" s="701" thickTop="1">
      <c r="B57" s="349" t="inlineStr">
        <is>
          <t>ENGINEERING AIA REV.YTD</t>
        </is>
      </c>
      <c r="C57" s="777">
        <f>C47</f>
        <v/>
      </c>
      <c r="D57" s="777">
        <f>C57+D47</f>
        <v/>
      </c>
      <c r="E57" s="777">
        <f>D57+E47</f>
        <v/>
      </c>
      <c r="F57" s="777">
        <f>E57+F47</f>
        <v/>
      </c>
      <c r="G57" s="777">
        <f>F57+G47</f>
        <v/>
      </c>
      <c r="H57" s="777">
        <f>G57+H47</f>
        <v/>
      </c>
      <c r="I57" s="777">
        <f>H57+I47</f>
        <v/>
      </c>
      <c r="J57" s="777">
        <f>I57+J47</f>
        <v/>
      </c>
      <c r="K57" s="777">
        <f>J57+K47</f>
        <v/>
      </c>
      <c r="L57" s="777">
        <f>K57+L47</f>
        <v/>
      </c>
      <c r="M57" s="777">
        <f>L57+M47</f>
        <v/>
      </c>
      <c r="N57" s="777">
        <f>M57+N47</f>
        <v/>
      </c>
      <c r="O57" s="777">
        <f>N57+O47</f>
        <v/>
      </c>
      <c r="P57" s="777">
        <f>O57+P47</f>
        <v/>
      </c>
      <c r="Q57" s="777">
        <f>P57+Q47</f>
        <v/>
      </c>
      <c r="R57" s="777">
        <f>Q57+R47</f>
        <v/>
      </c>
      <c r="S57" s="777">
        <f>R57+S47</f>
        <v/>
      </c>
      <c r="T57" s="777">
        <f>S57+T47</f>
        <v/>
      </c>
      <c r="U57" s="777">
        <f>T57+U47</f>
        <v/>
      </c>
      <c r="V57" s="777">
        <f>U57+V47</f>
        <v/>
      </c>
      <c r="W57" s="777">
        <f>V57+W47</f>
        <v/>
      </c>
      <c r="X57" s="777">
        <f>W57+X47</f>
        <v/>
      </c>
      <c r="Y57" s="777">
        <f>X57+Y47</f>
        <v/>
      </c>
      <c r="Z57" s="777">
        <f>Y57+Z47</f>
        <v/>
      </c>
      <c r="AA57" s="777">
        <f>Z57+AA47</f>
        <v/>
      </c>
      <c r="AB57" s="777">
        <f>AA57+AB47</f>
        <v/>
      </c>
      <c r="AC57" s="777">
        <f>AB57+AC47</f>
        <v/>
      </c>
      <c r="AD57" s="777">
        <f>AC57+AD47</f>
        <v/>
      </c>
      <c r="AE57" s="777">
        <f>AD57+AE47</f>
        <v/>
      </c>
      <c r="AF57" s="777">
        <f>AE57+AF47</f>
        <v/>
      </c>
      <c r="AG57" s="777">
        <f>AF57+AG47</f>
        <v/>
      </c>
      <c r="AH57" s="777">
        <f>AG57+AH47</f>
        <v/>
      </c>
      <c r="AI57" s="777">
        <f>AH57+AI47</f>
        <v/>
      </c>
      <c r="AJ57" s="777">
        <f>AI57+AJ47</f>
        <v/>
      </c>
      <c r="AK57" s="777">
        <f>AJ57+AK47</f>
        <v/>
      </c>
      <c r="AL57" s="777">
        <f>AK57+AL47</f>
        <v/>
      </c>
      <c r="AM57" s="777">
        <f>AL57+AM47</f>
        <v/>
      </c>
      <c r="AN57" s="777">
        <f>AM57+AN47</f>
        <v/>
      </c>
      <c r="AO57" s="777">
        <f>AN57+AO47</f>
        <v/>
      </c>
      <c r="AP57" s="777">
        <f>AO57+AP47</f>
        <v/>
      </c>
      <c r="AQ57" s="777">
        <f>AP57+AQ47</f>
        <v/>
      </c>
      <c r="AR57" s="777">
        <f>AQ57+AR47</f>
        <v/>
      </c>
      <c r="AS57" s="777">
        <f>AR57+AS47</f>
        <v/>
      </c>
      <c r="AT57" s="777">
        <f>AS57+AT47</f>
        <v/>
      </c>
      <c r="AU57" s="777">
        <f>AT57+AU47</f>
        <v/>
      </c>
      <c r="AV57" s="777">
        <f>AU57+AV47</f>
        <v/>
      </c>
      <c r="AW57" s="777">
        <f>AV57+AW47</f>
        <v/>
      </c>
      <c r="AX57" s="777">
        <f>AW57+AX47</f>
        <v/>
      </c>
      <c r="AY57" s="777">
        <f>AX57+AY47</f>
        <v/>
      </c>
      <c r="AZ57" s="777">
        <f>AY57+AZ47</f>
        <v/>
      </c>
      <c r="BA57" s="777">
        <f>AZ57+BA47</f>
        <v/>
      </c>
      <c r="BB57" s="777">
        <f>BA57+BB47</f>
        <v/>
      </c>
    </row>
    <row r="58">
      <c r="B58" s="349" t="inlineStr">
        <is>
          <t>ENGINEERING IC REV.YTD</t>
        </is>
      </c>
      <c r="C58" s="777">
        <f>C48</f>
        <v/>
      </c>
      <c r="D58" s="777">
        <f>C58+D48</f>
        <v/>
      </c>
      <c r="E58" s="777">
        <f>D58+E48</f>
        <v/>
      </c>
      <c r="F58" s="777">
        <f>E58+F48</f>
        <v/>
      </c>
      <c r="G58" s="777">
        <f>F58+G48</f>
        <v/>
      </c>
      <c r="H58" s="777">
        <f>G58+H48</f>
        <v/>
      </c>
      <c r="I58" s="777">
        <f>H58+I48</f>
        <v/>
      </c>
      <c r="J58" s="777">
        <f>I58+J48</f>
        <v/>
      </c>
      <c r="K58" s="777">
        <f>J58+K48</f>
        <v/>
      </c>
      <c r="L58" s="777">
        <f>K58+L48</f>
        <v/>
      </c>
      <c r="M58" s="777">
        <f>L58+M48</f>
        <v/>
      </c>
      <c r="N58" s="777">
        <f>M58+N48</f>
        <v/>
      </c>
      <c r="O58" s="777">
        <f>N58+O48</f>
        <v/>
      </c>
      <c r="P58" s="777">
        <f>O58+P48</f>
        <v/>
      </c>
      <c r="Q58" s="777">
        <f>P58+Q48</f>
        <v/>
      </c>
      <c r="R58" s="777">
        <f>Q58+R48</f>
        <v/>
      </c>
      <c r="S58" s="777">
        <f>R58+S48</f>
        <v/>
      </c>
      <c r="T58" s="777">
        <f>S58+T48</f>
        <v/>
      </c>
      <c r="U58" s="777">
        <f>T58+U48</f>
        <v/>
      </c>
      <c r="V58" s="777">
        <f>U58+V48</f>
        <v/>
      </c>
      <c r="W58" s="777">
        <f>V58+W48</f>
        <v/>
      </c>
      <c r="X58" s="777">
        <f>W58+X48</f>
        <v/>
      </c>
      <c r="Y58" s="777">
        <f>X58+Y48</f>
        <v/>
      </c>
      <c r="Z58" s="777">
        <f>Y58+Z48</f>
        <v/>
      </c>
      <c r="AA58" s="777">
        <f>Z58+AA48</f>
        <v/>
      </c>
      <c r="AB58" s="777">
        <f>AA58+AB48</f>
        <v/>
      </c>
      <c r="AC58" s="777">
        <f>AB58+AC48</f>
        <v/>
      </c>
      <c r="AD58" s="777">
        <f>AC58+AD48</f>
        <v/>
      </c>
      <c r="AE58" s="777">
        <f>AD58+AE48</f>
        <v/>
      </c>
      <c r="AF58" s="777">
        <f>AE58+AF48</f>
        <v/>
      </c>
      <c r="AG58" s="777">
        <f>AF58+AG48</f>
        <v/>
      </c>
      <c r="AH58" s="777">
        <f>AG58+AH48</f>
        <v/>
      </c>
      <c r="AI58" s="777">
        <f>AH58+AI48</f>
        <v/>
      </c>
      <c r="AJ58" s="777">
        <f>AI58+AJ48</f>
        <v/>
      </c>
      <c r="AK58" s="777">
        <f>AJ58+AK48</f>
        <v/>
      </c>
      <c r="AL58" s="777">
        <f>AK58+AL48</f>
        <v/>
      </c>
      <c r="AM58" s="777">
        <f>AL58+AM48</f>
        <v/>
      </c>
      <c r="AN58" s="777">
        <f>AM58+AN48</f>
        <v/>
      </c>
      <c r="AO58" s="777">
        <f>AN58+AO48</f>
        <v/>
      </c>
      <c r="AP58" s="777">
        <f>AO58+AP48</f>
        <v/>
      </c>
      <c r="AQ58" s="777">
        <f>AP58+AQ48</f>
        <v/>
      </c>
      <c r="AR58" s="777">
        <f>AQ58+AR48</f>
        <v/>
      </c>
      <c r="AS58" s="777">
        <f>AR58+AS48</f>
        <v/>
      </c>
      <c r="AT58" s="777">
        <f>AS58+AT48</f>
        <v/>
      </c>
      <c r="AU58" s="777">
        <f>AT58+AU48</f>
        <v/>
      </c>
      <c r="AV58" s="777">
        <f>AU58+AV48</f>
        <v/>
      </c>
      <c r="AW58" s="777">
        <f>AV58+AW48</f>
        <v/>
      </c>
      <c r="AX58" s="777">
        <f>AW58+AX48</f>
        <v/>
      </c>
      <c r="AY58" s="777">
        <f>AX58+AY48</f>
        <v/>
      </c>
      <c r="AZ58" s="777">
        <f>AY58+AZ48</f>
        <v/>
      </c>
      <c r="BA58" s="777">
        <f>AZ58+BA48</f>
        <v/>
      </c>
      <c r="BB58" s="777">
        <f>BA58+BB48</f>
        <v/>
      </c>
    </row>
    <row r="59">
      <c r="B59" s="349" t="inlineStr">
        <is>
          <t>FCP AIA REV.YTD</t>
        </is>
      </c>
      <c r="C59" s="777">
        <f>C49</f>
        <v/>
      </c>
      <c r="D59" s="777">
        <f>C59+D49</f>
        <v/>
      </c>
      <c r="E59" s="777">
        <f>D59+E49</f>
        <v/>
      </c>
      <c r="F59" s="777">
        <f>E59+F49</f>
        <v/>
      </c>
      <c r="G59" s="777">
        <f>F59+G49</f>
        <v/>
      </c>
      <c r="H59" s="777">
        <f>G59+H49</f>
        <v/>
      </c>
      <c r="I59" s="777">
        <f>H59+I49</f>
        <v/>
      </c>
      <c r="J59" s="777">
        <f>I59+J49</f>
        <v/>
      </c>
      <c r="K59" s="777">
        <f>J59+K49</f>
        <v/>
      </c>
      <c r="L59" s="777">
        <f>K59+L49</f>
        <v/>
      </c>
      <c r="M59" s="777">
        <f>L59+M49</f>
        <v/>
      </c>
      <c r="N59" s="777">
        <f>M59+N49</f>
        <v/>
      </c>
      <c r="O59" s="777">
        <f>N59+O49</f>
        <v/>
      </c>
      <c r="P59" s="777">
        <f>O59+P49</f>
        <v/>
      </c>
      <c r="Q59" s="777">
        <f>P59+Q49</f>
        <v/>
      </c>
      <c r="R59" s="777">
        <f>Q59+R49</f>
        <v/>
      </c>
      <c r="S59" s="777">
        <f>R59+S49</f>
        <v/>
      </c>
      <c r="T59" s="777">
        <f>S59+T49</f>
        <v/>
      </c>
      <c r="U59" s="777">
        <f>T59+U49</f>
        <v/>
      </c>
      <c r="V59" s="777">
        <f>U59+V49</f>
        <v/>
      </c>
      <c r="W59" s="777">
        <f>V59+W49</f>
        <v/>
      </c>
      <c r="X59" s="777">
        <f>W59+X49</f>
        <v/>
      </c>
      <c r="Y59" s="777">
        <f>X59+Y49</f>
        <v/>
      </c>
      <c r="Z59" s="777">
        <f>Y59+Z49</f>
        <v/>
      </c>
      <c r="AA59" s="777">
        <f>Z59+AA49</f>
        <v/>
      </c>
      <c r="AB59" s="777">
        <f>AA59+AB49</f>
        <v/>
      </c>
      <c r="AC59" s="777">
        <f>AB59+AC49</f>
        <v/>
      </c>
      <c r="AD59" s="777">
        <f>AC59+AD49</f>
        <v/>
      </c>
      <c r="AE59" s="777">
        <f>AD59+AE49</f>
        <v/>
      </c>
      <c r="AF59" s="777">
        <f>AE59+AF49</f>
        <v/>
      </c>
      <c r="AG59" s="777">
        <f>AF59+AG49</f>
        <v/>
      </c>
      <c r="AH59" s="777">
        <f>AG59+AH49</f>
        <v/>
      </c>
      <c r="AI59" s="777">
        <f>AH59+AI49</f>
        <v/>
      </c>
      <c r="AJ59" s="777">
        <f>AI59+AJ49</f>
        <v/>
      </c>
      <c r="AK59" s="777">
        <f>AJ59+AK49</f>
        <v/>
      </c>
      <c r="AL59" s="777">
        <f>AK59+AL49</f>
        <v/>
      </c>
      <c r="AM59" s="777">
        <f>AL59+AM49</f>
        <v/>
      </c>
      <c r="AN59" s="777">
        <f>AM59+AN49</f>
        <v/>
      </c>
      <c r="AO59" s="777">
        <f>AN59+AO49</f>
        <v/>
      </c>
      <c r="AP59" s="777">
        <f>AO59+AP49</f>
        <v/>
      </c>
      <c r="AQ59" s="777">
        <f>AP59+AQ49</f>
        <v/>
      </c>
      <c r="AR59" s="777">
        <f>AQ59+AR49</f>
        <v/>
      </c>
      <c r="AS59" s="777">
        <f>AR59+AS49</f>
        <v/>
      </c>
      <c r="AT59" s="777">
        <f>AS59+AT49</f>
        <v/>
      </c>
      <c r="AU59" s="777">
        <f>AT59+AU49</f>
        <v/>
      </c>
      <c r="AV59" s="777">
        <f>AU59+AV49</f>
        <v/>
      </c>
      <c r="AW59" s="777">
        <f>AV59+AW49</f>
        <v/>
      </c>
      <c r="AX59" s="777">
        <f>AW59+AX49</f>
        <v/>
      </c>
      <c r="AY59" s="777">
        <f>AX59+AY49</f>
        <v/>
      </c>
      <c r="AZ59" s="777">
        <f>AY59+AZ49</f>
        <v/>
      </c>
      <c r="BA59" s="777">
        <f>AZ59+BA49</f>
        <v/>
      </c>
      <c r="BB59" s="777">
        <f>BA59+BB49</f>
        <v/>
      </c>
    </row>
    <row r="60">
      <c r="B60" s="349" t="inlineStr">
        <is>
          <t>FCP OTHER AIA REV.YTD</t>
        </is>
      </c>
      <c r="C60" s="777">
        <f>C50</f>
        <v/>
      </c>
      <c r="D60" s="777">
        <f>C60+D50</f>
        <v/>
      </c>
      <c r="E60" s="777">
        <f>D60+E50</f>
        <v/>
      </c>
      <c r="F60" s="777">
        <f>E60+F50</f>
        <v/>
      </c>
      <c r="G60" s="777">
        <f>F60+G50</f>
        <v/>
      </c>
      <c r="H60" s="777">
        <f>G60+H50</f>
        <v/>
      </c>
      <c r="I60" s="777">
        <f>H60+I50</f>
        <v/>
      </c>
      <c r="J60" s="777">
        <f>I60+J50</f>
        <v/>
      </c>
      <c r="K60" s="777">
        <f>J60+K50</f>
        <v/>
      </c>
      <c r="L60" s="777">
        <f>K60+L50</f>
        <v/>
      </c>
      <c r="M60" s="777">
        <f>L60+M50</f>
        <v/>
      </c>
      <c r="N60" s="777">
        <f>M60+N50</f>
        <v/>
      </c>
      <c r="O60" s="777">
        <f>N60+O50</f>
        <v/>
      </c>
      <c r="P60" s="777">
        <f>O60+P50</f>
        <v/>
      </c>
      <c r="Q60" s="777">
        <f>P60+Q50</f>
        <v/>
      </c>
      <c r="R60" s="777">
        <f>Q60+R50</f>
        <v/>
      </c>
      <c r="S60" s="777">
        <f>R60+S50</f>
        <v/>
      </c>
      <c r="T60" s="777">
        <f>S60+T50</f>
        <v/>
      </c>
      <c r="U60" s="777">
        <f>T60+U50</f>
        <v/>
      </c>
      <c r="V60" s="777">
        <f>U60+V50</f>
        <v/>
      </c>
      <c r="W60" s="777">
        <f>V60+W50</f>
        <v/>
      </c>
      <c r="X60" s="777">
        <f>W60+X50</f>
        <v/>
      </c>
      <c r="Y60" s="777">
        <f>X60+Y50</f>
        <v/>
      </c>
      <c r="Z60" s="777">
        <f>Y60+Z50</f>
        <v/>
      </c>
      <c r="AA60" s="777">
        <f>Z60+AA50</f>
        <v/>
      </c>
      <c r="AB60" s="777">
        <f>AA60+AB50</f>
        <v/>
      </c>
      <c r="AC60" s="777">
        <f>AB60+AC50</f>
        <v/>
      </c>
      <c r="AD60" s="777">
        <f>AC60+AD50</f>
        <v/>
      </c>
      <c r="AE60" s="777">
        <f>AD60+AE50</f>
        <v/>
      </c>
      <c r="AF60" s="777">
        <f>AE60+AF50</f>
        <v/>
      </c>
      <c r="AG60" s="777">
        <f>AF60+AG50</f>
        <v/>
      </c>
      <c r="AH60" s="777">
        <f>AG60+AH50</f>
        <v/>
      </c>
      <c r="AI60" s="777">
        <f>AH60+AI50</f>
        <v/>
      </c>
      <c r="AJ60" s="777">
        <f>AI60+AJ50</f>
        <v/>
      </c>
      <c r="AK60" s="777">
        <f>AJ60+AK50</f>
        <v/>
      </c>
      <c r="AL60" s="777">
        <f>AK60+AL50</f>
        <v/>
      </c>
      <c r="AM60" s="777">
        <f>AL60+AM50</f>
        <v/>
      </c>
      <c r="AN60" s="777">
        <f>AM60+AN50</f>
        <v/>
      </c>
      <c r="AO60" s="777">
        <f>AN60+AO50</f>
        <v/>
      </c>
      <c r="AP60" s="777">
        <f>AO60+AP50</f>
        <v/>
      </c>
      <c r="AQ60" s="777">
        <f>AP60+AQ50</f>
        <v/>
      </c>
      <c r="AR60" s="777">
        <f>AQ60+AR50</f>
        <v/>
      </c>
      <c r="AS60" s="777">
        <f>AR60+AS50</f>
        <v/>
      </c>
      <c r="AT60" s="777">
        <f>AS60+AT50</f>
        <v/>
      </c>
      <c r="AU60" s="777">
        <f>AT60+AU50</f>
        <v/>
      </c>
      <c r="AV60" s="777">
        <f>AU60+AV50</f>
        <v/>
      </c>
      <c r="AW60" s="777">
        <f>AV60+AW50</f>
        <v/>
      </c>
      <c r="AX60" s="777">
        <f>AW60+AX50</f>
        <v/>
      </c>
      <c r="AY60" s="777">
        <f>AX60+AY50</f>
        <v/>
      </c>
      <c r="AZ60" s="777">
        <f>AY60+AZ50</f>
        <v/>
      </c>
      <c r="BA60" s="777">
        <f>AZ60+BA50</f>
        <v/>
      </c>
      <c r="BB60" s="777">
        <f>BA60+BB50</f>
        <v/>
      </c>
    </row>
    <row r="61">
      <c r="B61" s="349" t="inlineStr">
        <is>
          <t>GSE to AIA REV.YTD</t>
        </is>
      </c>
      <c r="C61" s="777">
        <f>C51</f>
        <v/>
      </c>
      <c r="D61" s="777">
        <f>C61+D51</f>
        <v/>
      </c>
      <c r="E61" s="777">
        <f>D61+E51</f>
        <v/>
      </c>
      <c r="F61" s="777">
        <f>E61+F51</f>
        <v/>
      </c>
      <c r="G61" s="777">
        <f>F61+G51</f>
        <v/>
      </c>
      <c r="H61" s="777">
        <f>G61+H51</f>
        <v/>
      </c>
      <c r="I61" s="777">
        <f>H61+I51</f>
        <v/>
      </c>
      <c r="J61" s="777">
        <f>I61+J51</f>
        <v/>
      </c>
      <c r="K61" s="777">
        <f>J61+K51</f>
        <v/>
      </c>
      <c r="L61" s="777">
        <f>K61+L51</f>
        <v/>
      </c>
      <c r="M61" s="777">
        <f>L61+M51</f>
        <v/>
      </c>
      <c r="N61" s="777">
        <f>M61+N51</f>
        <v/>
      </c>
      <c r="O61" s="777">
        <f>N61+O51</f>
        <v/>
      </c>
      <c r="P61" s="777">
        <f>O61+P51</f>
        <v/>
      </c>
      <c r="Q61" s="777">
        <f>P61+Q51</f>
        <v/>
      </c>
      <c r="R61" s="777">
        <f>Q61+R51</f>
        <v/>
      </c>
      <c r="S61" s="777">
        <f>R61+S51</f>
        <v/>
      </c>
      <c r="T61" s="777">
        <f>S61+T51</f>
        <v/>
      </c>
      <c r="U61" s="777">
        <f>T61+U51</f>
        <v/>
      </c>
      <c r="V61" s="777">
        <f>U61+V51</f>
        <v/>
      </c>
      <c r="W61" s="777">
        <f>V61+W51</f>
        <v/>
      </c>
      <c r="X61" s="777">
        <f>W61+X51</f>
        <v/>
      </c>
      <c r="Y61" s="777">
        <f>X61+Y51</f>
        <v/>
      </c>
      <c r="Z61" s="777">
        <f>Y61+Z51</f>
        <v/>
      </c>
      <c r="AA61" s="777">
        <f>Z61+AA51</f>
        <v/>
      </c>
      <c r="AB61" s="777">
        <f>AA61+AB51</f>
        <v/>
      </c>
      <c r="AC61" s="777">
        <f>AB61+AC51</f>
        <v/>
      </c>
      <c r="AD61" s="777">
        <f>AC61+AD51</f>
        <v/>
      </c>
      <c r="AE61" s="777">
        <f>AD61+AE51</f>
        <v/>
      </c>
      <c r="AF61" s="777">
        <f>AE61+AF51</f>
        <v/>
      </c>
      <c r="AG61" s="777">
        <f>AF61+AG51</f>
        <v/>
      </c>
      <c r="AH61" s="777">
        <f>AG61+AH51</f>
        <v/>
      </c>
      <c r="AI61" s="777">
        <f>AH61+AI51</f>
        <v/>
      </c>
      <c r="AJ61" s="777">
        <f>AI61+AJ51</f>
        <v/>
      </c>
      <c r="AK61" s="777">
        <f>AJ61+AK51</f>
        <v/>
      </c>
      <c r="AL61" s="777">
        <f>AK61+AL51</f>
        <v/>
      </c>
      <c r="AM61" s="777">
        <f>AL61+AM51</f>
        <v/>
      </c>
      <c r="AN61" s="777">
        <f>AM61+AN51</f>
        <v/>
      </c>
      <c r="AO61" s="777">
        <f>AN61+AO51</f>
        <v/>
      </c>
      <c r="AP61" s="777">
        <f>AO61+AP51</f>
        <v/>
      </c>
      <c r="AQ61" s="777">
        <f>AP61+AQ51</f>
        <v/>
      </c>
      <c r="AR61" s="777">
        <f>AQ61+AR51</f>
        <v/>
      </c>
      <c r="AS61" s="777">
        <f>AR61+AS51</f>
        <v/>
      </c>
      <c r="AT61" s="777">
        <f>AS61+AT51</f>
        <v/>
      </c>
      <c r="AU61" s="777">
        <f>AT61+AU51</f>
        <v/>
      </c>
      <c r="AV61" s="777">
        <f>AU61+AV51</f>
        <v/>
      </c>
      <c r="AW61" s="777">
        <f>AV61+AW51</f>
        <v/>
      </c>
      <c r="AX61" s="777">
        <f>AW61+AX51</f>
        <v/>
      </c>
      <c r="AY61" s="777">
        <f>AX61+AY51</f>
        <v/>
      </c>
      <c r="AZ61" s="777">
        <f>AY61+AZ51</f>
        <v/>
      </c>
      <c r="BA61" s="777">
        <f>AZ61+BA51</f>
        <v/>
      </c>
      <c r="BB61" s="777">
        <f>BA61+BB51</f>
        <v/>
      </c>
    </row>
    <row r="62">
      <c r="B62" s="349" t="inlineStr">
        <is>
          <t>SERVICE AIA REV.YTD</t>
        </is>
      </c>
      <c r="C62" s="777">
        <f>C52</f>
        <v/>
      </c>
      <c r="D62" s="777">
        <f>C62+D52</f>
        <v/>
      </c>
      <c r="E62" s="777">
        <f>D62+E52</f>
        <v/>
      </c>
      <c r="F62" s="777">
        <f>E62+F52</f>
        <v/>
      </c>
      <c r="G62" s="777">
        <f>F62+G52</f>
        <v/>
      </c>
      <c r="H62" s="777">
        <f>G62+H52</f>
        <v/>
      </c>
      <c r="I62" s="777">
        <f>H62+I52</f>
        <v/>
      </c>
      <c r="J62" s="777">
        <f>I62+J52</f>
        <v/>
      </c>
      <c r="K62" s="777">
        <f>J62+K52</f>
        <v/>
      </c>
      <c r="L62" s="777">
        <f>K62+L52</f>
        <v/>
      </c>
      <c r="M62" s="777">
        <f>L62+M52</f>
        <v/>
      </c>
      <c r="N62" s="777">
        <f>M62+N52</f>
        <v/>
      </c>
      <c r="O62" s="777">
        <f>N62+O52</f>
        <v/>
      </c>
      <c r="P62" s="777">
        <f>O62+P52</f>
        <v/>
      </c>
      <c r="Q62" s="777">
        <f>P62+Q52</f>
        <v/>
      </c>
      <c r="R62" s="777">
        <f>Q62+R52</f>
        <v/>
      </c>
      <c r="S62" s="777">
        <f>R62+S52</f>
        <v/>
      </c>
      <c r="T62" s="777">
        <f>S62+T52</f>
        <v/>
      </c>
      <c r="U62" s="777">
        <f>T62+U52</f>
        <v/>
      </c>
      <c r="V62" s="777">
        <f>U62+V52</f>
        <v/>
      </c>
      <c r="W62" s="777">
        <f>V62+W52</f>
        <v/>
      </c>
      <c r="X62" s="777">
        <f>W62+X52</f>
        <v/>
      </c>
      <c r="Y62" s="777">
        <f>X62+Y52</f>
        <v/>
      </c>
      <c r="Z62" s="777">
        <f>Y62+Z52</f>
        <v/>
      </c>
      <c r="AA62" s="777">
        <f>Z62+AA52</f>
        <v/>
      </c>
      <c r="AB62" s="777">
        <f>AA62+AB52</f>
        <v/>
      </c>
      <c r="AC62" s="777">
        <f>AB62+AC52</f>
        <v/>
      </c>
      <c r="AD62" s="777">
        <f>AC62+AD52</f>
        <v/>
      </c>
      <c r="AE62" s="777">
        <f>AD62+AE52</f>
        <v/>
      </c>
      <c r="AF62" s="777">
        <f>AE62+AF52</f>
        <v/>
      </c>
      <c r="AG62" s="777">
        <f>AF62+AG52</f>
        <v/>
      </c>
      <c r="AH62" s="777">
        <f>AG62+AH52</f>
        <v/>
      </c>
      <c r="AI62" s="777">
        <f>AH62+AI52</f>
        <v/>
      </c>
      <c r="AJ62" s="777">
        <f>AI62+AJ52</f>
        <v/>
      </c>
      <c r="AK62" s="777">
        <f>AJ62+AK52</f>
        <v/>
      </c>
      <c r="AL62" s="777">
        <f>AK62+AL52</f>
        <v/>
      </c>
      <c r="AM62" s="777">
        <f>AL62+AM52</f>
        <v/>
      </c>
      <c r="AN62" s="777">
        <f>AM62+AN52</f>
        <v/>
      </c>
      <c r="AO62" s="777">
        <f>AN62+AO52</f>
        <v/>
      </c>
      <c r="AP62" s="777">
        <f>AO62+AP52</f>
        <v/>
      </c>
      <c r="AQ62" s="777">
        <f>AP62+AQ52</f>
        <v/>
      </c>
      <c r="AR62" s="777">
        <f>AQ62+AR52</f>
        <v/>
      </c>
      <c r="AS62" s="777">
        <f>AR62+AS52</f>
        <v/>
      </c>
      <c r="AT62" s="777">
        <f>AS62+AT52</f>
        <v/>
      </c>
      <c r="AU62" s="777">
        <f>AT62+AU52</f>
        <v/>
      </c>
      <c r="AV62" s="777">
        <f>AU62+AV52</f>
        <v/>
      </c>
      <c r="AW62" s="777">
        <f>AV62+AW52</f>
        <v/>
      </c>
      <c r="AX62" s="777">
        <f>AW62+AX52</f>
        <v/>
      </c>
      <c r="AY62" s="777">
        <f>AX62+AY52</f>
        <v/>
      </c>
      <c r="AZ62" s="777">
        <f>AY62+AZ52</f>
        <v/>
      </c>
      <c r="BA62" s="777">
        <f>AZ62+BA52</f>
        <v/>
      </c>
      <c r="BB62" s="777">
        <f>BA62+BB52</f>
        <v/>
      </c>
    </row>
    <row r="63">
      <c r="B63" s="349" t="inlineStr">
        <is>
          <t>SERVICE IC REV.YTD</t>
        </is>
      </c>
      <c r="C63" s="777">
        <f>C53</f>
        <v/>
      </c>
      <c r="D63" s="777">
        <f>C63+D53</f>
        <v/>
      </c>
      <c r="E63" s="777">
        <f>D63+E53</f>
        <v/>
      </c>
      <c r="F63" s="777">
        <f>E63+F53</f>
        <v/>
      </c>
      <c r="G63" s="777">
        <f>F63+G53</f>
        <v/>
      </c>
      <c r="H63" s="777">
        <f>G63+H53</f>
        <v/>
      </c>
      <c r="I63" s="777">
        <f>H63+I53</f>
        <v/>
      </c>
      <c r="J63" s="777">
        <f>I63+J53</f>
        <v/>
      </c>
      <c r="K63" s="777">
        <f>J63+K53</f>
        <v/>
      </c>
      <c r="L63" s="777">
        <f>K63+L53</f>
        <v/>
      </c>
      <c r="M63" s="777">
        <f>L63+M53</f>
        <v/>
      </c>
      <c r="N63" s="777">
        <f>M63+N53</f>
        <v/>
      </c>
      <c r="O63" s="777">
        <f>N63+O53</f>
        <v/>
      </c>
      <c r="P63" s="777">
        <f>O63+P53</f>
        <v/>
      </c>
      <c r="Q63" s="777">
        <f>P63+Q53</f>
        <v/>
      </c>
      <c r="R63" s="777">
        <f>Q63+R53</f>
        <v/>
      </c>
      <c r="S63" s="777">
        <f>R63+S53</f>
        <v/>
      </c>
      <c r="T63" s="777">
        <f>S63+T53</f>
        <v/>
      </c>
      <c r="U63" s="777">
        <f>T63+U53</f>
        <v/>
      </c>
      <c r="V63" s="777">
        <f>U63+V53</f>
        <v/>
      </c>
      <c r="W63" s="777">
        <f>V63+W53</f>
        <v/>
      </c>
      <c r="X63" s="777">
        <f>W63+X53</f>
        <v/>
      </c>
      <c r="Y63" s="777">
        <f>X63+Y53</f>
        <v/>
      </c>
      <c r="Z63" s="777">
        <f>Y63+Z53</f>
        <v/>
      </c>
      <c r="AA63" s="777">
        <f>Z63+AA53</f>
        <v/>
      </c>
      <c r="AB63" s="777">
        <f>AA63+AB53</f>
        <v/>
      </c>
      <c r="AC63" s="777">
        <f>AB63+AC53</f>
        <v/>
      </c>
      <c r="AD63" s="777">
        <f>AC63+AD53</f>
        <v/>
      </c>
      <c r="AE63" s="777">
        <f>AD63+AE53</f>
        <v/>
      </c>
      <c r="AF63" s="777">
        <f>AE63+AF53</f>
        <v/>
      </c>
      <c r="AG63" s="777">
        <f>AF63+AG53</f>
        <v/>
      </c>
      <c r="AH63" s="777">
        <f>AG63+AH53</f>
        <v/>
      </c>
      <c r="AI63" s="777">
        <f>AH63+AI53</f>
        <v/>
      </c>
      <c r="AJ63" s="777">
        <f>AI63+AJ53</f>
        <v/>
      </c>
      <c r="AK63" s="777">
        <f>AJ63+AK53</f>
        <v/>
      </c>
      <c r="AL63" s="777">
        <f>AK63+AL53</f>
        <v/>
      </c>
      <c r="AM63" s="777">
        <f>AL63+AM53</f>
        <v/>
      </c>
      <c r="AN63" s="777">
        <f>AM63+AN53</f>
        <v/>
      </c>
      <c r="AO63" s="777">
        <f>AN63+AO53</f>
        <v/>
      </c>
      <c r="AP63" s="777">
        <f>AO63+AP53</f>
        <v/>
      </c>
      <c r="AQ63" s="777">
        <f>AP63+AQ53</f>
        <v/>
      </c>
      <c r="AR63" s="777">
        <f>AQ63+AR53</f>
        <v/>
      </c>
      <c r="AS63" s="777">
        <f>AR63+AS53</f>
        <v/>
      </c>
      <c r="AT63" s="777">
        <f>AS63+AT53</f>
        <v/>
      </c>
      <c r="AU63" s="777">
        <f>AT63+AU53</f>
        <v/>
      </c>
      <c r="AV63" s="777">
        <f>AU63+AV53</f>
        <v/>
      </c>
      <c r="AW63" s="777">
        <f>AV63+AW53</f>
        <v/>
      </c>
      <c r="AX63" s="777">
        <f>AW63+AX53</f>
        <v/>
      </c>
      <c r="AY63" s="777">
        <f>AX63+AY53</f>
        <v/>
      </c>
      <c r="AZ63" s="777">
        <f>AY63+AZ53</f>
        <v/>
      </c>
      <c r="BA63" s="777">
        <f>AZ63+BA53</f>
        <v/>
      </c>
      <c r="BB63" s="777">
        <f>BA63+BB53</f>
        <v/>
      </c>
    </row>
    <row r="64">
      <c r="B64" s="349" t="inlineStr">
        <is>
          <t>SERVICE OTHER AIA REV.YTD</t>
        </is>
      </c>
      <c r="C64" s="777">
        <f>C54</f>
        <v/>
      </c>
      <c r="D64" s="777">
        <f>C64+D54</f>
        <v/>
      </c>
      <c r="E64" s="777">
        <f>D64+E54</f>
        <v/>
      </c>
      <c r="F64" s="777">
        <f>E64+F54</f>
        <v/>
      </c>
      <c r="G64" s="777">
        <f>F64+G54</f>
        <v/>
      </c>
      <c r="H64" s="777">
        <f>G64+H54</f>
        <v/>
      </c>
      <c r="I64" s="777">
        <f>H64+I54</f>
        <v/>
      </c>
      <c r="J64" s="777">
        <f>I64+J54</f>
        <v/>
      </c>
      <c r="K64" s="777">
        <f>J64+K54</f>
        <v/>
      </c>
      <c r="L64" s="777">
        <f>K64+L54</f>
        <v/>
      </c>
      <c r="M64" s="777">
        <f>L64+M54</f>
        <v/>
      </c>
      <c r="N64" s="777">
        <f>M64+N54</f>
        <v/>
      </c>
      <c r="O64" s="777">
        <f>N64+O54</f>
        <v/>
      </c>
      <c r="P64" s="777">
        <f>O64+P54</f>
        <v/>
      </c>
      <c r="Q64" s="777">
        <f>P64+Q54</f>
        <v/>
      </c>
      <c r="R64" s="777">
        <f>Q64+R54</f>
        <v/>
      </c>
      <c r="S64" s="777">
        <f>R64+S54</f>
        <v/>
      </c>
      <c r="T64" s="777">
        <f>S64+T54</f>
        <v/>
      </c>
      <c r="U64" s="777">
        <f>T64+U54</f>
        <v/>
      </c>
      <c r="V64" s="777">
        <f>U64+V54</f>
        <v/>
      </c>
      <c r="W64" s="777">
        <f>V64+W54</f>
        <v/>
      </c>
      <c r="X64" s="777">
        <f>W64+X54</f>
        <v/>
      </c>
      <c r="Y64" s="777">
        <f>X64+Y54</f>
        <v/>
      </c>
      <c r="Z64" s="777">
        <f>Y64+Z54</f>
        <v/>
      </c>
      <c r="AA64" s="777">
        <f>Z64+AA54</f>
        <v/>
      </c>
      <c r="AB64" s="777">
        <f>AA64+AB54</f>
        <v/>
      </c>
      <c r="AC64" s="777">
        <f>AB64+AC54</f>
        <v/>
      </c>
      <c r="AD64" s="777">
        <f>AC64+AD54</f>
        <v/>
      </c>
      <c r="AE64" s="777">
        <f>AD64+AE54</f>
        <v/>
      </c>
      <c r="AF64" s="777">
        <f>AE64+AF54</f>
        <v/>
      </c>
      <c r="AG64" s="777">
        <f>AF64+AG54</f>
        <v/>
      </c>
      <c r="AH64" s="777">
        <f>AG64+AH54</f>
        <v/>
      </c>
      <c r="AI64" s="777">
        <f>AH64+AI54</f>
        <v/>
      </c>
      <c r="AJ64" s="777">
        <f>AI64+AJ54</f>
        <v/>
      </c>
      <c r="AK64" s="777">
        <f>AJ64+AK54</f>
        <v/>
      </c>
      <c r="AL64" s="777">
        <f>AK64+AL54</f>
        <v/>
      </c>
      <c r="AM64" s="777">
        <f>AL64+AM54</f>
        <v/>
      </c>
      <c r="AN64" s="777">
        <f>AM64+AN54</f>
        <v/>
      </c>
      <c r="AO64" s="777">
        <f>AN64+AO54</f>
        <v/>
      </c>
      <c r="AP64" s="777">
        <f>AO64+AP54</f>
        <v/>
      </c>
      <c r="AQ64" s="777">
        <f>AP64+AQ54</f>
        <v/>
      </c>
      <c r="AR64" s="777">
        <f>AQ64+AR54</f>
        <v/>
      </c>
      <c r="AS64" s="777">
        <f>AR64+AS54</f>
        <v/>
      </c>
      <c r="AT64" s="777">
        <f>AS64+AT54</f>
        <v/>
      </c>
      <c r="AU64" s="777">
        <f>AT64+AU54</f>
        <v/>
      </c>
      <c r="AV64" s="777">
        <f>AU64+AV54</f>
        <v/>
      </c>
      <c r="AW64" s="777">
        <f>AV64+AW54</f>
        <v/>
      </c>
      <c r="AX64" s="777">
        <f>AW64+AX54</f>
        <v/>
      </c>
      <c r="AY64" s="777">
        <f>AX64+AY54</f>
        <v/>
      </c>
      <c r="AZ64" s="777">
        <f>AY64+AZ54</f>
        <v/>
      </c>
      <c r="BA64" s="777">
        <f>AZ64+BA54</f>
        <v/>
      </c>
      <c r="BB64" s="777">
        <f>BA64+BB54</f>
        <v/>
      </c>
    </row>
    <row r="65">
      <c r="B65" s="349" t="inlineStr">
        <is>
          <t>TRADING OTHER AIA REV.YTD</t>
        </is>
      </c>
      <c r="C65" s="777">
        <f>C55</f>
        <v/>
      </c>
      <c r="D65" s="777">
        <f>C65+D55</f>
        <v/>
      </c>
      <c r="E65" s="777">
        <f>D65+E55</f>
        <v/>
      </c>
      <c r="F65" s="777">
        <f>E65+F55</f>
        <v/>
      </c>
      <c r="G65" s="777">
        <f>F65+G55</f>
        <v/>
      </c>
      <c r="H65" s="777">
        <f>G65+H55</f>
        <v/>
      </c>
      <c r="I65" s="777">
        <f>H65+I55</f>
        <v/>
      </c>
      <c r="J65" s="777">
        <f>I65+J55</f>
        <v/>
      </c>
      <c r="K65" s="777">
        <f>J65+K55</f>
        <v/>
      </c>
      <c r="L65" s="777">
        <f>K65+L55</f>
        <v/>
      </c>
      <c r="M65" s="777">
        <f>L65+M55</f>
        <v/>
      </c>
      <c r="N65" s="777">
        <f>M65+N55</f>
        <v/>
      </c>
      <c r="O65" s="777">
        <f>N65+O55</f>
        <v/>
      </c>
      <c r="P65" s="777">
        <f>O65+P55</f>
        <v/>
      </c>
      <c r="Q65" s="777">
        <f>P65+Q55</f>
        <v/>
      </c>
      <c r="R65" s="777">
        <f>Q65+R55</f>
        <v/>
      </c>
      <c r="S65" s="777">
        <f>R65+S55</f>
        <v/>
      </c>
      <c r="T65" s="777">
        <f>S65+T55</f>
        <v/>
      </c>
      <c r="U65" s="777">
        <f>T65+U55</f>
        <v/>
      </c>
      <c r="V65" s="777">
        <f>U65+V55</f>
        <v/>
      </c>
      <c r="W65" s="777">
        <f>V65+W55</f>
        <v/>
      </c>
      <c r="X65" s="777">
        <f>W65+X55</f>
        <v/>
      </c>
      <c r="Y65" s="777">
        <f>X65+Y55</f>
        <v/>
      </c>
      <c r="Z65" s="777">
        <f>Y65+Z55</f>
        <v/>
      </c>
      <c r="AA65" s="777">
        <f>Z65+AA55</f>
        <v/>
      </c>
      <c r="AB65" s="777">
        <f>AA65+AB55</f>
        <v/>
      </c>
      <c r="AC65" s="777">
        <f>AB65+AC55</f>
        <v/>
      </c>
      <c r="AD65" s="777">
        <f>AC65+AD55</f>
        <v/>
      </c>
      <c r="AE65" s="777">
        <f>AD65+AE55</f>
        <v/>
      </c>
      <c r="AF65" s="777">
        <f>AE65+AF55</f>
        <v/>
      </c>
      <c r="AG65" s="777">
        <f>AF65+AG55</f>
        <v/>
      </c>
      <c r="AH65" s="777">
        <f>AG65+AH55</f>
        <v/>
      </c>
      <c r="AI65" s="777">
        <f>AH65+AI55</f>
        <v/>
      </c>
      <c r="AJ65" s="777">
        <f>AI65+AJ55</f>
        <v/>
      </c>
      <c r="AK65" s="777">
        <f>AJ65+AK55</f>
        <v/>
      </c>
      <c r="AL65" s="777">
        <f>AK65+AL55</f>
        <v/>
      </c>
      <c r="AM65" s="777">
        <f>AL65+AM55</f>
        <v/>
      </c>
      <c r="AN65" s="777">
        <f>AM65+AN55</f>
        <v/>
      </c>
      <c r="AO65" s="777">
        <f>AN65+AO55</f>
        <v/>
      </c>
      <c r="AP65" s="777">
        <f>AO65+AP55</f>
        <v/>
      </c>
      <c r="AQ65" s="777">
        <f>AP65+AQ55</f>
        <v/>
      </c>
      <c r="AR65" s="777">
        <f>AQ65+AR55</f>
        <v/>
      </c>
      <c r="AS65" s="777">
        <f>AR65+AS55</f>
        <v/>
      </c>
      <c r="AT65" s="777">
        <f>AS65+AT55</f>
        <v/>
      </c>
      <c r="AU65" s="777">
        <f>AT65+AU55</f>
        <v/>
      </c>
      <c r="AV65" s="777">
        <f>AU65+AV55</f>
        <v/>
      </c>
      <c r="AW65" s="777">
        <f>AV65+AW55</f>
        <v/>
      </c>
      <c r="AX65" s="777">
        <f>AW65+AX55</f>
        <v/>
      </c>
      <c r="AY65" s="777">
        <f>AX65+AY55</f>
        <v/>
      </c>
      <c r="AZ65" s="777">
        <f>AY65+AZ55</f>
        <v/>
      </c>
      <c r="BA65" s="777">
        <f>AZ65+BA55</f>
        <v/>
      </c>
      <c r="BB65" s="777">
        <f>BA65+BB55</f>
        <v/>
      </c>
    </row>
    <row r="66">
      <c r="B66" s="349" t="inlineStr">
        <is>
          <t>TRADING AIA REV.YTD</t>
        </is>
      </c>
      <c r="C66" s="777">
        <f>C56</f>
        <v/>
      </c>
      <c r="D66" s="777">
        <f>C66+D56</f>
        <v/>
      </c>
      <c r="E66" s="777">
        <f>D66+E56</f>
        <v/>
      </c>
      <c r="F66" s="777">
        <f>E66+F56</f>
        <v/>
      </c>
      <c r="G66" s="777">
        <f>F66+G56</f>
        <v/>
      </c>
      <c r="H66" s="777">
        <f>G66+H56</f>
        <v/>
      </c>
      <c r="I66" s="777">
        <f>H66+I56</f>
        <v/>
      </c>
      <c r="J66" s="777">
        <f>I66+J56</f>
        <v/>
      </c>
      <c r="K66" s="777">
        <f>J66+K56</f>
        <v/>
      </c>
      <c r="L66" s="777">
        <f>K66+L56</f>
        <v/>
      </c>
      <c r="M66" s="777">
        <f>L66+M56</f>
        <v/>
      </c>
      <c r="N66" s="777">
        <f>M66+N56</f>
        <v/>
      </c>
      <c r="O66" s="777">
        <f>N66+O56</f>
        <v/>
      </c>
      <c r="P66" s="777">
        <f>O66+P56</f>
        <v/>
      </c>
      <c r="Q66" s="777">
        <f>P66+Q56</f>
        <v/>
      </c>
      <c r="R66" s="777">
        <f>Q66+R56</f>
        <v/>
      </c>
      <c r="S66" s="777">
        <f>R66+S56</f>
        <v/>
      </c>
      <c r="T66" s="777">
        <f>S66+T56</f>
        <v/>
      </c>
      <c r="U66" s="777">
        <f>T66+U56</f>
        <v/>
      </c>
      <c r="V66" s="777">
        <f>U66+V56</f>
        <v/>
      </c>
      <c r="W66" s="777">
        <f>V66+W56</f>
        <v/>
      </c>
      <c r="X66" s="777">
        <f>W66+X56</f>
        <v/>
      </c>
      <c r="Y66" s="777">
        <f>X66+Y56</f>
        <v/>
      </c>
      <c r="Z66" s="777">
        <f>Y66+Z56</f>
        <v/>
      </c>
      <c r="AA66" s="777">
        <f>Z66+AA56</f>
        <v/>
      </c>
      <c r="AB66" s="777">
        <f>AA66+AB56</f>
        <v/>
      </c>
      <c r="AC66" s="777">
        <f>AB66+AC56</f>
        <v/>
      </c>
      <c r="AD66" s="777">
        <f>AC66+AD56</f>
        <v/>
      </c>
      <c r="AE66" s="777">
        <f>AD66+AE56</f>
        <v/>
      </c>
      <c r="AF66" s="777">
        <f>AE66+AF56</f>
        <v/>
      </c>
      <c r="AG66" s="777">
        <f>AF66+AG56</f>
        <v/>
      </c>
      <c r="AH66" s="777">
        <f>AG66+AH56</f>
        <v/>
      </c>
      <c r="AI66" s="777">
        <f>AH66+AI56</f>
        <v/>
      </c>
      <c r="AJ66" s="777">
        <f>AI66+AJ56</f>
        <v/>
      </c>
      <c r="AK66" s="777">
        <f>AJ66+AK56</f>
        <v/>
      </c>
      <c r="AL66" s="777">
        <f>AK66+AL56</f>
        <v/>
      </c>
      <c r="AM66" s="777">
        <f>AL66+AM56</f>
        <v/>
      </c>
      <c r="AN66" s="777">
        <f>AM66+AN56</f>
        <v/>
      </c>
      <c r="AO66" s="777">
        <f>AN66+AO56</f>
        <v/>
      </c>
      <c r="AP66" s="777">
        <f>AO66+AP56</f>
        <v/>
      </c>
      <c r="AQ66" s="777">
        <f>AP66+AQ56</f>
        <v/>
      </c>
      <c r="AR66" s="777">
        <f>AQ66+AR56</f>
        <v/>
      </c>
      <c r="AS66" s="777">
        <f>AR66+AS56</f>
        <v/>
      </c>
      <c r="AT66" s="777">
        <f>AS66+AT56</f>
        <v/>
      </c>
      <c r="AU66" s="777">
        <f>AT66+AU56</f>
        <v/>
      </c>
      <c r="AV66" s="777">
        <f>AU66+AV56</f>
        <v/>
      </c>
      <c r="AW66" s="777">
        <f>AV66+AW56</f>
        <v/>
      </c>
      <c r="AX66" s="777">
        <f>AW66+AX56</f>
        <v/>
      </c>
      <c r="AY66" s="777">
        <f>AX66+AY56</f>
        <v/>
      </c>
      <c r="AZ66" s="777">
        <f>AY66+AZ56</f>
        <v/>
      </c>
      <c r="BA66" s="777">
        <f>AZ66+BA56</f>
        <v/>
      </c>
      <c r="BB66" s="777">
        <f>BA66+BB56</f>
        <v/>
      </c>
    </row>
    <row r="67">
      <c r="B67" s="245" t="n"/>
      <c r="C67" s="223" t="n"/>
      <c r="D67" s="223" t="n"/>
      <c r="E67" s="223" t="n"/>
      <c r="F67" s="223" t="n"/>
      <c r="G67" s="223" t="n"/>
      <c r="H67" s="223" t="n"/>
      <c r="I67" s="223" t="n"/>
      <c r="J67" s="223" t="n"/>
      <c r="K67" s="223" t="n"/>
      <c r="L67" s="223" t="n"/>
      <c r="M67" s="223" t="n"/>
      <c r="N67" s="223" t="n"/>
      <c r="O67" s="223" t="n"/>
      <c r="P67" s="223" t="n"/>
      <c r="Q67" s="223" t="n"/>
      <c r="R67" s="223" t="n"/>
      <c r="S67" s="223" t="n"/>
      <c r="T67" s="223" t="n"/>
      <c r="U67" s="223" t="n"/>
      <c r="V67" s="223" t="n"/>
      <c r="W67" s="223" t="n"/>
      <c r="X67" s="223" t="n"/>
      <c r="Y67" s="223" t="n"/>
      <c r="Z67" s="223" t="n"/>
      <c r="AA67" s="223" t="n"/>
      <c r="AB67" s="223" t="n"/>
      <c r="AC67" s="223" t="n"/>
      <c r="AD67" s="223" t="n"/>
      <c r="AE67" s="223" t="n"/>
      <c r="AF67" s="223" t="n"/>
      <c r="AG67" s="223" t="n"/>
      <c r="AH67" s="223" t="n"/>
      <c r="AI67" s="223" t="n"/>
      <c r="AJ67" s="223" t="n"/>
      <c r="AK67" s="223" t="n"/>
      <c r="AL67" s="223" t="n"/>
      <c r="AM67" s="223" t="n"/>
      <c r="AN67" s="223" t="n"/>
      <c r="AO67" s="223" t="n"/>
      <c r="AP67" s="223" t="n"/>
      <c r="AQ67" s="223" t="n"/>
      <c r="AR67" s="223" t="n"/>
      <c r="AS67" s="223" t="n"/>
      <c r="AT67" s="223" t="n"/>
      <c r="AU67" s="223" t="n"/>
      <c r="AV67" s="223" t="n"/>
      <c r="AW67" s="223" t="n"/>
      <c r="AX67" s="223" t="n"/>
      <c r="AY67" s="223" t="n"/>
      <c r="AZ67" s="223" t="n"/>
      <c r="BA67" s="223" t="n"/>
      <c r="BB67" s="250" t="n"/>
    </row>
    <row r="68">
      <c r="B68" s="245" t="n"/>
      <c r="C68" s="223" t="n"/>
      <c r="D68" s="223" t="n"/>
      <c r="E68" s="223" t="n"/>
      <c r="F68" s="223" t="n"/>
      <c r="G68" s="223" t="n"/>
      <c r="H68" s="223" t="n"/>
      <c r="I68" s="223" t="n"/>
      <c r="J68" s="223" t="n"/>
      <c r="K68" s="223" t="n"/>
      <c r="L68" s="223" t="n"/>
      <c r="M68" s="223" t="n"/>
      <c r="N68" s="223" t="n"/>
      <c r="O68" s="223" t="n"/>
      <c r="P68" s="223" t="n"/>
      <c r="Q68" s="223" t="n"/>
      <c r="R68" s="223" t="n"/>
      <c r="S68" s="223" t="n"/>
      <c r="T68" s="223" t="n"/>
      <c r="U68" s="223" t="n"/>
      <c r="V68" s="223" t="n"/>
      <c r="W68" s="223" t="n"/>
      <c r="X68" s="223" t="n"/>
      <c r="Y68" s="223" t="n"/>
      <c r="Z68" s="223" t="n"/>
      <c r="AA68" s="223" t="n"/>
      <c r="AB68" s="223" t="n"/>
      <c r="AC68" s="223" t="n"/>
      <c r="AD68" s="223" t="n"/>
      <c r="AE68" s="223" t="n"/>
      <c r="AF68" s="223" t="n"/>
      <c r="AG68" s="223" t="n"/>
      <c r="AH68" s="223" t="n"/>
      <c r="AI68" s="223" t="n"/>
      <c r="AJ68" s="223" t="n"/>
      <c r="AK68" s="223" t="n"/>
      <c r="AL68" s="223" t="n"/>
      <c r="AM68" s="223" t="n"/>
      <c r="AN68" s="223" t="n"/>
      <c r="AO68" s="223" t="n"/>
      <c r="AP68" s="223" t="n"/>
      <c r="AQ68" s="223" t="n"/>
      <c r="AR68" s="223" t="n"/>
      <c r="AS68" s="223" t="n"/>
      <c r="AT68" s="223" t="n"/>
      <c r="AU68" s="223" t="n"/>
      <c r="AV68" s="223" t="n"/>
      <c r="AW68" s="223" t="n"/>
      <c r="AX68" s="223" t="n"/>
      <c r="AY68" s="223" t="n"/>
      <c r="AZ68" s="223" t="n"/>
      <c r="BA68" s="223" t="n"/>
      <c r="BB68" s="250" t="n"/>
    </row>
    <row r="69">
      <c r="B69" s="245" t="n"/>
      <c r="C69" s="223" t="n"/>
      <c r="D69" s="223" t="n"/>
      <c r="E69" s="223" t="n"/>
      <c r="F69" s="223" t="n"/>
      <c r="G69" s="223" t="n"/>
      <c r="H69" s="223" t="n"/>
      <c r="I69" s="223" t="n"/>
      <c r="J69" s="223" t="n"/>
      <c r="K69" s="223" t="n"/>
      <c r="L69" s="223" t="n"/>
      <c r="M69" s="223" t="n"/>
      <c r="N69" s="223" t="n"/>
      <c r="O69" s="223" t="n"/>
      <c r="P69" s="223" t="n"/>
      <c r="Q69" s="223" t="n"/>
      <c r="R69" s="223" t="n"/>
      <c r="S69" s="223" t="n"/>
      <c r="T69" s="223" t="n"/>
      <c r="U69" s="223" t="n"/>
      <c r="V69" s="223" t="n"/>
      <c r="W69" s="223" t="n"/>
      <c r="X69" s="223" t="n"/>
      <c r="Y69" s="223" t="n"/>
      <c r="Z69" s="223" t="n"/>
      <c r="AA69" s="223" t="n"/>
      <c r="AB69" s="223" t="n"/>
      <c r="AC69" s="223" t="n"/>
      <c r="AD69" s="223" t="n"/>
      <c r="AE69" s="223" t="n"/>
      <c r="AF69" s="223" t="n"/>
      <c r="AG69" s="223" t="n"/>
      <c r="AH69" s="223" t="n"/>
      <c r="AI69" s="223" t="n"/>
      <c r="AJ69" s="223" t="n"/>
      <c r="AK69" s="223" t="n"/>
      <c r="AL69" s="223" t="n"/>
      <c r="AM69" s="223" t="n"/>
      <c r="AN69" s="223" t="n"/>
      <c r="AO69" s="223" t="n"/>
      <c r="AP69" s="223" t="n"/>
      <c r="AQ69" s="223" t="n"/>
      <c r="AR69" s="223" t="n"/>
      <c r="AS69" s="223" t="n"/>
      <c r="AT69" s="223" t="n"/>
      <c r="AU69" s="223" t="n"/>
      <c r="AV69" s="223" t="n"/>
      <c r="AW69" s="223" t="n"/>
      <c r="AX69" s="223" t="n"/>
      <c r="AY69" s="223" t="n"/>
      <c r="AZ69" s="223" t="n"/>
      <c r="BA69" s="223" t="n"/>
      <c r="BB69" s="250" t="n"/>
    </row>
    <row r="70">
      <c r="B70" s="349" t="inlineStr">
        <is>
          <t>ENGINEERING AIA OI</t>
        </is>
      </c>
      <c r="C70" s="778">
        <f>SUMIFS(Data!$S$3:$S$348,Data!$N$3:$N$348,C$1,Data!$K$3:$K$348,'Reporting 2022'!$B15)</f>
        <v/>
      </c>
      <c r="D70" s="778">
        <f>SUMIFS(Data!$S$3:$S$348,Data!$N$3:$N$348,D$1,Data!$K$3:$K$348,'Reporting 2022'!$B15)</f>
        <v/>
      </c>
      <c r="E70" s="778">
        <f>SUMIFS(Data!$S$3:$S$348,Data!$N$3:$N$348,E$1,Data!$K$3:$K$348,'Reporting 2022'!$B15)</f>
        <v/>
      </c>
      <c r="F70" s="778">
        <f>SUMIFS(Data!$S$3:$S$348,Data!$N$3:$N$348,F$1,Data!$K$3:$K$348,'Reporting 2022'!$B15)</f>
        <v/>
      </c>
      <c r="G70" s="778">
        <f>SUMIFS(Data!$S$3:$S$348,Data!$N$3:$N$348,G$1,Data!$K$3:$K$348,'Reporting 2022'!$B15)</f>
        <v/>
      </c>
      <c r="H70" s="778">
        <f>SUMIFS(Data!$S$3:$S$348,Data!$N$3:$N$348,H$1,Data!$K$3:$K$348,'Reporting 2022'!$B15)</f>
        <v/>
      </c>
      <c r="I70" s="778">
        <f>SUMIFS(Data!$S$3:$S$348,Data!$N$3:$N$348,I$1,Data!$K$3:$K$348,'Reporting 2022'!$B15)</f>
        <v/>
      </c>
      <c r="J70" s="778">
        <f>SUMIFS(Data!$S$3:$S$348,Data!$N$3:$N$348,J$1,Data!$K$3:$K$348,'Reporting 2022'!$B15)</f>
        <v/>
      </c>
      <c r="K70" s="778">
        <f>SUMIFS(Data!$S$3:$S$348,Data!$N$3:$N$348,K$1,Data!$K$3:$K$348,'Reporting 2022'!$B15)</f>
        <v/>
      </c>
      <c r="L70" s="778">
        <f>SUMIFS(Data!$S$3:$S$348,Data!$N$3:$N$348,L$1,Data!$K$3:$K$348,'Reporting 2022'!$B15)</f>
        <v/>
      </c>
      <c r="M70" s="778">
        <f>SUMIFS(Data!$S$3:$S$348,Data!$N$3:$N$348,M$1,Data!$K$3:$K$348,'Reporting 2022'!$B15)</f>
        <v/>
      </c>
      <c r="N70" s="778">
        <f>SUMIFS(Data!$S$3:$S$348,Data!$N$3:$N$348,N$1,Data!$K$3:$K$348,'Reporting 2022'!$B15)</f>
        <v/>
      </c>
      <c r="O70" s="778">
        <f>SUMIFS(Data!$S$3:$S$348,Data!$N$3:$N$348,O$1,Data!$K$3:$K$348,'Reporting 2022'!$B15)</f>
        <v/>
      </c>
      <c r="P70" s="778">
        <f>SUMIFS(Data!$S$3:$S$348,Data!$N$3:$N$348,P$1,Data!$K$3:$K$348,'Reporting 2022'!$B15)</f>
        <v/>
      </c>
      <c r="Q70" s="778">
        <f>SUMIFS(Data!$S$3:$S$348,Data!$N$3:$N$348,Q$1,Data!$K$3:$K$348,'Reporting 2022'!$B15)</f>
        <v/>
      </c>
      <c r="R70" s="778">
        <f>SUMIFS(Data!$S$3:$S$348,Data!$N$3:$N$348,R$1,Data!$K$3:$K$348,'Reporting 2022'!$B15)</f>
        <v/>
      </c>
      <c r="S70" s="778">
        <f>SUMIFS(Data!$S$3:$S$348,Data!$N$3:$N$348,S$1,Data!$K$3:$K$348,'Reporting 2022'!$B15)</f>
        <v/>
      </c>
      <c r="T70" s="778">
        <f>SUMIFS(Data!$S$3:$S$348,Data!$N$3:$N$348,T$1,Data!$K$3:$K$348,'Reporting 2022'!$B15)</f>
        <v/>
      </c>
      <c r="U70" s="778">
        <f>SUMIFS(Data!$S$3:$S$348,Data!$N$3:$N$348,U$1,Data!$K$3:$K$348,'Reporting 2022'!$B15)</f>
        <v/>
      </c>
      <c r="V70" s="778">
        <f>SUMIFS(Data!$S$3:$S$348,Data!$N$3:$N$348,V$1,Data!$K$3:$K$348,'Reporting 2022'!$B15)</f>
        <v/>
      </c>
      <c r="W70" s="778">
        <f>SUMIFS(Data!$S$3:$S$348,Data!$N$3:$N$348,W$1,Data!$K$3:$K$348,'Reporting 2022'!$B15)</f>
        <v/>
      </c>
      <c r="X70" s="778">
        <f>SUMIFS(Data!$S$3:$S$348,Data!$N$3:$N$348,X$1,Data!$K$3:$K$348,'Reporting 2022'!$B15)</f>
        <v/>
      </c>
      <c r="Y70" s="778">
        <f>SUMIFS(Data!$S$3:$S$348,Data!$N$3:$N$348,Y$1,Data!$K$3:$K$348,'Reporting 2022'!$B15)</f>
        <v/>
      </c>
      <c r="Z70" s="778">
        <f>SUMIFS(Data!$S$3:$S$348,Data!$N$3:$N$348,Z$1,Data!$K$3:$K$348,'Reporting 2022'!$B15)</f>
        <v/>
      </c>
      <c r="AA70" s="778">
        <f>SUMIFS(Data!$S$3:$S$348,Data!$N$3:$N$348,AA$1,Data!$K$3:$K$348,'Reporting 2022'!$B15)</f>
        <v/>
      </c>
      <c r="AB70" s="778">
        <f>SUMIFS(Data!$S$3:$S$348,Data!$N$3:$N$348,AB$1,Data!$K$3:$K$348,'Reporting 2022'!$B15)</f>
        <v/>
      </c>
      <c r="AC70" s="778">
        <f>SUMIFS(Data!$S$3:$S$348,Data!$N$3:$N$348,AC$1,Data!$K$3:$K$348,'Reporting 2022'!$B15)</f>
        <v/>
      </c>
      <c r="AD70" s="778">
        <f>SUMIFS(Data!$S$3:$S$348,Data!$N$3:$N$348,AD$1,Data!$K$3:$K$348,'Reporting 2022'!$B15)</f>
        <v/>
      </c>
      <c r="AE70" s="778">
        <f>SUMIFS(Data!$S$3:$S$348,Data!$N$3:$N$348,AE$1,Data!$K$3:$K$348,'Reporting 2022'!$B15)</f>
        <v/>
      </c>
      <c r="AF70" s="778">
        <f>SUMIFS(Data!$S$3:$S$348,Data!$N$3:$N$348,AF$1,Data!$K$3:$K$348,'Reporting 2022'!$B15)</f>
        <v/>
      </c>
      <c r="AG70" s="778">
        <f>SUMIFS(Data!$S$3:$S$348,Data!$N$3:$N$348,AG$1,Data!$K$3:$K$348,'Reporting 2022'!$B15)</f>
        <v/>
      </c>
      <c r="AH70" s="778">
        <f>SUMIFS(Data!$S$3:$S$348,Data!$N$3:$N$348,AH$1,Data!$K$3:$K$348,'Reporting 2022'!$B15)</f>
        <v/>
      </c>
      <c r="AI70" s="778">
        <f>SUMIFS(Data!$S$3:$S$348,Data!$N$3:$N$348,AI$1,Data!$K$3:$K$348,'Reporting 2022'!$B15)</f>
        <v/>
      </c>
      <c r="AJ70" s="778">
        <f>SUMIFS(Data!$S$3:$S$348,Data!$N$3:$N$348,AJ$1,Data!$K$3:$K$348,'Reporting 2022'!$B15)</f>
        <v/>
      </c>
      <c r="AK70" s="778">
        <f>SUMIFS(Data!$S$3:$S$348,Data!$N$3:$N$348,AK$1,Data!$K$3:$K$348,'Reporting 2022'!$B15)</f>
        <v/>
      </c>
      <c r="AL70" s="778">
        <f>SUMIFS(Data!$S$3:$S$348,Data!$N$3:$N$348,AL$1,Data!$K$3:$K$348,'Reporting 2022'!$B15)</f>
        <v/>
      </c>
      <c r="AM70" s="778">
        <f>SUMIFS(Data!$S$3:$S$348,Data!$N$3:$N$348,AM$1,Data!$K$3:$K$348,'Reporting 2022'!$B15)</f>
        <v/>
      </c>
      <c r="AN70" s="778">
        <f>SUMIFS(Data!$S$3:$S$348,Data!$N$3:$N$348,AN$1,Data!$K$3:$K$348,'Reporting 2022'!$B15)</f>
        <v/>
      </c>
      <c r="AO70" s="778">
        <f>SUMIFS(Data!$S$3:$S$348,Data!$N$3:$N$348,AO$1,Data!$K$3:$K$348,'Reporting 2022'!$B15)</f>
        <v/>
      </c>
      <c r="AP70" s="778">
        <f>SUMIFS(Data!$S$3:$S$348,Data!$N$3:$N$348,AP$1,Data!$K$3:$K$348,'Reporting 2022'!$B15)</f>
        <v/>
      </c>
      <c r="AQ70" s="778">
        <f>SUMIFS(Data!$S$3:$S$348,Data!$N$3:$N$348,AQ$1,Data!$K$3:$K$348,'Reporting 2022'!$B15)</f>
        <v/>
      </c>
      <c r="AR70" s="778">
        <f>SUMIFS(Data!$S$3:$S$348,Data!$N$3:$N$348,AR$1,Data!$K$3:$K$348,'Reporting 2022'!$B15)</f>
        <v/>
      </c>
      <c r="AS70" s="778">
        <f>SUMIFS(Data!$S$3:$S$348,Data!$N$3:$N$348,AS$1,Data!$K$3:$K$348,'Reporting 2022'!$B15)</f>
        <v/>
      </c>
      <c r="AT70" s="778">
        <f>SUMIFS(Data!$S$3:$S$348,Data!$N$3:$N$348,AT$1,Data!$K$3:$K$348,'Reporting 2022'!$B15)</f>
        <v/>
      </c>
      <c r="AU70" s="778">
        <f>SUMIFS(Data!$S$3:$S$348,Data!$N$3:$N$348,AU$1,Data!$K$3:$K$348,'Reporting 2022'!$B15)</f>
        <v/>
      </c>
      <c r="AV70" s="778">
        <f>SUMIFS(Data!$S$3:$S$348,Data!$N$3:$N$348,AV$1,Data!$K$3:$K$348,'Reporting 2022'!$B15)</f>
        <v/>
      </c>
      <c r="AW70" s="778">
        <f>SUMIFS(Data!$S$3:$S$348,Data!$N$3:$N$348,AW$1,Data!$K$3:$K$348,'Reporting 2022'!$B15)</f>
        <v/>
      </c>
      <c r="AX70" s="778">
        <f>SUMIFS(Data!$S$3:$S$348,Data!$N$3:$N$348,AX$1,Data!$K$3:$K$348,'Reporting 2022'!$B15)</f>
        <v/>
      </c>
      <c r="AY70" s="778">
        <f>SUMIFS(Data!$S$3:$S$348,Data!$N$3:$N$348,AY$1,Data!$K$3:$K$348,'Reporting 2022'!$B15)</f>
        <v/>
      </c>
      <c r="AZ70" s="778">
        <f>SUMIFS(Data!$S$3:$S$348,Data!$N$3:$N$348,AZ$1,Data!$K$3:$K$348,'Reporting 2022'!$B15)</f>
        <v/>
      </c>
      <c r="BA70" s="778">
        <f>SUMIFS(Data!$S$3:$S$348,Data!$N$3:$N$348,BA$1,Data!$K$3:$K$348,'Reporting 2022'!$B15)</f>
        <v/>
      </c>
      <c r="BB70" s="778">
        <f>SUMIFS(Data!$S$3:$S$348,Data!$N$3:$N$348,BB$1,Data!$K$3:$K$348,'Reporting 2022'!$B15)</f>
        <v/>
      </c>
    </row>
    <row r="71">
      <c r="B71" s="349" t="inlineStr">
        <is>
          <t>ENGINEERING IC OI</t>
        </is>
      </c>
      <c r="C71" s="778">
        <f>SUMIFS(Data!$S$3:$S$348,Data!$N$3:$N$348,C$1,Data!$K$3:$K$348,'Reporting 2022'!$B16)</f>
        <v/>
      </c>
      <c r="D71" s="778">
        <f>SUMIFS(Data!$S$3:$S$348,Data!$N$3:$N$348,D$1,Data!$K$3:$K$348,'Reporting 2022'!$B16)</f>
        <v/>
      </c>
      <c r="E71" s="778">
        <f>SUMIFS(Data!$S$3:$S$348,Data!$N$3:$N$348,E$1,Data!$K$3:$K$348,'Reporting 2022'!$B16)</f>
        <v/>
      </c>
      <c r="F71" s="778">
        <f>SUMIFS(Data!$S$3:$S$348,Data!$N$3:$N$348,F$1,Data!$K$3:$K$348,'Reporting 2022'!$B16)</f>
        <v/>
      </c>
      <c r="G71" s="778">
        <f>SUMIFS(Data!$S$3:$S$348,Data!$N$3:$N$348,G$1,Data!$K$3:$K$348,'Reporting 2022'!$B16)</f>
        <v/>
      </c>
      <c r="H71" s="778">
        <f>SUMIFS(Data!$S$3:$S$348,Data!$N$3:$N$348,H$1,Data!$K$3:$K$348,'Reporting 2022'!$B16)</f>
        <v/>
      </c>
      <c r="I71" s="778">
        <f>SUMIFS(Data!$S$3:$S$348,Data!$N$3:$N$348,I$1,Data!$K$3:$K$348,'Reporting 2022'!$B16)</f>
        <v/>
      </c>
      <c r="J71" s="778">
        <f>SUMIFS(Data!$S$3:$S$348,Data!$N$3:$N$348,J$1,Data!$K$3:$K$348,'Reporting 2022'!$B16)</f>
        <v/>
      </c>
      <c r="K71" s="778">
        <f>SUMIFS(Data!$S$3:$S$348,Data!$N$3:$N$348,K$1,Data!$K$3:$K$348,'Reporting 2022'!$B16)</f>
        <v/>
      </c>
      <c r="L71" s="778">
        <f>SUMIFS(Data!$S$3:$S$348,Data!$N$3:$N$348,L$1,Data!$K$3:$K$348,'Reporting 2022'!$B16)</f>
        <v/>
      </c>
      <c r="M71" s="778">
        <f>SUMIFS(Data!$S$3:$S$348,Data!$N$3:$N$348,M$1,Data!$K$3:$K$348,'Reporting 2022'!$B16)</f>
        <v/>
      </c>
      <c r="N71" s="778">
        <f>SUMIFS(Data!$S$3:$S$348,Data!$N$3:$N$348,N$1,Data!$K$3:$K$348,'Reporting 2022'!$B16)</f>
        <v/>
      </c>
      <c r="O71" s="778">
        <f>SUMIFS(Data!$S$3:$S$348,Data!$N$3:$N$348,O$1,Data!$K$3:$K$348,'Reporting 2022'!$B16)</f>
        <v/>
      </c>
      <c r="P71" s="778">
        <f>SUMIFS(Data!$S$3:$S$348,Data!$N$3:$N$348,P$1,Data!$K$3:$K$348,'Reporting 2022'!$B16)</f>
        <v/>
      </c>
      <c r="Q71" s="778">
        <f>SUMIFS(Data!$S$3:$S$348,Data!$N$3:$N$348,Q$1,Data!$K$3:$K$348,'Reporting 2022'!$B16)</f>
        <v/>
      </c>
      <c r="R71" s="778">
        <f>SUMIFS(Data!$S$3:$S$348,Data!$N$3:$N$348,R$1,Data!$K$3:$K$348,'Reporting 2022'!$B16)</f>
        <v/>
      </c>
      <c r="S71" s="778">
        <f>SUMIFS(Data!$S$3:$S$348,Data!$N$3:$N$348,S$1,Data!$K$3:$K$348,'Reporting 2022'!$B16)</f>
        <v/>
      </c>
      <c r="T71" s="778">
        <f>SUMIFS(Data!$S$3:$S$348,Data!$N$3:$N$348,T$1,Data!$K$3:$K$348,'Reporting 2022'!$B16)</f>
        <v/>
      </c>
      <c r="U71" s="778">
        <f>SUMIFS(Data!$S$3:$S$348,Data!$N$3:$N$348,U$1,Data!$K$3:$K$348,'Reporting 2022'!$B16)</f>
        <v/>
      </c>
      <c r="V71" s="778">
        <f>SUMIFS(Data!$S$3:$S$348,Data!$N$3:$N$348,V$1,Data!$K$3:$K$348,'Reporting 2022'!$B16)</f>
        <v/>
      </c>
      <c r="W71" s="778">
        <f>SUMIFS(Data!$S$3:$S$348,Data!$N$3:$N$348,W$1,Data!$K$3:$K$348,'Reporting 2022'!$B16)</f>
        <v/>
      </c>
      <c r="X71" s="778">
        <f>SUMIFS(Data!$S$3:$S$348,Data!$N$3:$N$348,X$1,Data!$K$3:$K$348,'Reporting 2022'!$B16)</f>
        <v/>
      </c>
      <c r="Y71" s="778">
        <f>SUMIFS(Data!$S$3:$S$348,Data!$N$3:$N$348,Y$1,Data!$K$3:$K$348,'Reporting 2022'!$B16)</f>
        <v/>
      </c>
      <c r="Z71" s="778">
        <f>SUMIFS(Data!$S$3:$S$348,Data!$N$3:$N$348,Z$1,Data!$K$3:$K$348,'Reporting 2022'!$B16)</f>
        <v/>
      </c>
      <c r="AA71" s="778">
        <f>SUMIFS(Data!$S$3:$S$348,Data!$N$3:$N$348,AA$1,Data!$K$3:$K$348,'Reporting 2022'!$B16)</f>
        <v/>
      </c>
      <c r="AB71" s="778">
        <f>SUMIFS(Data!$S$3:$S$348,Data!$N$3:$N$348,AB$1,Data!$K$3:$K$348,'Reporting 2022'!$B16)</f>
        <v/>
      </c>
      <c r="AC71" s="778">
        <f>SUMIFS(Data!$S$3:$S$348,Data!$N$3:$N$348,AC$1,Data!$K$3:$K$348,'Reporting 2022'!$B16)</f>
        <v/>
      </c>
      <c r="AD71" s="778">
        <f>SUMIFS(Data!$S$3:$S$348,Data!$N$3:$N$348,AD$1,Data!$K$3:$K$348,'Reporting 2022'!$B16)</f>
        <v/>
      </c>
      <c r="AE71" s="778">
        <f>SUMIFS(Data!$S$3:$S$348,Data!$N$3:$N$348,AE$1,Data!$K$3:$K$348,'Reporting 2022'!$B16)</f>
        <v/>
      </c>
      <c r="AF71" s="778">
        <f>SUMIFS(Data!$S$3:$S$348,Data!$N$3:$N$348,AF$1,Data!$K$3:$K$348,'Reporting 2022'!$B16)</f>
        <v/>
      </c>
      <c r="AG71" s="778">
        <f>SUMIFS(Data!$S$3:$S$348,Data!$N$3:$N$348,AG$1,Data!$K$3:$K$348,'Reporting 2022'!$B16)</f>
        <v/>
      </c>
      <c r="AH71" s="778">
        <f>SUMIFS(Data!$S$3:$S$348,Data!$N$3:$N$348,AH$1,Data!$K$3:$K$348,'Reporting 2022'!$B16)</f>
        <v/>
      </c>
      <c r="AI71" s="778">
        <f>SUMIFS(Data!$S$3:$S$348,Data!$N$3:$N$348,AI$1,Data!$K$3:$K$348,'Reporting 2022'!$B16)</f>
        <v/>
      </c>
      <c r="AJ71" s="778">
        <f>SUMIFS(Data!$S$3:$S$348,Data!$N$3:$N$348,AJ$1,Data!$K$3:$K$348,'Reporting 2022'!$B16)</f>
        <v/>
      </c>
      <c r="AK71" s="778">
        <f>SUMIFS(Data!$S$3:$S$348,Data!$N$3:$N$348,AK$1,Data!$K$3:$K$348,'Reporting 2022'!$B16)</f>
        <v/>
      </c>
      <c r="AL71" s="778">
        <f>SUMIFS(Data!$S$3:$S$348,Data!$N$3:$N$348,AL$1,Data!$K$3:$K$348,'Reporting 2022'!$B16)</f>
        <v/>
      </c>
      <c r="AM71" s="778">
        <f>SUMIFS(Data!$S$3:$S$348,Data!$N$3:$N$348,AM$1,Data!$K$3:$K$348,'Reporting 2022'!$B16)</f>
        <v/>
      </c>
      <c r="AN71" s="778">
        <f>SUMIFS(Data!$S$3:$S$348,Data!$N$3:$N$348,AN$1,Data!$K$3:$K$348,'Reporting 2022'!$B16)</f>
        <v/>
      </c>
      <c r="AO71" s="778">
        <f>SUMIFS(Data!$S$3:$S$348,Data!$N$3:$N$348,AO$1,Data!$K$3:$K$348,'Reporting 2022'!$B16)</f>
        <v/>
      </c>
      <c r="AP71" s="778">
        <f>SUMIFS(Data!$S$3:$S$348,Data!$N$3:$N$348,AP$1,Data!$K$3:$K$348,'Reporting 2022'!$B16)</f>
        <v/>
      </c>
      <c r="AQ71" s="778">
        <f>SUMIFS(Data!$S$3:$S$348,Data!$N$3:$N$348,AQ$1,Data!$K$3:$K$348,'Reporting 2022'!$B16)</f>
        <v/>
      </c>
      <c r="AR71" s="778">
        <f>SUMIFS(Data!$S$3:$S$348,Data!$N$3:$N$348,AR$1,Data!$K$3:$K$348,'Reporting 2022'!$B16)</f>
        <v/>
      </c>
      <c r="AS71" s="778">
        <f>SUMIFS(Data!$S$3:$S$348,Data!$N$3:$N$348,AS$1,Data!$K$3:$K$348,'Reporting 2022'!$B16)</f>
        <v/>
      </c>
      <c r="AT71" s="778">
        <f>SUMIFS(Data!$S$3:$S$348,Data!$N$3:$N$348,AT$1,Data!$K$3:$K$348,'Reporting 2022'!$B16)</f>
        <v/>
      </c>
      <c r="AU71" s="778">
        <f>SUMIFS(Data!$S$3:$S$348,Data!$N$3:$N$348,AU$1,Data!$K$3:$K$348,'Reporting 2022'!$B16)</f>
        <v/>
      </c>
      <c r="AV71" s="778">
        <f>SUMIFS(Data!$S$3:$S$348,Data!$N$3:$N$348,AV$1,Data!$K$3:$K$348,'Reporting 2022'!$B16)</f>
        <v/>
      </c>
      <c r="AW71" s="778">
        <f>SUMIFS(Data!$S$3:$S$348,Data!$N$3:$N$348,AW$1,Data!$K$3:$K$348,'Reporting 2022'!$B16)</f>
        <v/>
      </c>
      <c r="AX71" s="778">
        <f>SUMIFS(Data!$S$3:$S$348,Data!$N$3:$N$348,AX$1,Data!$K$3:$K$348,'Reporting 2022'!$B16)</f>
        <v/>
      </c>
      <c r="AY71" s="778">
        <f>SUMIFS(Data!$S$3:$S$348,Data!$N$3:$N$348,AY$1,Data!$K$3:$K$348,'Reporting 2022'!$B16)</f>
        <v/>
      </c>
      <c r="AZ71" s="778">
        <f>SUMIFS(Data!$S$3:$S$348,Data!$N$3:$N$348,AZ$1,Data!$K$3:$K$348,'Reporting 2022'!$B16)</f>
        <v/>
      </c>
      <c r="BA71" s="778">
        <f>SUMIFS(Data!$S$3:$S$348,Data!$N$3:$N$348,BA$1,Data!$K$3:$K$348,'Reporting 2022'!$B16)</f>
        <v/>
      </c>
      <c r="BB71" s="778">
        <f>SUMIFS(Data!$S$3:$S$348,Data!$N$3:$N$348,BB$1,Data!$K$3:$K$348,'Reporting 2022'!$B16)</f>
        <v/>
      </c>
    </row>
    <row r="72">
      <c r="B72" s="349" t="inlineStr">
        <is>
          <t>FCP AIA OI</t>
        </is>
      </c>
      <c r="C72" s="778">
        <f>SUMIFS(Data!$S$3:$S$348,Data!$N$3:$N$348,C$1,Data!$K$3:$K$348,'Reporting 2022'!$B17)</f>
        <v/>
      </c>
      <c r="D72" s="778">
        <f>SUMIFS(Data!$S$3:$S$348,Data!$N$3:$N$348,D$1,Data!$K$3:$K$348,'Reporting 2022'!$B17)</f>
        <v/>
      </c>
      <c r="E72" s="778">
        <f>SUMIFS(Data!$S$3:$S$348,Data!$N$3:$N$348,E$1,Data!$K$3:$K$348,'Reporting 2022'!$B17)</f>
        <v/>
      </c>
      <c r="F72" s="778">
        <f>SUMIFS(Data!$S$3:$S$348,Data!$N$3:$N$348,F$1,Data!$K$3:$K$348,'Reporting 2022'!$B17)</f>
        <v/>
      </c>
      <c r="G72" s="778">
        <f>SUMIFS(Data!$S$3:$S$348,Data!$N$3:$N$348,G$1,Data!$K$3:$K$348,'Reporting 2022'!$B17)</f>
        <v/>
      </c>
      <c r="H72" s="778">
        <f>SUMIFS(Data!$S$3:$S$348,Data!$N$3:$N$348,H$1,Data!$K$3:$K$348,'Reporting 2022'!$B17)</f>
        <v/>
      </c>
      <c r="I72" s="778">
        <f>SUMIFS(Data!$S$3:$S$348,Data!$N$3:$N$348,I$1,Data!$K$3:$K$348,'Reporting 2022'!$B17)</f>
        <v/>
      </c>
      <c r="J72" s="778">
        <f>SUMIFS(Data!$S$3:$S$348,Data!$N$3:$N$348,J$1,Data!$K$3:$K$348,'Reporting 2022'!$B17)</f>
        <v/>
      </c>
      <c r="K72" s="778">
        <f>SUMIFS(Data!$S$3:$S$348,Data!$N$3:$N$348,K$1,Data!$K$3:$K$348,'Reporting 2022'!$B17)</f>
        <v/>
      </c>
      <c r="L72" s="778">
        <f>SUMIFS(Data!$S$3:$S$348,Data!$N$3:$N$348,L$1,Data!$K$3:$K$348,'Reporting 2022'!$B17)</f>
        <v/>
      </c>
      <c r="M72" s="778">
        <f>SUMIFS(Data!$S$3:$S$348,Data!$N$3:$N$348,M$1,Data!$K$3:$K$348,'Reporting 2022'!$B17)</f>
        <v/>
      </c>
      <c r="N72" s="778">
        <f>SUMIFS(Data!$S$3:$S$348,Data!$N$3:$N$348,N$1,Data!$K$3:$K$348,'Reporting 2022'!$B17)</f>
        <v/>
      </c>
      <c r="O72" s="778">
        <f>SUMIFS(Data!$S$3:$S$348,Data!$N$3:$N$348,O$1,Data!$K$3:$K$348,'Reporting 2022'!$B17)</f>
        <v/>
      </c>
      <c r="P72" s="778">
        <f>SUMIFS(Data!$S$3:$S$348,Data!$N$3:$N$348,P$1,Data!$K$3:$K$348,'Reporting 2022'!$B17)</f>
        <v/>
      </c>
      <c r="Q72" s="778">
        <f>SUMIFS(Data!$S$3:$S$348,Data!$N$3:$N$348,Q$1,Data!$K$3:$K$348,'Reporting 2022'!$B17)</f>
        <v/>
      </c>
      <c r="R72" s="778">
        <f>SUMIFS(Data!$S$3:$S$348,Data!$N$3:$N$348,R$1,Data!$K$3:$K$348,'Reporting 2022'!$B17)</f>
        <v/>
      </c>
      <c r="S72" s="778">
        <f>SUMIFS(Data!$S$3:$S$348,Data!$N$3:$N$348,S$1,Data!$K$3:$K$348,'Reporting 2022'!$B17)</f>
        <v/>
      </c>
      <c r="T72" s="778">
        <f>SUMIFS(Data!$S$3:$S$348,Data!$N$3:$N$348,T$1,Data!$K$3:$K$348,'Reporting 2022'!$B17)</f>
        <v/>
      </c>
      <c r="U72" s="778">
        <f>SUMIFS(Data!$S$3:$S$348,Data!$N$3:$N$348,U$1,Data!$K$3:$K$348,'Reporting 2022'!$B17)</f>
        <v/>
      </c>
      <c r="V72" s="778">
        <f>SUMIFS(Data!$S$3:$S$348,Data!$N$3:$N$348,V$1,Data!$K$3:$K$348,'Reporting 2022'!$B17)</f>
        <v/>
      </c>
      <c r="W72" s="778">
        <f>SUMIFS(Data!$S$3:$S$348,Data!$N$3:$N$348,W$1,Data!$K$3:$K$348,'Reporting 2022'!$B17)</f>
        <v/>
      </c>
      <c r="X72" s="778">
        <f>SUMIFS(Data!$S$3:$S$348,Data!$N$3:$N$348,X$1,Data!$K$3:$K$348,'Reporting 2022'!$B17)</f>
        <v/>
      </c>
      <c r="Y72" s="778">
        <f>SUMIFS(Data!$S$3:$S$348,Data!$N$3:$N$348,Y$1,Data!$K$3:$K$348,'Reporting 2022'!$B17)</f>
        <v/>
      </c>
      <c r="Z72" s="778">
        <f>SUMIFS(Data!$S$3:$S$348,Data!$N$3:$N$348,Z$1,Data!$K$3:$K$348,'Reporting 2022'!$B17)</f>
        <v/>
      </c>
      <c r="AA72" s="778">
        <f>SUMIFS(Data!$S$3:$S$348,Data!$N$3:$N$348,AA$1,Data!$K$3:$K$348,'Reporting 2022'!$B17)</f>
        <v/>
      </c>
      <c r="AB72" s="778">
        <f>SUMIFS(Data!$S$3:$S$348,Data!$N$3:$N$348,AB$1,Data!$K$3:$K$348,'Reporting 2022'!$B17)</f>
        <v/>
      </c>
      <c r="AC72" s="778">
        <f>SUMIFS(Data!$S$3:$S$348,Data!$N$3:$N$348,AC$1,Data!$K$3:$K$348,'Reporting 2022'!$B17)</f>
        <v/>
      </c>
      <c r="AD72" s="778">
        <f>SUMIFS(Data!$S$3:$S$348,Data!$N$3:$N$348,AD$1,Data!$K$3:$K$348,'Reporting 2022'!$B17)</f>
        <v/>
      </c>
      <c r="AE72" s="778">
        <f>SUMIFS(Data!$S$3:$S$348,Data!$N$3:$N$348,AE$1,Data!$K$3:$K$348,'Reporting 2022'!$B17)</f>
        <v/>
      </c>
      <c r="AF72" s="778">
        <f>SUMIFS(Data!$S$3:$S$348,Data!$N$3:$N$348,AF$1,Data!$K$3:$K$348,'Reporting 2022'!$B17)</f>
        <v/>
      </c>
      <c r="AG72" s="778">
        <f>SUMIFS(Data!$S$3:$S$348,Data!$N$3:$N$348,AG$1,Data!$K$3:$K$348,'Reporting 2022'!$B17)</f>
        <v/>
      </c>
      <c r="AH72" s="778">
        <f>SUMIFS(Data!$S$3:$S$348,Data!$N$3:$N$348,AH$1,Data!$K$3:$K$348,'Reporting 2022'!$B17)</f>
        <v/>
      </c>
      <c r="AI72" s="778">
        <f>SUMIFS(Data!$S$3:$S$348,Data!$N$3:$N$348,AI$1,Data!$K$3:$K$348,'Reporting 2022'!$B17)</f>
        <v/>
      </c>
      <c r="AJ72" s="778">
        <f>SUMIFS(Data!$S$3:$S$348,Data!$N$3:$N$348,AJ$1,Data!$K$3:$K$348,'Reporting 2022'!$B17)</f>
        <v/>
      </c>
      <c r="AK72" s="778">
        <f>SUMIFS(Data!$S$3:$S$348,Data!$N$3:$N$348,AK$1,Data!$K$3:$K$348,'Reporting 2022'!$B17)</f>
        <v/>
      </c>
      <c r="AL72" s="778">
        <f>SUMIFS(Data!$S$3:$S$348,Data!$N$3:$N$348,AL$1,Data!$K$3:$K$348,'Reporting 2022'!$B17)</f>
        <v/>
      </c>
      <c r="AM72" s="778">
        <f>SUMIFS(Data!$S$3:$S$348,Data!$N$3:$N$348,AM$1,Data!$K$3:$K$348,'Reporting 2022'!$B17)</f>
        <v/>
      </c>
      <c r="AN72" s="778">
        <f>SUMIFS(Data!$S$3:$S$348,Data!$N$3:$N$348,AN$1,Data!$K$3:$K$348,'Reporting 2022'!$B17)</f>
        <v/>
      </c>
      <c r="AO72" s="778">
        <f>SUMIFS(Data!$S$3:$S$348,Data!$N$3:$N$348,AO$1,Data!$K$3:$K$348,'Reporting 2022'!$B17)</f>
        <v/>
      </c>
      <c r="AP72" s="778">
        <f>SUMIFS(Data!$S$3:$S$348,Data!$N$3:$N$348,AP$1,Data!$K$3:$K$348,'Reporting 2022'!$B17)</f>
        <v/>
      </c>
      <c r="AQ72" s="778">
        <f>SUMIFS(Data!$S$3:$S$348,Data!$N$3:$N$348,AQ$1,Data!$K$3:$K$348,'Reporting 2022'!$B17)</f>
        <v/>
      </c>
      <c r="AR72" s="778">
        <f>SUMIFS(Data!$S$3:$S$348,Data!$N$3:$N$348,AR$1,Data!$K$3:$K$348,'Reporting 2022'!$B17)</f>
        <v/>
      </c>
      <c r="AS72" s="778">
        <f>SUMIFS(Data!$S$3:$S$348,Data!$N$3:$N$348,AS$1,Data!$K$3:$K$348,'Reporting 2022'!$B17)</f>
        <v/>
      </c>
      <c r="AT72" s="778">
        <f>SUMIFS(Data!$S$3:$S$348,Data!$N$3:$N$348,AT$1,Data!$K$3:$K$348,'Reporting 2022'!$B17)</f>
        <v/>
      </c>
      <c r="AU72" s="778">
        <f>SUMIFS(Data!$S$3:$S$348,Data!$N$3:$N$348,AU$1,Data!$K$3:$K$348,'Reporting 2022'!$B17)</f>
        <v/>
      </c>
      <c r="AV72" s="778">
        <f>SUMIFS(Data!$S$3:$S$348,Data!$N$3:$N$348,AV$1,Data!$K$3:$K$348,'Reporting 2022'!$B17)</f>
        <v/>
      </c>
      <c r="AW72" s="778">
        <f>SUMIFS(Data!$S$3:$S$348,Data!$N$3:$N$348,AW$1,Data!$K$3:$K$348,'Reporting 2022'!$B17)</f>
        <v/>
      </c>
      <c r="AX72" s="778">
        <f>SUMIFS(Data!$S$3:$S$348,Data!$N$3:$N$348,AX$1,Data!$K$3:$K$348,'Reporting 2022'!$B17)</f>
        <v/>
      </c>
      <c r="AY72" s="778">
        <f>SUMIFS(Data!$S$3:$S$348,Data!$N$3:$N$348,AY$1,Data!$K$3:$K$348,'Reporting 2022'!$B17)</f>
        <v/>
      </c>
      <c r="AZ72" s="778">
        <f>SUMIFS(Data!$S$3:$S$348,Data!$N$3:$N$348,AZ$1,Data!$K$3:$K$348,'Reporting 2022'!$B17)</f>
        <v/>
      </c>
      <c r="BA72" s="778">
        <f>SUMIFS(Data!$S$3:$S$348,Data!$N$3:$N$348,BA$1,Data!$K$3:$K$348,'Reporting 2022'!$B17)</f>
        <v/>
      </c>
      <c r="BB72" s="778">
        <f>SUMIFS(Data!$S$3:$S$348,Data!$N$3:$N$348,BB$1,Data!$K$3:$K$348,'Reporting 2022'!$B17)</f>
        <v/>
      </c>
    </row>
    <row r="73">
      <c r="B73" s="349" t="inlineStr">
        <is>
          <t>FCP OTHER AIA OI</t>
        </is>
      </c>
      <c r="C73" s="778">
        <f>SUMIFS(Data!$S$3:$S$348,Data!$N$3:$N$348,C$1,Data!$K$3:$K$348,'Reporting 2022'!$B18)</f>
        <v/>
      </c>
      <c r="D73" s="778">
        <f>SUMIFS(Data!$S$3:$S$348,Data!$N$3:$N$348,D$1,Data!$K$3:$K$348,'Reporting 2022'!$B18)</f>
        <v/>
      </c>
      <c r="E73" s="778">
        <f>SUMIFS(Data!$S$3:$S$348,Data!$N$3:$N$348,E$1,Data!$K$3:$K$348,'Reporting 2022'!$B18)</f>
        <v/>
      </c>
      <c r="F73" s="778">
        <f>SUMIFS(Data!$S$3:$S$348,Data!$N$3:$N$348,F$1,Data!$K$3:$K$348,'Reporting 2022'!$B18)</f>
        <v/>
      </c>
      <c r="G73" s="778">
        <f>SUMIFS(Data!$S$3:$S$348,Data!$N$3:$N$348,G$1,Data!$K$3:$K$348,'Reporting 2022'!$B18)</f>
        <v/>
      </c>
      <c r="H73" s="778">
        <f>SUMIFS(Data!$S$3:$S$348,Data!$N$3:$N$348,H$1,Data!$K$3:$K$348,'Reporting 2022'!$B18)</f>
        <v/>
      </c>
      <c r="I73" s="778">
        <f>SUMIFS(Data!$S$3:$S$348,Data!$N$3:$N$348,I$1,Data!$K$3:$K$348,'Reporting 2022'!$B18)</f>
        <v/>
      </c>
      <c r="J73" s="778">
        <f>SUMIFS(Data!$S$3:$S$348,Data!$N$3:$N$348,J$1,Data!$K$3:$K$348,'Reporting 2022'!$B18)</f>
        <v/>
      </c>
      <c r="K73" s="778">
        <f>SUMIFS(Data!$S$3:$S$348,Data!$N$3:$N$348,K$1,Data!$K$3:$K$348,'Reporting 2022'!$B18)</f>
        <v/>
      </c>
      <c r="L73" s="778">
        <f>SUMIFS(Data!$S$3:$S$348,Data!$N$3:$N$348,L$1,Data!$K$3:$K$348,'Reporting 2022'!$B18)</f>
        <v/>
      </c>
      <c r="M73" s="778">
        <f>SUMIFS(Data!$S$3:$S$348,Data!$N$3:$N$348,M$1,Data!$K$3:$K$348,'Reporting 2022'!$B18)</f>
        <v/>
      </c>
      <c r="N73" s="778">
        <f>SUMIFS(Data!$S$3:$S$348,Data!$N$3:$N$348,N$1,Data!$K$3:$K$348,'Reporting 2022'!$B18)</f>
        <v/>
      </c>
      <c r="O73" s="778">
        <f>SUMIFS(Data!$S$3:$S$348,Data!$N$3:$N$348,O$1,Data!$K$3:$K$348,'Reporting 2022'!$B18)</f>
        <v/>
      </c>
      <c r="P73" s="778">
        <f>SUMIFS(Data!$S$3:$S$348,Data!$N$3:$N$348,P$1,Data!$K$3:$K$348,'Reporting 2022'!$B18)</f>
        <v/>
      </c>
      <c r="Q73" s="778">
        <f>SUMIFS(Data!$S$3:$S$348,Data!$N$3:$N$348,Q$1,Data!$K$3:$K$348,'Reporting 2022'!$B18)</f>
        <v/>
      </c>
      <c r="R73" s="778">
        <f>SUMIFS(Data!$S$3:$S$348,Data!$N$3:$N$348,R$1,Data!$K$3:$K$348,'Reporting 2022'!$B18)</f>
        <v/>
      </c>
      <c r="S73" s="778">
        <f>SUMIFS(Data!$S$3:$S$348,Data!$N$3:$N$348,S$1,Data!$K$3:$K$348,'Reporting 2022'!$B18)</f>
        <v/>
      </c>
      <c r="T73" s="778">
        <f>SUMIFS(Data!$S$3:$S$348,Data!$N$3:$N$348,T$1,Data!$K$3:$K$348,'Reporting 2022'!$B18)</f>
        <v/>
      </c>
      <c r="U73" s="778">
        <f>SUMIFS(Data!$S$3:$S$348,Data!$N$3:$N$348,U$1,Data!$K$3:$K$348,'Reporting 2022'!$B18)</f>
        <v/>
      </c>
      <c r="V73" s="778">
        <f>SUMIFS(Data!$S$3:$S$348,Data!$N$3:$N$348,V$1,Data!$K$3:$K$348,'Reporting 2022'!$B18)</f>
        <v/>
      </c>
      <c r="W73" s="778">
        <f>SUMIFS(Data!$S$3:$S$348,Data!$N$3:$N$348,W$1,Data!$K$3:$K$348,'Reporting 2022'!$B18)</f>
        <v/>
      </c>
      <c r="X73" s="778">
        <f>SUMIFS(Data!$S$3:$S$348,Data!$N$3:$N$348,X$1,Data!$K$3:$K$348,'Reporting 2022'!$B18)</f>
        <v/>
      </c>
      <c r="Y73" s="778">
        <f>SUMIFS(Data!$S$3:$S$348,Data!$N$3:$N$348,Y$1,Data!$K$3:$K$348,'Reporting 2022'!$B18)</f>
        <v/>
      </c>
      <c r="Z73" s="778">
        <f>SUMIFS(Data!$S$3:$S$348,Data!$N$3:$N$348,Z$1,Data!$K$3:$K$348,'Reporting 2022'!$B18)</f>
        <v/>
      </c>
      <c r="AA73" s="778">
        <f>SUMIFS(Data!$S$3:$S$348,Data!$N$3:$N$348,AA$1,Data!$K$3:$K$348,'Reporting 2022'!$B18)</f>
        <v/>
      </c>
      <c r="AB73" s="778">
        <f>SUMIFS(Data!$S$3:$S$348,Data!$N$3:$N$348,AB$1,Data!$K$3:$K$348,'Reporting 2022'!$B18)</f>
        <v/>
      </c>
      <c r="AC73" s="778">
        <f>SUMIFS(Data!$S$3:$S$348,Data!$N$3:$N$348,AC$1,Data!$K$3:$K$348,'Reporting 2022'!$B18)</f>
        <v/>
      </c>
      <c r="AD73" s="778">
        <f>SUMIFS(Data!$S$3:$S$348,Data!$N$3:$N$348,AD$1,Data!$K$3:$K$348,'Reporting 2022'!$B18)</f>
        <v/>
      </c>
      <c r="AE73" s="778">
        <f>SUMIFS(Data!$S$3:$S$348,Data!$N$3:$N$348,AE$1,Data!$K$3:$K$348,'Reporting 2022'!$B18)</f>
        <v/>
      </c>
      <c r="AF73" s="778">
        <f>SUMIFS(Data!$S$3:$S$348,Data!$N$3:$N$348,AF$1,Data!$K$3:$K$348,'Reporting 2022'!$B18)</f>
        <v/>
      </c>
      <c r="AG73" s="778">
        <f>SUMIFS(Data!$S$3:$S$348,Data!$N$3:$N$348,AG$1,Data!$K$3:$K$348,'Reporting 2022'!$B18)</f>
        <v/>
      </c>
      <c r="AH73" s="778">
        <f>SUMIFS(Data!$S$3:$S$348,Data!$N$3:$N$348,AH$1,Data!$K$3:$K$348,'Reporting 2022'!$B18)</f>
        <v/>
      </c>
      <c r="AI73" s="778">
        <f>SUMIFS(Data!$S$3:$S$348,Data!$N$3:$N$348,AI$1,Data!$K$3:$K$348,'Reporting 2022'!$B18)</f>
        <v/>
      </c>
      <c r="AJ73" s="778">
        <f>SUMIFS(Data!$S$3:$S$348,Data!$N$3:$N$348,AJ$1,Data!$K$3:$K$348,'Reporting 2022'!$B18)</f>
        <v/>
      </c>
      <c r="AK73" s="778">
        <f>SUMIFS(Data!$S$3:$S$348,Data!$N$3:$N$348,AK$1,Data!$K$3:$K$348,'Reporting 2022'!$B18)</f>
        <v/>
      </c>
      <c r="AL73" s="778">
        <f>SUMIFS(Data!$S$3:$S$348,Data!$N$3:$N$348,AL$1,Data!$K$3:$K$348,'Reporting 2022'!$B18)</f>
        <v/>
      </c>
      <c r="AM73" s="778">
        <f>SUMIFS(Data!$S$3:$S$348,Data!$N$3:$N$348,AM$1,Data!$K$3:$K$348,'Reporting 2022'!$B18)</f>
        <v/>
      </c>
      <c r="AN73" s="778">
        <f>SUMIFS(Data!$S$3:$S$348,Data!$N$3:$N$348,AN$1,Data!$K$3:$K$348,'Reporting 2022'!$B18)</f>
        <v/>
      </c>
      <c r="AO73" s="778">
        <f>SUMIFS(Data!$S$3:$S$348,Data!$N$3:$N$348,AO$1,Data!$K$3:$K$348,'Reporting 2022'!$B18)</f>
        <v/>
      </c>
      <c r="AP73" s="778">
        <f>SUMIFS(Data!$S$3:$S$348,Data!$N$3:$N$348,AP$1,Data!$K$3:$K$348,'Reporting 2022'!$B18)</f>
        <v/>
      </c>
      <c r="AQ73" s="778">
        <f>SUMIFS(Data!$S$3:$S$348,Data!$N$3:$N$348,AQ$1,Data!$K$3:$K$348,'Reporting 2022'!$B18)</f>
        <v/>
      </c>
      <c r="AR73" s="778">
        <f>SUMIFS(Data!$S$3:$S$348,Data!$N$3:$N$348,AR$1,Data!$K$3:$K$348,'Reporting 2022'!$B18)</f>
        <v/>
      </c>
      <c r="AS73" s="778">
        <f>SUMIFS(Data!$S$3:$S$348,Data!$N$3:$N$348,AS$1,Data!$K$3:$K$348,'Reporting 2022'!$B18)</f>
        <v/>
      </c>
      <c r="AT73" s="778">
        <f>SUMIFS(Data!$S$3:$S$348,Data!$N$3:$N$348,AT$1,Data!$K$3:$K$348,'Reporting 2022'!$B18)</f>
        <v/>
      </c>
      <c r="AU73" s="778">
        <f>SUMIFS(Data!$S$3:$S$348,Data!$N$3:$N$348,AU$1,Data!$K$3:$K$348,'Reporting 2022'!$B18)</f>
        <v/>
      </c>
      <c r="AV73" s="778">
        <f>SUMIFS(Data!$S$3:$S$348,Data!$N$3:$N$348,AV$1,Data!$K$3:$K$348,'Reporting 2022'!$B18)</f>
        <v/>
      </c>
      <c r="AW73" s="778">
        <f>SUMIFS(Data!$S$3:$S$348,Data!$N$3:$N$348,AW$1,Data!$K$3:$K$348,'Reporting 2022'!$B18)</f>
        <v/>
      </c>
      <c r="AX73" s="778">
        <f>SUMIFS(Data!$S$3:$S$348,Data!$N$3:$N$348,AX$1,Data!$K$3:$K$348,'Reporting 2022'!$B18)</f>
        <v/>
      </c>
      <c r="AY73" s="778">
        <f>SUMIFS(Data!$S$3:$S$348,Data!$N$3:$N$348,AY$1,Data!$K$3:$K$348,'Reporting 2022'!$B18)</f>
        <v/>
      </c>
      <c r="AZ73" s="778">
        <f>SUMIFS(Data!$S$3:$S$348,Data!$N$3:$N$348,AZ$1,Data!$K$3:$K$348,'Reporting 2022'!$B18)</f>
        <v/>
      </c>
      <c r="BA73" s="778">
        <f>SUMIFS(Data!$S$3:$S$348,Data!$N$3:$N$348,BA$1,Data!$K$3:$K$348,'Reporting 2022'!$B18)</f>
        <v/>
      </c>
      <c r="BB73" s="778">
        <f>SUMIFS(Data!$S$3:$S$348,Data!$N$3:$N$348,BB$1,Data!$K$3:$K$348,'Reporting 2022'!$B18)</f>
        <v/>
      </c>
    </row>
    <row r="74">
      <c r="B74" s="349" t="inlineStr">
        <is>
          <t>GSE to AIA OI</t>
        </is>
      </c>
      <c r="C74" s="778">
        <f>SUMIFS(Data!$S$3:$S$348,Data!$N$3:$N$348,C$1,Data!$K$3:$K$348,'Reporting 2022'!$B19)</f>
        <v/>
      </c>
      <c r="D74" s="778">
        <f>SUMIFS(Data!$S$3:$S$348,Data!$N$3:$N$348,D$1,Data!$K$3:$K$348,'Reporting 2022'!$B19)</f>
        <v/>
      </c>
      <c r="E74" s="778">
        <f>SUMIFS(Data!$S$3:$S$348,Data!$N$3:$N$348,E$1,Data!$K$3:$K$348,'Reporting 2022'!$B19)</f>
        <v/>
      </c>
      <c r="F74" s="778">
        <f>SUMIFS(Data!$S$3:$S$348,Data!$N$3:$N$348,F$1,Data!$K$3:$K$348,'Reporting 2022'!$B19)</f>
        <v/>
      </c>
      <c r="G74" s="778">
        <f>SUMIFS(Data!$S$3:$S$348,Data!$N$3:$N$348,G$1,Data!$K$3:$K$348,'Reporting 2022'!$B19)</f>
        <v/>
      </c>
      <c r="H74" s="778">
        <f>SUMIFS(Data!$S$3:$S$348,Data!$N$3:$N$348,H$1,Data!$K$3:$K$348,'Reporting 2022'!$B19)</f>
        <v/>
      </c>
      <c r="I74" s="778">
        <f>SUMIFS(Data!$S$3:$S$348,Data!$N$3:$N$348,I$1,Data!$K$3:$K$348,'Reporting 2022'!$B19)</f>
        <v/>
      </c>
      <c r="J74" s="778">
        <f>SUMIFS(Data!$S$3:$S$348,Data!$N$3:$N$348,J$1,Data!$K$3:$K$348,'Reporting 2022'!$B19)</f>
        <v/>
      </c>
      <c r="K74" s="778">
        <f>SUMIFS(Data!$S$3:$S$348,Data!$N$3:$N$348,K$1,Data!$K$3:$K$348,'Reporting 2022'!$B19)</f>
        <v/>
      </c>
      <c r="L74" s="778">
        <f>SUMIFS(Data!$S$3:$S$348,Data!$N$3:$N$348,L$1,Data!$K$3:$K$348,'Reporting 2022'!$B19)</f>
        <v/>
      </c>
      <c r="M74" s="778">
        <f>SUMIFS(Data!$S$3:$S$348,Data!$N$3:$N$348,M$1,Data!$K$3:$K$348,'Reporting 2022'!$B19)</f>
        <v/>
      </c>
      <c r="N74" s="778">
        <f>SUMIFS(Data!$S$3:$S$348,Data!$N$3:$N$348,N$1,Data!$K$3:$K$348,'Reporting 2022'!$B19)</f>
        <v/>
      </c>
      <c r="O74" s="778">
        <f>SUMIFS(Data!$S$3:$S$348,Data!$N$3:$N$348,O$1,Data!$K$3:$K$348,'Reporting 2022'!$B19)</f>
        <v/>
      </c>
      <c r="P74" s="778">
        <f>SUMIFS(Data!$S$3:$S$348,Data!$N$3:$N$348,P$1,Data!$K$3:$K$348,'Reporting 2022'!$B19)</f>
        <v/>
      </c>
      <c r="Q74" s="778">
        <f>SUMIFS(Data!$S$3:$S$348,Data!$N$3:$N$348,Q$1,Data!$K$3:$K$348,'Reporting 2022'!$B19)</f>
        <v/>
      </c>
      <c r="R74" s="778">
        <f>SUMIFS(Data!$S$3:$S$348,Data!$N$3:$N$348,R$1,Data!$K$3:$K$348,'Reporting 2022'!$B19)</f>
        <v/>
      </c>
      <c r="S74" s="778">
        <f>SUMIFS(Data!$S$3:$S$348,Data!$N$3:$N$348,S$1,Data!$K$3:$K$348,'Reporting 2022'!$B19)</f>
        <v/>
      </c>
      <c r="T74" s="778">
        <f>SUMIFS(Data!$S$3:$S$348,Data!$N$3:$N$348,T$1,Data!$K$3:$K$348,'Reporting 2022'!$B19)</f>
        <v/>
      </c>
      <c r="U74" s="778">
        <f>SUMIFS(Data!$S$3:$S$348,Data!$N$3:$N$348,U$1,Data!$K$3:$K$348,'Reporting 2022'!$B19)</f>
        <v/>
      </c>
      <c r="V74" s="778">
        <f>SUMIFS(Data!$S$3:$S$348,Data!$N$3:$N$348,V$1,Data!$K$3:$K$348,'Reporting 2022'!$B19)</f>
        <v/>
      </c>
      <c r="W74" s="778">
        <f>SUMIFS(Data!$S$3:$S$348,Data!$N$3:$N$348,W$1,Data!$K$3:$K$348,'Reporting 2022'!$B19)</f>
        <v/>
      </c>
      <c r="X74" s="778">
        <f>SUMIFS(Data!$S$3:$S$348,Data!$N$3:$N$348,X$1,Data!$K$3:$K$348,'Reporting 2022'!$B19)</f>
        <v/>
      </c>
      <c r="Y74" s="778">
        <f>SUMIFS(Data!$S$3:$S$348,Data!$N$3:$N$348,Y$1,Data!$K$3:$K$348,'Reporting 2022'!$B19)</f>
        <v/>
      </c>
      <c r="Z74" s="778">
        <f>SUMIFS(Data!$S$3:$S$348,Data!$N$3:$N$348,Z$1,Data!$K$3:$K$348,'Reporting 2022'!$B19)</f>
        <v/>
      </c>
      <c r="AA74" s="778">
        <f>SUMIFS(Data!$S$3:$S$348,Data!$N$3:$N$348,AA$1,Data!$K$3:$K$348,'Reporting 2022'!$B19)</f>
        <v/>
      </c>
      <c r="AB74" s="778">
        <f>SUMIFS(Data!$S$3:$S$348,Data!$N$3:$N$348,AB$1,Data!$K$3:$K$348,'Reporting 2022'!$B19)</f>
        <v/>
      </c>
      <c r="AC74" s="778">
        <f>SUMIFS(Data!$S$3:$S$348,Data!$N$3:$N$348,AC$1,Data!$K$3:$K$348,'Reporting 2022'!$B19)</f>
        <v/>
      </c>
      <c r="AD74" s="778">
        <f>SUMIFS(Data!$S$3:$S$348,Data!$N$3:$N$348,AD$1,Data!$K$3:$K$348,'Reporting 2022'!$B19)</f>
        <v/>
      </c>
      <c r="AE74" s="778">
        <f>SUMIFS(Data!$S$3:$S$348,Data!$N$3:$N$348,AE$1,Data!$K$3:$K$348,'Reporting 2022'!$B19)</f>
        <v/>
      </c>
      <c r="AF74" s="778">
        <f>SUMIFS(Data!$S$3:$S$348,Data!$N$3:$N$348,AF$1,Data!$K$3:$K$348,'Reporting 2022'!$B19)</f>
        <v/>
      </c>
      <c r="AG74" s="778">
        <f>SUMIFS(Data!$S$3:$S$348,Data!$N$3:$N$348,AG$1,Data!$K$3:$K$348,'Reporting 2022'!$B19)</f>
        <v/>
      </c>
      <c r="AH74" s="778">
        <f>SUMIFS(Data!$S$3:$S$348,Data!$N$3:$N$348,AH$1,Data!$K$3:$K$348,'Reporting 2022'!$B19)</f>
        <v/>
      </c>
      <c r="AI74" s="778">
        <f>SUMIFS(Data!$S$3:$S$348,Data!$N$3:$N$348,AI$1,Data!$K$3:$K$348,'Reporting 2022'!$B19)</f>
        <v/>
      </c>
      <c r="AJ74" s="778">
        <f>SUMIFS(Data!$S$3:$S$348,Data!$N$3:$N$348,AJ$1,Data!$K$3:$K$348,'Reporting 2022'!$B19)</f>
        <v/>
      </c>
      <c r="AK74" s="778">
        <f>SUMIFS(Data!$S$3:$S$348,Data!$N$3:$N$348,AK$1,Data!$K$3:$K$348,'Reporting 2022'!$B19)</f>
        <v/>
      </c>
      <c r="AL74" s="778">
        <f>SUMIFS(Data!$S$3:$S$348,Data!$N$3:$N$348,AL$1,Data!$K$3:$K$348,'Reporting 2022'!$B19)</f>
        <v/>
      </c>
      <c r="AM74" s="778">
        <f>SUMIFS(Data!$S$3:$S$348,Data!$N$3:$N$348,AM$1,Data!$K$3:$K$348,'Reporting 2022'!$B19)</f>
        <v/>
      </c>
      <c r="AN74" s="778">
        <f>SUMIFS(Data!$S$3:$S$348,Data!$N$3:$N$348,AN$1,Data!$K$3:$K$348,'Reporting 2022'!$B19)</f>
        <v/>
      </c>
      <c r="AO74" s="778">
        <f>SUMIFS(Data!$S$3:$S$348,Data!$N$3:$N$348,AO$1,Data!$K$3:$K$348,'Reporting 2022'!$B19)</f>
        <v/>
      </c>
      <c r="AP74" s="778">
        <f>SUMIFS(Data!$S$3:$S$348,Data!$N$3:$N$348,AP$1,Data!$K$3:$K$348,'Reporting 2022'!$B19)</f>
        <v/>
      </c>
      <c r="AQ74" s="778">
        <f>SUMIFS(Data!$S$3:$S$348,Data!$N$3:$N$348,AQ$1,Data!$K$3:$K$348,'Reporting 2022'!$B19)</f>
        <v/>
      </c>
      <c r="AR74" s="778">
        <f>SUMIFS(Data!$S$3:$S$348,Data!$N$3:$N$348,AR$1,Data!$K$3:$K$348,'Reporting 2022'!$B19)</f>
        <v/>
      </c>
      <c r="AS74" s="778">
        <f>SUMIFS(Data!$S$3:$S$348,Data!$N$3:$N$348,AS$1,Data!$K$3:$K$348,'Reporting 2022'!$B19)</f>
        <v/>
      </c>
      <c r="AT74" s="778">
        <f>SUMIFS(Data!$S$3:$S$348,Data!$N$3:$N$348,AT$1,Data!$K$3:$K$348,'Reporting 2022'!$B19)</f>
        <v/>
      </c>
      <c r="AU74" s="778">
        <f>SUMIFS(Data!$S$3:$S$348,Data!$N$3:$N$348,AU$1,Data!$K$3:$K$348,'Reporting 2022'!$B19)</f>
        <v/>
      </c>
      <c r="AV74" s="778">
        <f>SUMIFS(Data!$S$3:$S$348,Data!$N$3:$N$348,AV$1,Data!$K$3:$K$348,'Reporting 2022'!$B19)</f>
        <v/>
      </c>
      <c r="AW74" s="778">
        <f>SUMIFS(Data!$S$3:$S$348,Data!$N$3:$N$348,AW$1,Data!$K$3:$K$348,'Reporting 2022'!$B19)</f>
        <v/>
      </c>
      <c r="AX74" s="778">
        <f>SUMIFS(Data!$S$3:$S$348,Data!$N$3:$N$348,AX$1,Data!$K$3:$K$348,'Reporting 2022'!$B19)</f>
        <v/>
      </c>
      <c r="AY74" s="778">
        <f>SUMIFS(Data!$S$3:$S$348,Data!$N$3:$N$348,AY$1,Data!$K$3:$K$348,'Reporting 2022'!$B19)</f>
        <v/>
      </c>
      <c r="AZ74" s="778">
        <f>SUMIFS(Data!$S$3:$S$348,Data!$N$3:$N$348,AZ$1,Data!$K$3:$K$348,'Reporting 2022'!$B19)</f>
        <v/>
      </c>
      <c r="BA74" s="778">
        <f>SUMIFS(Data!$S$3:$S$348,Data!$N$3:$N$348,BA$1,Data!$K$3:$K$348,'Reporting 2022'!$B19)</f>
        <v/>
      </c>
      <c r="BB74" s="778">
        <f>SUMIFS(Data!$S$3:$S$348,Data!$N$3:$N$348,BB$1,Data!$K$3:$K$348,'Reporting 2022'!$B19)</f>
        <v/>
      </c>
    </row>
    <row r="75">
      <c r="B75" s="349" t="inlineStr">
        <is>
          <t>SERVICE AIA OI</t>
        </is>
      </c>
      <c r="C75" s="778">
        <f>SUMIFS(Data!$S$3:$S$348,Data!$N$3:$N$348,C$1,Data!$K$3:$K$348,'Reporting 2022'!$B20)</f>
        <v/>
      </c>
      <c r="D75" s="778">
        <f>SUMIFS(Data!$S$3:$S$348,Data!$N$3:$N$348,D$1,Data!$K$3:$K$348,'Reporting 2022'!$B20)</f>
        <v/>
      </c>
      <c r="E75" s="778">
        <f>SUMIFS(Data!$S$3:$S$348,Data!$N$3:$N$348,E$1,Data!$K$3:$K$348,'Reporting 2022'!$B20)</f>
        <v/>
      </c>
      <c r="F75" s="778">
        <f>SUMIFS(Data!$S$3:$S$348,Data!$N$3:$N$348,F$1,Data!$K$3:$K$348,'Reporting 2022'!$B20)</f>
        <v/>
      </c>
      <c r="G75" s="778">
        <f>SUMIFS(Data!$S$3:$S$348,Data!$N$3:$N$348,G$1,Data!$K$3:$K$348,'Reporting 2022'!$B20)</f>
        <v/>
      </c>
      <c r="H75" s="778">
        <f>SUMIFS(Data!$S$3:$S$348,Data!$N$3:$N$348,H$1,Data!$K$3:$K$348,'Reporting 2022'!$B20)</f>
        <v/>
      </c>
      <c r="I75" s="778">
        <f>SUMIFS(Data!$S$3:$S$348,Data!$N$3:$N$348,I$1,Data!$K$3:$K$348,'Reporting 2022'!$B20)</f>
        <v/>
      </c>
      <c r="J75" s="778">
        <f>SUMIFS(Data!$S$3:$S$348,Data!$N$3:$N$348,J$1,Data!$K$3:$K$348,'Reporting 2022'!$B20)</f>
        <v/>
      </c>
      <c r="K75" s="778">
        <f>SUMIFS(Data!$S$3:$S$348,Data!$N$3:$N$348,K$1,Data!$K$3:$K$348,'Reporting 2022'!$B20)</f>
        <v/>
      </c>
      <c r="L75" s="778">
        <f>SUMIFS(Data!$S$3:$S$348,Data!$N$3:$N$348,L$1,Data!$K$3:$K$348,'Reporting 2022'!$B20)</f>
        <v/>
      </c>
      <c r="M75" s="778">
        <f>SUMIFS(Data!$S$3:$S$348,Data!$N$3:$N$348,M$1,Data!$K$3:$K$348,'Reporting 2022'!$B20)</f>
        <v/>
      </c>
      <c r="N75" s="778">
        <f>SUMIFS(Data!$S$3:$S$348,Data!$N$3:$N$348,N$1,Data!$K$3:$K$348,'Reporting 2022'!$B20)</f>
        <v/>
      </c>
      <c r="O75" s="778">
        <f>SUMIFS(Data!$S$3:$S$348,Data!$N$3:$N$348,O$1,Data!$K$3:$K$348,'Reporting 2022'!$B20)</f>
        <v/>
      </c>
      <c r="P75" s="778">
        <f>SUMIFS(Data!$S$3:$S$348,Data!$N$3:$N$348,P$1,Data!$K$3:$K$348,'Reporting 2022'!$B20)</f>
        <v/>
      </c>
      <c r="Q75" s="778">
        <f>SUMIFS(Data!$S$3:$S$348,Data!$N$3:$N$348,Q$1,Data!$K$3:$K$348,'Reporting 2022'!$B20)</f>
        <v/>
      </c>
      <c r="R75" s="778">
        <f>SUMIFS(Data!$S$3:$S$348,Data!$N$3:$N$348,R$1,Data!$K$3:$K$348,'Reporting 2022'!$B20)</f>
        <v/>
      </c>
      <c r="S75" s="778">
        <f>SUMIFS(Data!$S$3:$S$348,Data!$N$3:$N$348,S$1,Data!$K$3:$K$348,'Reporting 2022'!$B20)</f>
        <v/>
      </c>
      <c r="T75" s="778">
        <f>SUMIFS(Data!$S$3:$S$348,Data!$N$3:$N$348,T$1,Data!$K$3:$K$348,'Reporting 2022'!$B20)</f>
        <v/>
      </c>
      <c r="U75" s="778">
        <f>SUMIFS(Data!$S$3:$S$348,Data!$N$3:$N$348,U$1,Data!$K$3:$K$348,'Reporting 2022'!$B20)</f>
        <v/>
      </c>
      <c r="V75" s="778">
        <f>SUMIFS(Data!$S$3:$S$348,Data!$N$3:$N$348,V$1,Data!$K$3:$K$348,'Reporting 2022'!$B20)</f>
        <v/>
      </c>
      <c r="W75" s="778">
        <f>SUMIFS(Data!$S$3:$S$348,Data!$N$3:$N$348,W$1,Data!$K$3:$K$348,'Reporting 2022'!$B20)</f>
        <v/>
      </c>
      <c r="X75" s="778">
        <f>SUMIFS(Data!$S$3:$S$348,Data!$N$3:$N$348,X$1,Data!$K$3:$K$348,'Reporting 2022'!$B20)</f>
        <v/>
      </c>
      <c r="Y75" s="778">
        <f>SUMIFS(Data!$S$3:$S$348,Data!$N$3:$N$348,Y$1,Data!$K$3:$K$348,'Reporting 2022'!$B20)</f>
        <v/>
      </c>
      <c r="Z75" s="778">
        <f>SUMIFS(Data!$S$3:$S$348,Data!$N$3:$N$348,Z$1,Data!$K$3:$K$348,'Reporting 2022'!$B20)</f>
        <v/>
      </c>
      <c r="AA75" s="778">
        <f>SUMIFS(Data!$S$3:$S$348,Data!$N$3:$N$348,AA$1,Data!$K$3:$K$348,'Reporting 2022'!$B20)</f>
        <v/>
      </c>
      <c r="AB75" s="778">
        <f>SUMIFS(Data!$S$3:$S$348,Data!$N$3:$N$348,AB$1,Data!$K$3:$K$348,'Reporting 2022'!$B20)</f>
        <v/>
      </c>
      <c r="AC75" s="778">
        <f>SUMIFS(Data!$S$3:$S$348,Data!$N$3:$N$348,AC$1,Data!$K$3:$K$348,'Reporting 2022'!$B20)</f>
        <v/>
      </c>
      <c r="AD75" s="778">
        <f>SUMIFS(Data!$S$3:$S$348,Data!$N$3:$N$348,AD$1,Data!$K$3:$K$348,'Reporting 2022'!$B20)</f>
        <v/>
      </c>
      <c r="AE75" s="778">
        <f>SUMIFS(Data!$S$3:$S$348,Data!$N$3:$N$348,AE$1,Data!$K$3:$K$348,'Reporting 2022'!$B20)</f>
        <v/>
      </c>
      <c r="AF75" s="778">
        <f>SUMIFS(Data!$S$3:$S$348,Data!$N$3:$N$348,AF$1,Data!$K$3:$K$348,'Reporting 2022'!$B20)</f>
        <v/>
      </c>
      <c r="AG75" s="778">
        <f>SUMIFS(Data!$S$3:$S$348,Data!$N$3:$N$348,AG$1,Data!$K$3:$K$348,'Reporting 2022'!$B20)</f>
        <v/>
      </c>
      <c r="AH75" s="778">
        <f>SUMIFS(Data!$S$3:$S$348,Data!$N$3:$N$348,AH$1,Data!$K$3:$K$348,'Reporting 2022'!$B20)</f>
        <v/>
      </c>
      <c r="AI75" s="778">
        <f>SUMIFS(Data!$S$3:$S$348,Data!$N$3:$N$348,AI$1,Data!$K$3:$K$348,'Reporting 2022'!$B20)</f>
        <v/>
      </c>
      <c r="AJ75" s="778">
        <f>SUMIFS(Data!$S$3:$S$348,Data!$N$3:$N$348,AJ$1,Data!$K$3:$K$348,'Reporting 2022'!$B20)</f>
        <v/>
      </c>
      <c r="AK75" s="778">
        <f>SUMIFS(Data!$S$3:$S$348,Data!$N$3:$N$348,AK$1,Data!$K$3:$K$348,'Reporting 2022'!$B20)</f>
        <v/>
      </c>
      <c r="AL75" s="778">
        <f>SUMIFS(Data!$S$3:$S$348,Data!$N$3:$N$348,AL$1,Data!$K$3:$K$348,'Reporting 2022'!$B20)</f>
        <v/>
      </c>
      <c r="AM75" s="778">
        <f>SUMIFS(Data!$S$3:$S$348,Data!$N$3:$N$348,AM$1,Data!$K$3:$K$348,'Reporting 2022'!$B20)</f>
        <v/>
      </c>
      <c r="AN75" s="778">
        <f>SUMIFS(Data!$S$3:$S$348,Data!$N$3:$N$348,AN$1,Data!$K$3:$K$348,'Reporting 2022'!$B20)</f>
        <v/>
      </c>
      <c r="AO75" s="778">
        <f>SUMIFS(Data!$S$3:$S$348,Data!$N$3:$N$348,AO$1,Data!$K$3:$K$348,'Reporting 2022'!$B20)</f>
        <v/>
      </c>
      <c r="AP75" s="778">
        <f>SUMIFS(Data!$S$3:$S$348,Data!$N$3:$N$348,AP$1,Data!$K$3:$K$348,'Reporting 2022'!$B20)</f>
        <v/>
      </c>
      <c r="AQ75" s="778">
        <f>SUMIFS(Data!$S$3:$S$348,Data!$N$3:$N$348,AQ$1,Data!$K$3:$K$348,'Reporting 2022'!$B20)</f>
        <v/>
      </c>
      <c r="AR75" s="778">
        <f>SUMIFS(Data!$S$3:$S$348,Data!$N$3:$N$348,AR$1,Data!$K$3:$K$348,'Reporting 2022'!$B20)</f>
        <v/>
      </c>
      <c r="AS75" s="778">
        <f>SUMIFS(Data!$S$3:$S$348,Data!$N$3:$N$348,AS$1,Data!$K$3:$K$348,'Reporting 2022'!$B20)</f>
        <v/>
      </c>
      <c r="AT75" s="778">
        <f>SUMIFS(Data!$S$3:$S$348,Data!$N$3:$N$348,AT$1,Data!$K$3:$K$348,'Reporting 2022'!$B20)</f>
        <v/>
      </c>
      <c r="AU75" s="778">
        <f>SUMIFS(Data!$S$3:$S$348,Data!$N$3:$N$348,AU$1,Data!$K$3:$K$348,'Reporting 2022'!$B20)</f>
        <v/>
      </c>
      <c r="AV75" s="778">
        <f>SUMIFS(Data!$S$3:$S$348,Data!$N$3:$N$348,AV$1,Data!$K$3:$K$348,'Reporting 2022'!$B20)</f>
        <v/>
      </c>
      <c r="AW75" s="778">
        <f>SUMIFS(Data!$S$3:$S$348,Data!$N$3:$N$348,AW$1,Data!$K$3:$K$348,'Reporting 2022'!$B20)</f>
        <v/>
      </c>
      <c r="AX75" s="778">
        <f>SUMIFS(Data!$S$3:$S$348,Data!$N$3:$N$348,AX$1,Data!$K$3:$K$348,'Reporting 2022'!$B20)</f>
        <v/>
      </c>
      <c r="AY75" s="778">
        <f>SUMIFS(Data!$S$3:$S$348,Data!$N$3:$N$348,AY$1,Data!$K$3:$K$348,'Reporting 2022'!$B20)</f>
        <v/>
      </c>
      <c r="AZ75" s="778">
        <f>SUMIFS(Data!$S$3:$S$348,Data!$N$3:$N$348,AZ$1,Data!$K$3:$K$348,'Reporting 2022'!$B20)</f>
        <v/>
      </c>
      <c r="BA75" s="778">
        <f>SUMIFS(Data!$S$3:$S$348,Data!$N$3:$N$348,BA$1,Data!$K$3:$K$348,'Reporting 2022'!$B20)</f>
        <v/>
      </c>
      <c r="BB75" s="778">
        <f>SUMIFS(Data!$S$3:$S$348,Data!$N$3:$N$348,BB$1,Data!$K$3:$K$348,'Reporting 2022'!$B20)</f>
        <v/>
      </c>
    </row>
    <row r="76">
      <c r="B76" s="349" t="inlineStr">
        <is>
          <t>SERVICE IC OI</t>
        </is>
      </c>
      <c r="C76" s="778">
        <f>SUMIFS(Data!$S$3:$S$348,Data!$N$3:$N$348,C$1,Data!$K$3:$K$348,'Reporting 2022'!$B21)</f>
        <v/>
      </c>
      <c r="D76" s="778">
        <f>SUMIFS(Data!$S$3:$S$348,Data!$N$3:$N$348,D$1,Data!$K$3:$K$348,'Reporting 2022'!$B21)</f>
        <v/>
      </c>
      <c r="E76" s="778">
        <f>SUMIFS(Data!$S$3:$S$348,Data!$N$3:$N$348,E$1,Data!$K$3:$K$348,'Reporting 2022'!$B21)</f>
        <v/>
      </c>
      <c r="F76" s="778">
        <f>SUMIFS(Data!$S$3:$S$348,Data!$N$3:$N$348,F$1,Data!$K$3:$K$348,'Reporting 2022'!$B21)</f>
        <v/>
      </c>
      <c r="G76" s="778">
        <f>SUMIFS(Data!$S$3:$S$348,Data!$N$3:$N$348,G$1,Data!$K$3:$K$348,'Reporting 2022'!$B21)</f>
        <v/>
      </c>
      <c r="H76" s="778">
        <f>SUMIFS(Data!$S$3:$S$348,Data!$N$3:$N$348,H$1,Data!$K$3:$K$348,'Reporting 2022'!$B21)</f>
        <v/>
      </c>
      <c r="I76" s="778">
        <f>SUMIFS(Data!$S$3:$S$348,Data!$N$3:$N$348,I$1,Data!$K$3:$K$348,'Reporting 2022'!$B21)</f>
        <v/>
      </c>
      <c r="J76" s="778">
        <f>SUMIFS(Data!$S$3:$S$348,Data!$N$3:$N$348,J$1,Data!$K$3:$K$348,'Reporting 2022'!$B21)</f>
        <v/>
      </c>
      <c r="K76" s="778">
        <f>SUMIFS(Data!$S$3:$S$348,Data!$N$3:$N$348,K$1,Data!$K$3:$K$348,'Reporting 2022'!$B21)</f>
        <v/>
      </c>
      <c r="L76" s="778">
        <f>SUMIFS(Data!$S$3:$S$348,Data!$N$3:$N$348,L$1,Data!$K$3:$K$348,'Reporting 2022'!$B21)</f>
        <v/>
      </c>
      <c r="M76" s="778">
        <f>SUMIFS(Data!$S$3:$S$348,Data!$N$3:$N$348,M$1,Data!$K$3:$K$348,'Reporting 2022'!$B21)</f>
        <v/>
      </c>
      <c r="N76" s="778">
        <f>SUMIFS(Data!$S$3:$S$348,Data!$N$3:$N$348,N$1,Data!$K$3:$K$348,'Reporting 2022'!$B21)</f>
        <v/>
      </c>
      <c r="O76" s="778">
        <f>SUMIFS(Data!$S$3:$S$348,Data!$N$3:$N$348,O$1,Data!$K$3:$K$348,'Reporting 2022'!$B21)</f>
        <v/>
      </c>
      <c r="P76" s="778">
        <f>SUMIFS(Data!$S$3:$S$348,Data!$N$3:$N$348,P$1,Data!$K$3:$K$348,'Reporting 2022'!$B21)</f>
        <v/>
      </c>
      <c r="Q76" s="778">
        <f>SUMIFS(Data!$S$3:$S$348,Data!$N$3:$N$348,Q$1,Data!$K$3:$K$348,'Reporting 2022'!$B21)</f>
        <v/>
      </c>
      <c r="R76" s="778">
        <f>SUMIFS(Data!$S$3:$S$348,Data!$N$3:$N$348,R$1,Data!$K$3:$K$348,'Reporting 2022'!$B21)</f>
        <v/>
      </c>
      <c r="S76" s="778">
        <f>SUMIFS(Data!$S$3:$S$348,Data!$N$3:$N$348,S$1,Data!$K$3:$K$348,'Reporting 2022'!$B21)</f>
        <v/>
      </c>
      <c r="T76" s="778">
        <f>SUMIFS(Data!$S$3:$S$348,Data!$N$3:$N$348,T$1,Data!$K$3:$K$348,'Reporting 2022'!$B21)</f>
        <v/>
      </c>
      <c r="U76" s="778">
        <f>SUMIFS(Data!$S$3:$S$348,Data!$N$3:$N$348,U$1,Data!$K$3:$K$348,'Reporting 2022'!$B21)</f>
        <v/>
      </c>
      <c r="V76" s="778">
        <f>SUMIFS(Data!$S$3:$S$348,Data!$N$3:$N$348,V$1,Data!$K$3:$K$348,'Reporting 2022'!$B21)</f>
        <v/>
      </c>
      <c r="W76" s="778">
        <f>SUMIFS(Data!$S$3:$S$348,Data!$N$3:$N$348,W$1,Data!$K$3:$K$348,'Reporting 2022'!$B21)</f>
        <v/>
      </c>
      <c r="X76" s="778">
        <f>SUMIFS(Data!$S$3:$S$348,Data!$N$3:$N$348,X$1,Data!$K$3:$K$348,'Reporting 2022'!$B21)</f>
        <v/>
      </c>
      <c r="Y76" s="778">
        <f>SUMIFS(Data!$S$3:$S$348,Data!$N$3:$N$348,Y$1,Data!$K$3:$K$348,'Reporting 2022'!$B21)</f>
        <v/>
      </c>
      <c r="Z76" s="778">
        <f>SUMIFS(Data!$S$3:$S$348,Data!$N$3:$N$348,Z$1,Data!$K$3:$K$348,'Reporting 2022'!$B21)</f>
        <v/>
      </c>
      <c r="AA76" s="778">
        <f>SUMIFS(Data!$S$3:$S$348,Data!$N$3:$N$348,AA$1,Data!$K$3:$K$348,'Reporting 2022'!$B21)</f>
        <v/>
      </c>
      <c r="AB76" s="778">
        <f>SUMIFS(Data!$S$3:$S$348,Data!$N$3:$N$348,AB$1,Data!$K$3:$K$348,'Reporting 2022'!$B21)</f>
        <v/>
      </c>
      <c r="AC76" s="778">
        <f>SUMIFS(Data!$S$3:$S$348,Data!$N$3:$N$348,AC$1,Data!$K$3:$K$348,'Reporting 2022'!$B21)</f>
        <v/>
      </c>
      <c r="AD76" s="778">
        <f>SUMIFS(Data!$S$3:$S$348,Data!$N$3:$N$348,AD$1,Data!$K$3:$K$348,'Reporting 2022'!$B21)</f>
        <v/>
      </c>
      <c r="AE76" s="778">
        <f>SUMIFS(Data!$S$3:$S$348,Data!$N$3:$N$348,AE$1,Data!$K$3:$K$348,'Reporting 2022'!$B21)</f>
        <v/>
      </c>
      <c r="AF76" s="778">
        <f>SUMIFS(Data!$S$3:$S$348,Data!$N$3:$N$348,AF$1,Data!$K$3:$K$348,'Reporting 2022'!$B21)</f>
        <v/>
      </c>
      <c r="AG76" s="778">
        <f>SUMIFS(Data!$S$3:$S$348,Data!$N$3:$N$348,AG$1,Data!$K$3:$K$348,'Reporting 2022'!$B21)</f>
        <v/>
      </c>
      <c r="AH76" s="778">
        <f>SUMIFS(Data!$S$3:$S$348,Data!$N$3:$N$348,AH$1,Data!$K$3:$K$348,'Reporting 2022'!$B21)</f>
        <v/>
      </c>
      <c r="AI76" s="778">
        <f>SUMIFS(Data!$S$3:$S$348,Data!$N$3:$N$348,AI$1,Data!$K$3:$K$348,'Reporting 2022'!$B21)</f>
        <v/>
      </c>
      <c r="AJ76" s="778">
        <f>SUMIFS(Data!$S$3:$S$348,Data!$N$3:$N$348,AJ$1,Data!$K$3:$K$348,'Reporting 2022'!$B21)</f>
        <v/>
      </c>
      <c r="AK76" s="778">
        <f>SUMIFS(Data!$S$3:$S$348,Data!$N$3:$N$348,AK$1,Data!$K$3:$K$348,'Reporting 2022'!$B21)</f>
        <v/>
      </c>
      <c r="AL76" s="778">
        <f>SUMIFS(Data!$S$3:$S$348,Data!$N$3:$N$348,AL$1,Data!$K$3:$K$348,'Reporting 2022'!$B21)</f>
        <v/>
      </c>
      <c r="AM76" s="778">
        <f>SUMIFS(Data!$S$3:$S$348,Data!$N$3:$N$348,AM$1,Data!$K$3:$K$348,'Reporting 2022'!$B21)</f>
        <v/>
      </c>
      <c r="AN76" s="778">
        <f>SUMIFS(Data!$S$3:$S$348,Data!$N$3:$N$348,AN$1,Data!$K$3:$K$348,'Reporting 2022'!$B21)</f>
        <v/>
      </c>
      <c r="AO76" s="778">
        <f>SUMIFS(Data!$S$3:$S$348,Data!$N$3:$N$348,AO$1,Data!$K$3:$K$348,'Reporting 2022'!$B21)</f>
        <v/>
      </c>
      <c r="AP76" s="778">
        <f>SUMIFS(Data!$S$3:$S$348,Data!$N$3:$N$348,AP$1,Data!$K$3:$K$348,'Reporting 2022'!$B21)</f>
        <v/>
      </c>
      <c r="AQ76" s="778">
        <f>SUMIFS(Data!$S$3:$S$348,Data!$N$3:$N$348,AQ$1,Data!$K$3:$K$348,'Reporting 2022'!$B21)</f>
        <v/>
      </c>
      <c r="AR76" s="778">
        <f>SUMIFS(Data!$S$3:$S$348,Data!$N$3:$N$348,AR$1,Data!$K$3:$K$348,'Reporting 2022'!$B21)</f>
        <v/>
      </c>
      <c r="AS76" s="778">
        <f>SUMIFS(Data!$S$3:$S$348,Data!$N$3:$N$348,AS$1,Data!$K$3:$K$348,'Reporting 2022'!$B21)</f>
        <v/>
      </c>
      <c r="AT76" s="778">
        <f>SUMIFS(Data!$S$3:$S$348,Data!$N$3:$N$348,AT$1,Data!$K$3:$K$348,'Reporting 2022'!$B21)</f>
        <v/>
      </c>
      <c r="AU76" s="778">
        <f>SUMIFS(Data!$S$3:$S$348,Data!$N$3:$N$348,AU$1,Data!$K$3:$K$348,'Reporting 2022'!$B21)</f>
        <v/>
      </c>
      <c r="AV76" s="778">
        <f>SUMIFS(Data!$S$3:$S$348,Data!$N$3:$N$348,AV$1,Data!$K$3:$K$348,'Reporting 2022'!$B21)</f>
        <v/>
      </c>
      <c r="AW76" s="778">
        <f>SUMIFS(Data!$S$3:$S$348,Data!$N$3:$N$348,AW$1,Data!$K$3:$K$348,'Reporting 2022'!$B21)</f>
        <v/>
      </c>
      <c r="AX76" s="778">
        <f>SUMIFS(Data!$S$3:$S$348,Data!$N$3:$N$348,AX$1,Data!$K$3:$K$348,'Reporting 2022'!$B21)</f>
        <v/>
      </c>
      <c r="AY76" s="778">
        <f>SUMIFS(Data!$S$3:$S$348,Data!$N$3:$N$348,AY$1,Data!$K$3:$K$348,'Reporting 2022'!$B21)</f>
        <v/>
      </c>
      <c r="AZ76" s="778">
        <f>SUMIFS(Data!$S$3:$S$348,Data!$N$3:$N$348,AZ$1,Data!$K$3:$K$348,'Reporting 2022'!$B21)</f>
        <v/>
      </c>
      <c r="BA76" s="778">
        <f>SUMIFS(Data!$S$3:$S$348,Data!$N$3:$N$348,BA$1,Data!$K$3:$K$348,'Reporting 2022'!$B21)</f>
        <v/>
      </c>
      <c r="BB76" s="778">
        <f>SUMIFS(Data!$S$3:$S$348,Data!$N$3:$N$348,BB$1,Data!$K$3:$K$348,'Reporting 2022'!$B21)</f>
        <v/>
      </c>
    </row>
    <row r="77">
      <c r="B77" s="349" t="inlineStr">
        <is>
          <t>SERVICE OTHER AIA OI</t>
        </is>
      </c>
      <c r="C77" s="778">
        <f>SUMIFS(Data!$S$3:$S$348,Data!$N$3:$N$348,C$1,Data!$K$3:$K$348,'Reporting 2022'!$B22)</f>
        <v/>
      </c>
      <c r="D77" s="778">
        <f>SUMIFS(Data!$S$3:$S$348,Data!$N$3:$N$348,D$1,Data!$K$3:$K$348,'Reporting 2022'!$B22)</f>
        <v/>
      </c>
      <c r="E77" s="778">
        <f>SUMIFS(Data!$S$3:$S$348,Data!$N$3:$N$348,E$1,Data!$K$3:$K$348,'Reporting 2022'!$B22)</f>
        <v/>
      </c>
      <c r="F77" s="778">
        <f>SUMIFS(Data!$S$3:$S$348,Data!$N$3:$N$348,F$1,Data!$K$3:$K$348,'Reporting 2022'!$B22)</f>
        <v/>
      </c>
      <c r="G77" s="778">
        <f>SUMIFS(Data!$S$3:$S$348,Data!$N$3:$N$348,G$1,Data!$K$3:$K$348,'Reporting 2022'!$B22)</f>
        <v/>
      </c>
      <c r="H77" s="778">
        <f>SUMIFS(Data!$S$3:$S$348,Data!$N$3:$N$348,H$1,Data!$K$3:$K$348,'Reporting 2022'!$B22)</f>
        <v/>
      </c>
      <c r="I77" s="778">
        <f>SUMIFS(Data!$S$3:$S$348,Data!$N$3:$N$348,I$1,Data!$K$3:$K$348,'Reporting 2022'!$B22)</f>
        <v/>
      </c>
      <c r="J77" s="778">
        <f>SUMIFS(Data!$S$3:$S$348,Data!$N$3:$N$348,J$1,Data!$K$3:$K$348,'Reporting 2022'!$B22)</f>
        <v/>
      </c>
      <c r="K77" s="778">
        <f>SUMIFS(Data!$S$3:$S$348,Data!$N$3:$N$348,K$1,Data!$K$3:$K$348,'Reporting 2022'!$B22)</f>
        <v/>
      </c>
      <c r="L77" s="778">
        <f>SUMIFS(Data!$S$3:$S$348,Data!$N$3:$N$348,L$1,Data!$K$3:$K$348,'Reporting 2022'!$B22)</f>
        <v/>
      </c>
      <c r="M77" s="778">
        <f>SUMIFS(Data!$S$3:$S$348,Data!$N$3:$N$348,M$1,Data!$K$3:$K$348,'Reporting 2022'!$B22)</f>
        <v/>
      </c>
      <c r="N77" s="778">
        <f>SUMIFS(Data!$S$3:$S$348,Data!$N$3:$N$348,N$1,Data!$K$3:$K$348,'Reporting 2022'!$B22)</f>
        <v/>
      </c>
      <c r="O77" s="778">
        <f>SUMIFS(Data!$S$3:$S$348,Data!$N$3:$N$348,O$1,Data!$K$3:$K$348,'Reporting 2022'!$B22)</f>
        <v/>
      </c>
      <c r="P77" s="778">
        <f>SUMIFS(Data!$S$3:$S$348,Data!$N$3:$N$348,P$1,Data!$K$3:$K$348,'Reporting 2022'!$B22)</f>
        <v/>
      </c>
      <c r="Q77" s="778">
        <f>SUMIFS(Data!$S$3:$S$348,Data!$N$3:$N$348,Q$1,Data!$K$3:$K$348,'Reporting 2022'!$B22)</f>
        <v/>
      </c>
      <c r="R77" s="778">
        <f>SUMIFS(Data!$S$3:$S$348,Data!$N$3:$N$348,R$1,Data!$K$3:$K$348,'Reporting 2022'!$B22)</f>
        <v/>
      </c>
      <c r="S77" s="778">
        <f>SUMIFS(Data!$S$3:$S$348,Data!$N$3:$N$348,S$1,Data!$K$3:$K$348,'Reporting 2022'!$B22)</f>
        <v/>
      </c>
      <c r="T77" s="778">
        <f>SUMIFS(Data!$S$3:$S$348,Data!$N$3:$N$348,T$1,Data!$K$3:$K$348,'Reporting 2022'!$B22)</f>
        <v/>
      </c>
      <c r="U77" s="778">
        <f>SUMIFS(Data!$S$3:$S$348,Data!$N$3:$N$348,U$1,Data!$K$3:$K$348,'Reporting 2022'!$B22)</f>
        <v/>
      </c>
      <c r="V77" s="778">
        <f>SUMIFS(Data!$S$3:$S$348,Data!$N$3:$N$348,V$1,Data!$K$3:$K$348,'Reporting 2022'!$B22)</f>
        <v/>
      </c>
      <c r="W77" s="778">
        <f>SUMIFS(Data!$S$3:$S$348,Data!$N$3:$N$348,W$1,Data!$K$3:$K$348,'Reporting 2022'!$B22)</f>
        <v/>
      </c>
      <c r="X77" s="778">
        <f>SUMIFS(Data!$S$3:$S$348,Data!$N$3:$N$348,X$1,Data!$K$3:$K$348,'Reporting 2022'!$B22)</f>
        <v/>
      </c>
      <c r="Y77" s="778">
        <f>SUMIFS(Data!$S$3:$S$348,Data!$N$3:$N$348,Y$1,Data!$K$3:$K$348,'Reporting 2022'!$B22)</f>
        <v/>
      </c>
      <c r="Z77" s="778">
        <f>SUMIFS(Data!$S$3:$S$348,Data!$N$3:$N$348,Z$1,Data!$K$3:$K$348,'Reporting 2022'!$B22)</f>
        <v/>
      </c>
      <c r="AA77" s="778">
        <f>SUMIFS(Data!$S$3:$S$348,Data!$N$3:$N$348,AA$1,Data!$K$3:$K$348,'Reporting 2022'!$B22)</f>
        <v/>
      </c>
      <c r="AB77" s="778">
        <f>SUMIFS(Data!$S$3:$S$348,Data!$N$3:$N$348,AB$1,Data!$K$3:$K$348,'Reporting 2022'!$B22)</f>
        <v/>
      </c>
      <c r="AC77" s="778">
        <f>SUMIFS(Data!$S$3:$S$348,Data!$N$3:$N$348,AC$1,Data!$K$3:$K$348,'Reporting 2022'!$B22)</f>
        <v/>
      </c>
      <c r="AD77" s="778">
        <f>SUMIFS(Data!$S$3:$S$348,Data!$N$3:$N$348,AD$1,Data!$K$3:$K$348,'Reporting 2022'!$B22)</f>
        <v/>
      </c>
      <c r="AE77" s="778">
        <f>SUMIFS(Data!$S$3:$S$348,Data!$N$3:$N$348,AE$1,Data!$K$3:$K$348,'Reporting 2022'!$B22)</f>
        <v/>
      </c>
      <c r="AF77" s="778">
        <f>SUMIFS(Data!$S$3:$S$348,Data!$N$3:$N$348,AF$1,Data!$K$3:$K$348,'Reporting 2022'!$B22)</f>
        <v/>
      </c>
      <c r="AG77" s="778">
        <f>SUMIFS(Data!$S$3:$S$348,Data!$N$3:$N$348,AG$1,Data!$K$3:$K$348,'Reporting 2022'!$B22)</f>
        <v/>
      </c>
      <c r="AH77" s="778">
        <f>SUMIFS(Data!$S$3:$S$348,Data!$N$3:$N$348,AH$1,Data!$K$3:$K$348,'Reporting 2022'!$B22)</f>
        <v/>
      </c>
      <c r="AI77" s="778">
        <f>SUMIFS(Data!$S$3:$S$348,Data!$N$3:$N$348,AI$1,Data!$K$3:$K$348,'Reporting 2022'!$B22)</f>
        <v/>
      </c>
      <c r="AJ77" s="778">
        <f>SUMIFS(Data!$S$3:$S$348,Data!$N$3:$N$348,AJ$1,Data!$K$3:$K$348,'Reporting 2022'!$B22)</f>
        <v/>
      </c>
      <c r="AK77" s="778">
        <f>SUMIFS(Data!$S$3:$S$348,Data!$N$3:$N$348,AK$1,Data!$K$3:$K$348,'Reporting 2022'!$B22)</f>
        <v/>
      </c>
      <c r="AL77" s="778">
        <f>SUMIFS(Data!$S$3:$S$348,Data!$N$3:$N$348,AL$1,Data!$K$3:$K$348,'Reporting 2022'!$B22)</f>
        <v/>
      </c>
      <c r="AM77" s="778">
        <f>SUMIFS(Data!$S$3:$S$348,Data!$N$3:$N$348,AM$1,Data!$K$3:$K$348,'Reporting 2022'!$B22)</f>
        <v/>
      </c>
      <c r="AN77" s="778">
        <f>SUMIFS(Data!$S$3:$S$348,Data!$N$3:$N$348,AN$1,Data!$K$3:$K$348,'Reporting 2022'!$B22)</f>
        <v/>
      </c>
      <c r="AO77" s="778">
        <f>SUMIFS(Data!$S$3:$S$348,Data!$N$3:$N$348,AO$1,Data!$K$3:$K$348,'Reporting 2022'!$B22)</f>
        <v/>
      </c>
      <c r="AP77" s="778">
        <f>SUMIFS(Data!$S$3:$S$348,Data!$N$3:$N$348,AP$1,Data!$K$3:$K$348,'Reporting 2022'!$B22)</f>
        <v/>
      </c>
      <c r="AQ77" s="778">
        <f>SUMIFS(Data!$S$3:$S$348,Data!$N$3:$N$348,AQ$1,Data!$K$3:$K$348,'Reporting 2022'!$B22)</f>
        <v/>
      </c>
      <c r="AR77" s="778">
        <f>SUMIFS(Data!$S$3:$S$348,Data!$N$3:$N$348,AR$1,Data!$K$3:$K$348,'Reporting 2022'!$B22)</f>
        <v/>
      </c>
      <c r="AS77" s="778">
        <f>SUMIFS(Data!$S$3:$S$348,Data!$N$3:$N$348,AS$1,Data!$K$3:$K$348,'Reporting 2022'!$B22)</f>
        <v/>
      </c>
      <c r="AT77" s="778">
        <f>SUMIFS(Data!$S$3:$S$348,Data!$N$3:$N$348,AT$1,Data!$K$3:$K$348,'Reporting 2022'!$B22)</f>
        <v/>
      </c>
      <c r="AU77" s="778">
        <f>SUMIFS(Data!$S$3:$S$348,Data!$N$3:$N$348,AU$1,Data!$K$3:$K$348,'Reporting 2022'!$B22)</f>
        <v/>
      </c>
      <c r="AV77" s="778">
        <f>SUMIFS(Data!$S$3:$S$348,Data!$N$3:$N$348,AV$1,Data!$K$3:$K$348,'Reporting 2022'!$B22)</f>
        <v/>
      </c>
      <c r="AW77" s="778">
        <f>SUMIFS(Data!$S$3:$S$348,Data!$N$3:$N$348,AW$1,Data!$K$3:$K$348,'Reporting 2022'!$B22)</f>
        <v/>
      </c>
      <c r="AX77" s="778">
        <f>SUMIFS(Data!$S$3:$S$348,Data!$N$3:$N$348,AX$1,Data!$K$3:$K$348,'Reporting 2022'!$B22)</f>
        <v/>
      </c>
      <c r="AY77" s="778">
        <f>SUMIFS(Data!$S$3:$S$348,Data!$N$3:$N$348,AY$1,Data!$K$3:$K$348,'Reporting 2022'!$B22)</f>
        <v/>
      </c>
      <c r="AZ77" s="778">
        <f>SUMIFS(Data!$S$3:$S$348,Data!$N$3:$N$348,AZ$1,Data!$K$3:$K$348,'Reporting 2022'!$B22)</f>
        <v/>
      </c>
      <c r="BA77" s="778">
        <f>SUMIFS(Data!$S$3:$S$348,Data!$N$3:$N$348,BA$1,Data!$K$3:$K$348,'Reporting 2022'!$B22)</f>
        <v/>
      </c>
      <c r="BB77" s="778">
        <f>SUMIFS(Data!$S$3:$S$348,Data!$N$3:$N$348,BB$1,Data!$K$3:$K$348,'Reporting 2022'!$B22)</f>
        <v/>
      </c>
    </row>
    <row r="78">
      <c r="B78" s="349" t="inlineStr">
        <is>
          <t>TRADING OTHER AIA OI</t>
        </is>
      </c>
      <c r="C78" s="778">
        <f>SUMIFS(Data!$S$3:$S$348,Data!$N$3:$N$348,C$1,Data!$K$3:$K$348,'Reporting 2022'!$B23)</f>
        <v/>
      </c>
      <c r="D78" s="778">
        <f>SUMIFS(Data!$S$3:$S$348,Data!$N$3:$N$348,D$1,Data!$K$3:$K$348,'Reporting 2022'!$B23)</f>
        <v/>
      </c>
      <c r="E78" s="778">
        <f>SUMIFS(Data!$S$3:$S$348,Data!$N$3:$N$348,E$1,Data!$K$3:$K$348,'Reporting 2022'!$B23)</f>
        <v/>
      </c>
      <c r="F78" s="778">
        <f>SUMIFS(Data!$S$3:$S$348,Data!$N$3:$N$348,F$1,Data!$K$3:$K$348,'Reporting 2022'!$B23)</f>
        <v/>
      </c>
      <c r="G78" s="778">
        <f>SUMIFS(Data!$S$3:$S$348,Data!$N$3:$N$348,G$1,Data!$K$3:$K$348,'Reporting 2022'!$B23)</f>
        <v/>
      </c>
      <c r="H78" s="778">
        <f>SUMIFS(Data!$S$3:$S$348,Data!$N$3:$N$348,H$1,Data!$K$3:$K$348,'Reporting 2022'!$B23)</f>
        <v/>
      </c>
      <c r="I78" s="778">
        <f>SUMIFS(Data!$S$3:$S$348,Data!$N$3:$N$348,I$1,Data!$K$3:$K$348,'Reporting 2022'!$B23)</f>
        <v/>
      </c>
      <c r="J78" s="778">
        <f>SUMIFS(Data!$S$3:$S$348,Data!$N$3:$N$348,J$1,Data!$K$3:$K$348,'Reporting 2022'!$B23)</f>
        <v/>
      </c>
      <c r="K78" s="778">
        <f>SUMIFS(Data!$S$3:$S$348,Data!$N$3:$N$348,K$1,Data!$K$3:$K$348,'Reporting 2022'!$B23)</f>
        <v/>
      </c>
      <c r="L78" s="778">
        <f>SUMIFS(Data!$S$3:$S$348,Data!$N$3:$N$348,L$1,Data!$K$3:$K$348,'Reporting 2022'!$B23)</f>
        <v/>
      </c>
      <c r="M78" s="778">
        <f>SUMIFS(Data!$S$3:$S$348,Data!$N$3:$N$348,M$1,Data!$K$3:$K$348,'Reporting 2022'!$B23)</f>
        <v/>
      </c>
      <c r="N78" s="778">
        <f>SUMIFS(Data!$S$3:$S$348,Data!$N$3:$N$348,N$1,Data!$K$3:$K$348,'Reporting 2022'!$B23)</f>
        <v/>
      </c>
      <c r="O78" s="778">
        <f>SUMIFS(Data!$S$3:$S$348,Data!$N$3:$N$348,O$1,Data!$K$3:$K$348,'Reporting 2022'!$B23)</f>
        <v/>
      </c>
      <c r="P78" s="778">
        <f>SUMIFS(Data!$S$3:$S$348,Data!$N$3:$N$348,P$1,Data!$K$3:$K$348,'Reporting 2022'!$B23)</f>
        <v/>
      </c>
      <c r="Q78" s="778">
        <f>SUMIFS(Data!$S$3:$S$348,Data!$N$3:$N$348,Q$1,Data!$K$3:$K$348,'Reporting 2022'!$B23)</f>
        <v/>
      </c>
      <c r="R78" s="778">
        <f>SUMIFS(Data!$S$3:$S$348,Data!$N$3:$N$348,R$1,Data!$K$3:$K$348,'Reporting 2022'!$B23)</f>
        <v/>
      </c>
      <c r="S78" s="778">
        <f>SUMIFS(Data!$S$3:$S$348,Data!$N$3:$N$348,S$1,Data!$K$3:$K$348,'Reporting 2022'!$B23)</f>
        <v/>
      </c>
      <c r="T78" s="778">
        <f>SUMIFS(Data!$S$3:$S$348,Data!$N$3:$N$348,T$1,Data!$K$3:$K$348,'Reporting 2022'!$B23)</f>
        <v/>
      </c>
      <c r="U78" s="778">
        <f>SUMIFS(Data!$S$3:$S$348,Data!$N$3:$N$348,U$1,Data!$K$3:$K$348,'Reporting 2022'!$B23)</f>
        <v/>
      </c>
      <c r="V78" s="778">
        <f>SUMIFS(Data!$S$3:$S$348,Data!$N$3:$N$348,V$1,Data!$K$3:$K$348,'Reporting 2022'!$B23)</f>
        <v/>
      </c>
      <c r="W78" s="778">
        <f>SUMIFS(Data!$S$3:$S$348,Data!$N$3:$N$348,W$1,Data!$K$3:$K$348,'Reporting 2022'!$B23)</f>
        <v/>
      </c>
      <c r="X78" s="778">
        <f>SUMIFS(Data!$S$3:$S$348,Data!$N$3:$N$348,X$1,Data!$K$3:$K$348,'Reporting 2022'!$B23)</f>
        <v/>
      </c>
      <c r="Y78" s="778">
        <f>SUMIFS(Data!$S$3:$S$348,Data!$N$3:$N$348,Y$1,Data!$K$3:$K$348,'Reporting 2022'!$B23)</f>
        <v/>
      </c>
      <c r="Z78" s="778">
        <f>SUMIFS(Data!$S$3:$S$348,Data!$N$3:$N$348,Z$1,Data!$K$3:$K$348,'Reporting 2022'!$B23)</f>
        <v/>
      </c>
      <c r="AA78" s="778">
        <f>SUMIFS(Data!$S$3:$S$348,Data!$N$3:$N$348,AA$1,Data!$K$3:$K$348,'Reporting 2022'!$B23)</f>
        <v/>
      </c>
      <c r="AB78" s="778">
        <f>SUMIFS(Data!$S$3:$S$348,Data!$N$3:$N$348,AB$1,Data!$K$3:$K$348,'Reporting 2022'!$B23)</f>
        <v/>
      </c>
      <c r="AC78" s="778">
        <f>SUMIFS(Data!$S$3:$S$348,Data!$N$3:$N$348,AC$1,Data!$K$3:$K$348,'Reporting 2022'!$B23)</f>
        <v/>
      </c>
      <c r="AD78" s="778">
        <f>SUMIFS(Data!$S$3:$S$348,Data!$N$3:$N$348,AD$1,Data!$K$3:$K$348,'Reporting 2022'!$B23)</f>
        <v/>
      </c>
      <c r="AE78" s="778">
        <f>SUMIFS(Data!$S$3:$S$348,Data!$N$3:$N$348,AE$1,Data!$K$3:$K$348,'Reporting 2022'!$B23)</f>
        <v/>
      </c>
      <c r="AF78" s="778">
        <f>SUMIFS(Data!$S$3:$S$348,Data!$N$3:$N$348,AF$1,Data!$K$3:$K$348,'Reporting 2022'!$B23)</f>
        <v/>
      </c>
      <c r="AG78" s="778">
        <f>SUMIFS(Data!$S$3:$S$348,Data!$N$3:$N$348,AG$1,Data!$K$3:$K$348,'Reporting 2022'!$B23)</f>
        <v/>
      </c>
      <c r="AH78" s="778">
        <f>SUMIFS(Data!$S$3:$S$348,Data!$N$3:$N$348,AH$1,Data!$K$3:$K$348,'Reporting 2022'!$B23)</f>
        <v/>
      </c>
      <c r="AI78" s="778">
        <f>SUMIFS(Data!$S$3:$S$348,Data!$N$3:$N$348,AI$1,Data!$K$3:$K$348,'Reporting 2022'!$B23)</f>
        <v/>
      </c>
      <c r="AJ78" s="778">
        <f>SUMIFS(Data!$S$3:$S$348,Data!$N$3:$N$348,AJ$1,Data!$K$3:$K$348,'Reporting 2022'!$B23)</f>
        <v/>
      </c>
      <c r="AK78" s="778">
        <f>SUMIFS(Data!$S$3:$S$348,Data!$N$3:$N$348,AK$1,Data!$K$3:$K$348,'Reporting 2022'!$B23)</f>
        <v/>
      </c>
      <c r="AL78" s="778">
        <f>SUMIFS(Data!$S$3:$S$348,Data!$N$3:$N$348,AL$1,Data!$K$3:$K$348,'Reporting 2022'!$B23)</f>
        <v/>
      </c>
      <c r="AM78" s="778">
        <f>SUMIFS(Data!$S$3:$S$348,Data!$N$3:$N$348,AM$1,Data!$K$3:$K$348,'Reporting 2022'!$B23)</f>
        <v/>
      </c>
      <c r="AN78" s="778">
        <f>SUMIFS(Data!$S$3:$S$348,Data!$N$3:$N$348,AN$1,Data!$K$3:$K$348,'Reporting 2022'!$B23)</f>
        <v/>
      </c>
      <c r="AO78" s="778">
        <f>SUMIFS(Data!$S$3:$S$348,Data!$N$3:$N$348,AO$1,Data!$K$3:$K$348,'Reporting 2022'!$B23)</f>
        <v/>
      </c>
      <c r="AP78" s="778">
        <f>SUMIFS(Data!$S$3:$S$348,Data!$N$3:$N$348,AP$1,Data!$K$3:$K$348,'Reporting 2022'!$B23)</f>
        <v/>
      </c>
      <c r="AQ78" s="778">
        <f>SUMIFS(Data!$S$3:$S$348,Data!$N$3:$N$348,AQ$1,Data!$K$3:$K$348,'Reporting 2022'!$B23)</f>
        <v/>
      </c>
      <c r="AR78" s="778">
        <f>SUMIFS(Data!$S$3:$S$348,Data!$N$3:$N$348,AR$1,Data!$K$3:$K$348,'Reporting 2022'!$B23)</f>
        <v/>
      </c>
      <c r="AS78" s="778">
        <f>SUMIFS(Data!$S$3:$S$348,Data!$N$3:$N$348,AS$1,Data!$K$3:$K$348,'Reporting 2022'!$B23)</f>
        <v/>
      </c>
      <c r="AT78" s="778">
        <f>SUMIFS(Data!$S$3:$S$348,Data!$N$3:$N$348,AT$1,Data!$K$3:$K$348,'Reporting 2022'!$B23)</f>
        <v/>
      </c>
      <c r="AU78" s="778">
        <f>SUMIFS(Data!$S$3:$S$348,Data!$N$3:$N$348,AU$1,Data!$K$3:$K$348,'Reporting 2022'!$B23)</f>
        <v/>
      </c>
      <c r="AV78" s="778">
        <f>SUMIFS(Data!$S$3:$S$348,Data!$N$3:$N$348,AV$1,Data!$K$3:$K$348,'Reporting 2022'!$B23)</f>
        <v/>
      </c>
      <c r="AW78" s="778">
        <f>SUMIFS(Data!$S$3:$S$348,Data!$N$3:$N$348,AW$1,Data!$K$3:$K$348,'Reporting 2022'!$B23)</f>
        <v/>
      </c>
      <c r="AX78" s="778">
        <f>SUMIFS(Data!$S$3:$S$348,Data!$N$3:$N$348,AX$1,Data!$K$3:$K$348,'Reporting 2022'!$B23)</f>
        <v/>
      </c>
      <c r="AY78" s="778">
        <f>SUMIFS(Data!$S$3:$S$348,Data!$N$3:$N$348,AY$1,Data!$K$3:$K$348,'Reporting 2022'!$B23)</f>
        <v/>
      </c>
      <c r="AZ78" s="778">
        <f>SUMIFS(Data!$S$3:$S$348,Data!$N$3:$N$348,AZ$1,Data!$K$3:$K$348,'Reporting 2022'!$B23)</f>
        <v/>
      </c>
      <c r="BA78" s="778">
        <f>SUMIFS(Data!$S$3:$S$348,Data!$N$3:$N$348,BA$1,Data!$K$3:$K$348,'Reporting 2022'!$B23)</f>
        <v/>
      </c>
      <c r="BB78" s="778">
        <f>SUMIFS(Data!$S$3:$S$348,Data!$N$3:$N$348,BB$1,Data!$K$3:$K$348,'Reporting 2022'!$B23)</f>
        <v/>
      </c>
    </row>
    <row r="79" ht="15.75" customHeight="1" s="701" thickBot="1">
      <c r="B79" s="251" t="inlineStr">
        <is>
          <t>TRADING AIA OI</t>
        </is>
      </c>
      <c r="C79" s="779">
        <f>SUMIFS(Data!$S$3:$S$348,Data!$N$3:$N$348,C$1,Data!$K$3:$K$348,'Reporting 2022'!$B24)</f>
        <v/>
      </c>
      <c r="D79" s="779">
        <f>SUMIFS(Data!$S$3:$S$348,Data!$N$3:$N$348,D$1,Data!$K$3:$K$348,'Reporting 2022'!$B24)</f>
        <v/>
      </c>
      <c r="E79" s="779">
        <f>SUMIFS(Data!$S$3:$S$348,Data!$N$3:$N$348,E$1,Data!$K$3:$K$348,'Reporting 2022'!$B24)</f>
        <v/>
      </c>
      <c r="F79" s="779">
        <f>SUMIFS(Data!$S$3:$S$348,Data!$N$3:$N$348,F$1,Data!$K$3:$K$348,'Reporting 2022'!$B24)</f>
        <v/>
      </c>
      <c r="G79" s="779">
        <f>SUMIFS(Data!$S$3:$S$348,Data!$N$3:$N$348,G$1,Data!$K$3:$K$348,'Reporting 2022'!$B24)</f>
        <v/>
      </c>
      <c r="H79" s="779">
        <f>SUMIFS(Data!$S$3:$S$348,Data!$N$3:$N$348,H$1,Data!$K$3:$K$348,'Reporting 2022'!$B24)</f>
        <v/>
      </c>
      <c r="I79" s="779">
        <f>SUMIFS(Data!$S$3:$S$348,Data!$N$3:$N$348,I$1,Data!$K$3:$K$348,'Reporting 2022'!$B24)</f>
        <v/>
      </c>
      <c r="J79" s="779">
        <f>SUMIFS(Data!$S$3:$S$348,Data!$N$3:$N$348,J$1,Data!$K$3:$K$348,'Reporting 2022'!$B24)</f>
        <v/>
      </c>
      <c r="K79" s="779">
        <f>SUMIFS(Data!$S$3:$S$348,Data!$N$3:$N$348,K$1,Data!$K$3:$K$348,'Reporting 2022'!$B24)</f>
        <v/>
      </c>
      <c r="L79" s="779">
        <f>SUMIFS(Data!$S$3:$S$348,Data!$N$3:$N$348,L$1,Data!$K$3:$K$348,'Reporting 2022'!$B24)</f>
        <v/>
      </c>
      <c r="M79" s="779">
        <f>SUMIFS(Data!$S$3:$S$348,Data!$N$3:$N$348,M$1,Data!$K$3:$K$348,'Reporting 2022'!$B24)</f>
        <v/>
      </c>
      <c r="N79" s="779">
        <f>SUMIFS(Data!$S$3:$S$348,Data!$N$3:$N$348,N$1,Data!$K$3:$K$348,'Reporting 2022'!$B24)</f>
        <v/>
      </c>
      <c r="O79" s="779">
        <f>SUMIFS(Data!$S$3:$S$348,Data!$N$3:$N$348,O$1,Data!$K$3:$K$348,'Reporting 2022'!$B24)</f>
        <v/>
      </c>
      <c r="P79" s="779">
        <f>SUMIFS(Data!$S$3:$S$348,Data!$N$3:$N$348,P$1,Data!$K$3:$K$348,'Reporting 2022'!$B24)</f>
        <v/>
      </c>
      <c r="Q79" s="779">
        <f>SUMIFS(Data!$S$3:$S$348,Data!$N$3:$N$348,Q$1,Data!$K$3:$K$348,'Reporting 2022'!$B24)</f>
        <v/>
      </c>
      <c r="R79" s="779">
        <f>SUMIFS(Data!$S$3:$S$348,Data!$N$3:$N$348,R$1,Data!$K$3:$K$348,'Reporting 2022'!$B24)</f>
        <v/>
      </c>
      <c r="S79" s="779">
        <f>SUMIFS(Data!$S$3:$S$348,Data!$N$3:$N$348,S$1,Data!$K$3:$K$348,'Reporting 2022'!$B24)</f>
        <v/>
      </c>
      <c r="T79" s="779">
        <f>SUMIFS(Data!$S$3:$S$348,Data!$N$3:$N$348,T$1,Data!$K$3:$K$348,'Reporting 2022'!$B24)</f>
        <v/>
      </c>
      <c r="U79" s="779">
        <f>SUMIFS(Data!$S$3:$S$348,Data!$N$3:$N$348,U$1,Data!$K$3:$K$348,'Reporting 2022'!$B24)</f>
        <v/>
      </c>
      <c r="V79" s="779">
        <f>SUMIFS(Data!$S$3:$S$348,Data!$N$3:$N$348,V$1,Data!$K$3:$K$348,'Reporting 2022'!$B24)</f>
        <v/>
      </c>
      <c r="W79" s="779">
        <f>SUMIFS(Data!$S$3:$S$348,Data!$N$3:$N$348,W$1,Data!$K$3:$K$348,'Reporting 2022'!$B24)</f>
        <v/>
      </c>
      <c r="X79" s="779">
        <f>SUMIFS(Data!$S$3:$S$348,Data!$N$3:$N$348,X$1,Data!$K$3:$K$348,'Reporting 2022'!$B24)</f>
        <v/>
      </c>
      <c r="Y79" s="779">
        <f>SUMIFS(Data!$S$3:$S$348,Data!$N$3:$N$348,Y$1,Data!$K$3:$K$348,'Reporting 2022'!$B24)</f>
        <v/>
      </c>
      <c r="Z79" s="779">
        <f>SUMIFS(Data!$S$3:$S$348,Data!$N$3:$N$348,Z$1,Data!$K$3:$K$348,'Reporting 2022'!$B24)</f>
        <v/>
      </c>
      <c r="AA79" s="779">
        <f>SUMIFS(Data!$S$3:$S$348,Data!$N$3:$N$348,AA$1,Data!$K$3:$K$348,'Reporting 2022'!$B24)</f>
        <v/>
      </c>
      <c r="AB79" s="779">
        <f>SUMIFS(Data!$S$3:$S$348,Data!$N$3:$N$348,AB$1,Data!$K$3:$K$348,'Reporting 2022'!$B24)</f>
        <v/>
      </c>
      <c r="AC79" s="779">
        <f>SUMIFS(Data!$S$3:$S$348,Data!$N$3:$N$348,AC$1,Data!$K$3:$K$348,'Reporting 2022'!$B24)</f>
        <v/>
      </c>
      <c r="AD79" s="779">
        <f>SUMIFS(Data!$S$3:$S$348,Data!$N$3:$N$348,AD$1,Data!$K$3:$K$348,'Reporting 2022'!$B24)</f>
        <v/>
      </c>
      <c r="AE79" s="779">
        <f>SUMIFS(Data!$S$3:$S$348,Data!$N$3:$N$348,AE$1,Data!$K$3:$K$348,'Reporting 2022'!$B24)</f>
        <v/>
      </c>
      <c r="AF79" s="779">
        <f>SUMIFS(Data!$S$3:$S$348,Data!$N$3:$N$348,AF$1,Data!$K$3:$K$348,'Reporting 2022'!$B24)</f>
        <v/>
      </c>
      <c r="AG79" s="779">
        <f>SUMIFS(Data!$S$3:$S$348,Data!$N$3:$N$348,AG$1,Data!$K$3:$K$348,'Reporting 2022'!$B24)</f>
        <v/>
      </c>
      <c r="AH79" s="779">
        <f>SUMIFS(Data!$S$3:$S$348,Data!$N$3:$N$348,AH$1,Data!$K$3:$K$348,'Reporting 2022'!$B24)</f>
        <v/>
      </c>
      <c r="AI79" s="779">
        <f>SUMIFS(Data!$S$3:$S$348,Data!$N$3:$N$348,AI$1,Data!$K$3:$K$348,'Reporting 2022'!$B24)</f>
        <v/>
      </c>
      <c r="AJ79" s="779">
        <f>SUMIFS(Data!$S$3:$S$348,Data!$N$3:$N$348,AJ$1,Data!$K$3:$K$348,'Reporting 2022'!$B24)</f>
        <v/>
      </c>
      <c r="AK79" s="779">
        <f>SUMIFS(Data!$S$3:$S$348,Data!$N$3:$N$348,AK$1,Data!$K$3:$K$348,'Reporting 2022'!$B24)</f>
        <v/>
      </c>
      <c r="AL79" s="779">
        <f>SUMIFS(Data!$S$3:$S$348,Data!$N$3:$N$348,AL$1,Data!$K$3:$K$348,'Reporting 2022'!$B24)</f>
        <v/>
      </c>
      <c r="AM79" s="779">
        <f>SUMIFS(Data!$S$3:$S$348,Data!$N$3:$N$348,AM$1,Data!$K$3:$K$348,'Reporting 2022'!$B24)</f>
        <v/>
      </c>
      <c r="AN79" s="779">
        <f>SUMIFS(Data!$S$3:$S$348,Data!$N$3:$N$348,AN$1,Data!$K$3:$K$348,'Reporting 2022'!$B24)</f>
        <v/>
      </c>
      <c r="AO79" s="779">
        <f>SUMIFS(Data!$S$3:$S$348,Data!$N$3:$N$348,AO$1,Data!$K$3:$K$348,'Reporting 2022'!$B24)</f>
        <v/>
      </c>
      <c r="AP79" s="779">
        <f>SUMIFS(Data!$S$3:$S$348,Data!$N$3:$N$348,AP$1,Data!$K$3:$K$348,'Reporting 2022'!$B24)</f>
        <v/>
      </c>
      <c r="AQ79" s="779">
        <f>SUMIFS(Data!$S$3:$S$348,Data!$N$3:$N$348,AQ$1,Data!$K$3:$K$348,'Reporting 2022'!$B24)</f>
        <v/>
      </c>
      <c r="AR79" s="779">
        <f>SUMIFS(Data!$S$3:$S$348,Data!$N$3:$N$348,AR$1,Data!$K$3:$K$348,'Reporting 2022'!$B24)</f>
        <v/>
      </c>
      <c r="AS79" s="779">
        <f>SUMIFS(Data!$S$3:$S$348,Data!$N$3:$N$348,AS$1,Data!$K$3:$K$348,'Reporting 2022'!$B24)</f>
        <v/>
      </c>
      <c r="AT79" s="779">
        <f>SUMIFS(Data!$S$3:$S$348,Data!$N$3:$N$348,AT$1,Data!$K$3:$K$348,'Reporting 2022'!$B24)</f>
        <v/>
      </c>
      <c r="AU79" s="779">
        <f>SUMIFS(Data!$S$3:$S$348,Data!$N$3:$N$348,AU$1,Data!$K$3:$K$348,'Reporting 2022'!$B24)</f>
        <v/>
      </c>
      <c r="AV79" s="779">
        <f>SUMIFS(Data!$S$3:$S$348,Data!$N$3:$N$348,AV$1,Data!$K$3:$K$348,'Reporting 2022'!$B24)</f>
        <v/>
      </c>
      <c r="AW79" s="779">
        <f>SUMIFS(Data!$S$3:$S$348,Data!$N$3:$N$348,AW$1,Data!$K$3:$K$348,'Reporting 2022'!$B24)</f>
        <v/>
      </c>
      <c r="AX79" s="779">
        <f>SUMIFS(Data!$S$3:$S$348,Data!$N$3:$N$348,AX$1,Data!$K$3:$K$348,'Reporting 2022'!$B24)</f>
        <v/>
      </c>
      <c r="AY79" s="779">
        <f>SUMIFS(Data!$S$3:$S$348,Data!$N$3:$N$348,AY$1,Data!$K$3:$K$348,'Reporting 2022'!$B24)</f>
        <v/>
      </c>
      <c r="AZ79" s="779">
        <f>SUMIFS(Data!$S$3:$S$348,Data!$N$3:$N$348,AZ$1,Data!$K$3:$K$348,'Reporting 2022'!$B24)</f>
        <v/>
      </c>
      <c r="BA79" s="779">
        <f>SUMIFS(Data!$S$3:$S$348,Data!$N$3:$N$348,BA$1,Data!$K$3:$K$348,'Reporting 2022'!$B24)</f>
        <v/>
      </c>
      <c r="BB79" s="779">
        <f>SUMIFS(Data!$S$3:$S$348,Data!$N$3:$N$348,BB$1,Data!$K$3:$K$348,'Reporting 2022'!$B24)</f>
        <v/>
      </c>
    </row>
    <row r="80" ht="15.75" customHeight="1" s="701" thickTop="1">
      <c r="B80" s="349" t="inlineStr">
        <is>
          <t>ENGINEERING AIA OI YTD</t>
        </is>
      </c>
      <c r="C80" s="780">
        <f>+C70</f>
        <v/>
      </c>
      <c r="D80" s="780">
        <f>C80+D70</f>
        <v/>
      </c>
      <c r="E80" s="780">
        <f>D80+E70</f>
        <v/>
      </c>
      <c r="F80" s="780">
        <f>E80+F70</f>
        <v/>
      </c>
      <c r="G80" s="780">
        <f>F80+G70</f>
        <v/>
      </c>
      <c r="H80" s="780">
        <f>G80+H70</f>
        <v/>
      </c>
      <c r="I80" s="780">
        <f>H80+I70</f>
        <v/>
      </c>
      <c r="J80" s="780">
        <f>I80+J70</f>
        <v/>
      </c>
      <c r="K80" s="780">
        <f>J80+K70</f>
        <v/>
      </c>
      <c r="L80" s="780">
        <f>K80+L70</f>
        <v/>
      </c>
      <c r="M80" s="780">
        <f>L80+M70</f>
        <v/>
      </c>
      <c r="N80" s="780">
        <f>M80+N70</f>
        <v/>
      </c>
      <c r="O80" s="780">
        <f>N80+O70</f>
        <v/>
      </c>
      <c r="P80" s="780">
        <f>O80+P70</f>
        <v/>
      </c>
      <c r="Q80" s="780">
        <f>P80+Q70</f>
        <v/>
      </c>
      <c r="R80" s="780">
        <f>Q80+R70</f>
        <v/>
      </c>
      <c r="S80" s="780">
        <f>R80+S70</f>
        <v/>
      </c>
      <c r="T80" s="780">
        <f>S80+T70</f>
        <v/>
      </c>
      <c r="U80" s="780">
        <f>T80+U70</f>
        <v/>
      </c>
      <c r="V80" s="780">
        <f>U80+V70</f>
        <v/>
      </c>
      <c r="W80" s="780">
        <f>V80+W70</f>
        <v/>
      </c>
      <c r="X80" s="780">
        <f>W80+X70</f>
        <v/>
      </c>
      <c r="Y80" s="780">
        <f>X80+Y70</f>
        <v/>
      </c>
      <c r="Z80" s="780">
        <f>Y80+Z70</f>
        <v/>
      </c>
      <c r="AA80" s="780">
        <f>Z80+AA70</f>
        <v/>
      </c>
      <c r="AB80" s="780">
        <f>AA80+AB70</f>
        <v/>
      </c>
      <c r="AC80" s="780">
        <f>AB80+AC70</f>
        <v/>
      </c>
      <c r="AD80" s="780">
        <f>AC80+AD70</f>
        <v/>
      </c>
      <c r="AE80" s="780">
        <f>AD80+AE70</f>
        <v/>
      </c>
      <c r="AF80" s="780">
        <f>AE80+AF70</f>
        <v/>
      </c>
      <c r="AG80" s="780">
        <f>AF80+AG70</f>
        <v/>
      </c>
      <c r="AH80" s="780">
        <f>AG80+AH70</f>
        <v/>
      </c>
      <c r="AI80" s="780">
        <f>AH80+AI70</f>
        <v/>
      </c>
      <c r="AJ80" s="780">
        <f>AI80+AJ70</f>
        <v/>
      </c>
      <c r="AK80" s="780">
        <f>AJ80+AK70</f>
        <v/>
      </c>
      <c r="AL80" s="780">
        <f>AK80+AL70</f>
        <v/>
      </c>
      <c r="AM80" s="780">
        <f>AL80+AM70</f>
        <v/>
      </c>
      <c r="AN80" s="780">
        <f>AM80+AN70</f>
        <v/>
      </c>
      <c r="AO80" s="780">
        <f>AN80+AO70</f>
        <v/>
      </c>
      <c r="AP80" s="780">
        <f>AO80+AP70</f>
        <v/>
      </c>
      <c r="AQ80" s="780">
        <f>AP80+AQ70</f>
        <v/>
      </c>
      <c r="AR80" s="780">
        <f>AQ80+AR70</f>
        <v/>
      </c>
      <c r="AS80" s="780">
        <f>AR80+AS70</f>
        <v/>
      </c>
      <c r="AT80" s="780">
        <f>AS80+AT70</f>
        <v/>
      </c>
      <c r="AU80" s="780">
        <f>AT80+AU70</f>
        <v/>
      </c>
      <c r="AV80" s="780">
        <f>AU80+AV70</f>
        <v/>
      </c>
      <c r="AW80" s="780">
        <f>AV80+AW70</f>
        <v/>
      </c>
      <c r="AX80" s="780">
        <f>AW80+AX70</f>
        <v/>
      </c>
      <c r="AY80" s="780">
        <f>AX80+AY70</f>
        <v/>
      </c>
      <c r="AZ80" s="780">
        <f>AY80+AZ70</f>
        <v/>
      </c>
      <c r="BA80" s="780">
        <f>AZ80+BA70</f>
        <v/>
      </c>
      <c r="BB80" s="780">
        <f>BA80+BB70</f>
        <v/>
      </c>
    </row>
    <row r="81">
      <c r="B81" s="349" t="inlineStr">
        <is>
          <t>ENGINEERING IC OI YTD</t>
        </is>
      </c>
      <c r="C81" s="780">
        <f>+C71</f>
        <v/>
      </c>
      <c r="D81" s="780">
        <f>C81+D71</f>
        <v/>
      </c>
      <c r="E81" s="780">
        <f>D81+E71</f>
        <v/>
      </c>
      <c r="F81" s="780">
        <f>E81+F71</f>
        <v/>
      </c>
      <c r="G81" s="780">
        <f>F81+G71</f>
        <v/>
      </c>
      <c r="H81" s="780">
        <f>G81+H71</f>
        <v/>
      </c>
      <c r="I81" s="780">
        <f>H81+I71</f>
        <v/>
      </c>
      <c r="J81" s="780">
        <f>I81+J71</f>
        <v/>
      </c>
      <c r="K81" s="780">
        <f>J81+K71</f>
        <v/>
      </c>
      <c r="L81" s="780">
        <f>K81+L71</f>
        <v/>
      </c>
      <c r="M81" s="780">
        <f>L81+M71</f>
        <v/>
      </c>
      <c r="N81" s="780">
        <f>M81+N71</f>
        <v/>
      </c>
      <c r="O81" s="780">
        <f>N81+O71</f>
        <v/>
      </c>
      <c r="P81" s="780">
        <f>O81+P71</f>
        <v/>
      </c>
      <c r="Q81" s="780">
        <f>P81+Q71</f>
        <v/>
      </c>
      <c r="R81" s="780">
        <f>Q81+R71</f>
        <v/>
      </c>
      <c r="S81" s="780">
        <f>R81+S71</f>
        <v/>
      </c>
      <c r="T81" s="780">
        <f>S81+T71</f>
        <v/>
      </c>
      <c r="U81" s="780">
        <f>T81+U71</f>
        <v/>
      </c>
      <c r="V81" s="780">
        <f>U81+V71</f>
        <v/>
      </c>
      <c r="W81" s="780">
        <f>V81+W71</f>
        <v/>
      </c>
      <c r="X81" s="780">
        <f>W81+X71</f>
        <v/>
      </c>
      <c r="Y81" s="780">
        <f>X81+Y71</f>
        <v/>
      </c>
      <c r="Z81" s="780">
        <f>Y81+Z71</f>
        <v/>
      </c>
      <c r="AA81" s="780">
        <f>Z81+AA71</f>
        <v/>
      </c>
      <c r="AB81" s="780">
        <f>AA81+AB71</f>
        <v/>
      </c>
      <c r="AC81" s="780">
        <f>AB81+AC71</f>
        <v/>
      </c>
      <c r="AD81" s="780">
        <f>AC81+AD71</f>
        <v/>
      </c>
      <c r="AE81" s="780">
        <f>AD81+AE71</f>
        <v/>
      </c>
      <c r="AF81" s="780">
        <f>AE81+AF71</f>
        <v/>
      </c>
      <c r="AG81" s="780">
        <f>AF81+AG71</f>
        <v/>
      </c>
      <c r="AH81" s="780">
        <f>AG81+AH71</f>
        <v/>
      </c>
      <c r="AI81" s="780">
        <f>AH81+AI71</f>
        <v/>
      </c>
      <c r="AJ81" s="780">
        <f>AI81+AJ71</f>
        <v/>
      </c>
      <c r="AK81" s="780">
        <f>AJ81+AK71</f>
        <v/>
      </c>
      <c r="AL81" s="780">
        <f>AK81+AL71</f>
        <v/>
      </c>
      <c r="AM81" s="780">
        <f>AL81+AM71</f>
        <v/>
      </c>
      <c r="AN81" s="780">
        <f>AM81+AN71</f>
        <v/>
      </c>
      <c r="AO81" s="780">
        <f>AN81+AO71</f>
        <v/>
      </c>
      <c r="AP81" s="780">
        <f>AO81+AP71</f>
        <v/>
      </c>
      <c r="AQ81" s="780">
        <f>AP81+AQ71</f>
        <v/>
      </c>
      <c r="AR81" s="780">
        <f>AQ81+AR71</f>
        <v/>
      </c>
      <c r="AS81" s="780">
        <f>AR81+AS71</f>
        <v/>
      </c>
      <c r="AT81" s="780">
        <f>AS81+AT71</f>
        <v/>
      </c>
      <c r="AU81" s="780">
        <f>AT81+AU71</f>
        <v/>
      </c>
      <c r="AV81" s="780">
        <f>AU81+AV71</f>
        <v/>
      </c>
      <c r="AW81" s="780">
        <f>AV81+AW71</f>
        <v/>
      </c>
      <c r="AX81" s="780">
        <f>AW81+AX71</f>
        <v/>
      </c>
      <c r="AY81" s="780">
        <f>AX81+AY71</f>
        <v/>
      </c>
      <c r="AZ81" s="780">
        <f>AY81+AZ71</f>
        <v/>
      </c>
      <c r="BA81" s="780">
        <f>AZ81+BA71</f>
        <v/>
      </c>
      <c r="BB81" s="780">
        <f>BA81+BB71</f>
        <v/>
      </c>
    </row>
    <row r="82">
      <c r="B82" s="349" t="inlineStr">
        <is>
          <t>FCP AIA OI YTD</t>
        </is>
      </c>
      <c r="C82" s="780">
        <f>+C72</f>
        <v/>
      </c>
      <c r="D82" s="780">
        <f>C82+D72</f>
        <v/>
      </c>
      <c r="E82" s="780">
        <f>D82+E72</f>
        <v/>
      </c>
      <c r="F82" s="780">
        <f>E82+F72</f>
        <v/>
      </c>
      <c r="G82" s="780">
        <f>F82+G72</f>
        <v/>
      </c>
      <c r="H82" s="780">
        <f>G82+H72</f>
        <v/>
      </c>
      <c r="I82" s="780">
        <f>H82+I72</f>
        <v/>
      </c>
      <c r="J82" s="780">
        <f>I82+J72</f>
        <v/>
      </c>
      <c r="K82" s="780">
        <f>J82+K72</f>
        <v/>
      </c>
      <c r="L82" s="780">
        <f>K82+L72</f>
        <v/>
      </c>
      <c r="M82" s="780">
        <f>L82+M72</f>
        <v/>
      </c>
      <c r="N82" s="780">
        <f>M82+N72</f>
        <v/>
      </c>
      <c r="O82" s="780">
        <f>N82+O72</f>
        <v/>
      </c>
      <c r="P82" s="780">
        <f>O82+P72</f>
        <v/>
      </c>
      <c r="Q82" s="780">
        <f>P82+Q72</f>
        <v/>
      </c>
      <c r="R82" s="780">
        <f>Q82+R72</f>
        <v/>
      </c>
      <c r="S82" s="780">
        <f>R82+S72</f>
        <v/>
      </c>
      <c r="T82" s="780">
        <f>S82+T72</f>
        <v/>
      </c>
      <c r="U82" s="780">
        <f>T82+U72</f>
        <v/>
      </c>
      <c r="V82" s="780">
        <f>U82+V72</f>
        <v/>
      </c>
      <c r="W82" s="780">
        <f>V82+W72</f>
        <v/>
      </c>
      <c r="X82" s="780">
        <f>W82+X72</f>
        <v/>
      </c>
      <c r="Y82" s="780">
        <f>X82+Y72</f>
        <v/>
      </c>
      <c r="Z82" s="780">
        <f>Y82+Z72</f>
        <v/>
      </c>
      <c r="AA82" s="780">
        <f>Z82+AA72</f>
        <v/>
      </c>
      <c r="AB82" s="780">
        <f>AA82+AB72</f>
        <v/>
      </c>
      <c r="AC82" s="780">
        <f>AB82+AC72</f>
        <v/>
      </c>
      <c r="AD82" s="780">
        <f>AC82+AD72</f>
        <v/>
      </c>
      <c r="AE82" s="780">
        <f>AD82+AE72</f>
        <v/>
      </c>
      <c r="AF82" s="780">
        <f>AE82+AF72</f>
        <v/>
      </c>
      <c r="AG82" s="780">
        <f>AF82+AG72</f>
        <v/>
      </c>
      <c r="AH82" s="780">
        <f>AG82+AH72</f>
        <v/>
      </c>
      <c r="AI82" s="780">
        <f>AH82+AI72</f>
        <v/>
      </c>
      <c r="AJ82" s="780">
        <f>AI82+AJ72</f>
        <v/>
      </c>
      <c r="AK82" s="780">
        <f>AJ82+AK72</f>
        <v/>
      </c>
      <c r="AL82" s="780">
        <f>AK82+AL72</f>
        <v/>
      </c>
      <c r="AM82" s="780">
        <f>AL82+AM72</f>
        <v/>
      </c>
      <c r="AN82" s="780">
        <f>AM82+AN72</f>
        <v/>
      </c>
      <c r="AO82" s="780">
        <f>AN82+AO72</f>
        <v/>
      </c>
      <c r="AP82" s="780">
        <f>AO82+AP72</f>
        <v/>
      </c>
      <c r="AQ82" s="780">
        <f>AP82+AQ72</f>
        <v/>
      </c>
      <c r="AR82" s="780">
        <f>AQ82+AR72</f>
        <v/>
      </c>
      <c r="AS82" s="780">
        <f>AR82+AS72</f>
        <v/>
      </c>
      <c r="AT82" s="780">
        <f>AS82+AT72</f>
        <v/>
      </c>
      <c r="AU82" s="780">
        <f>AT82+AU72</f>
        <v/>
      </c>
      <c r="AV82" s="780">
        <f>AU82+AV72</f>
        <v/>
      </c>
      <c r="AW82" s="780">
        <f>AV82+AW72</f>
        <v/>
      </c>
      <c r="AX82" s="780">
        <f>AW82+AX72</f>
        <v/>
      </c>
      <c r="AY82" s="780">
        <f>AX82+AY72</f>
        <v/>
      </c>
      <c r="AZ82" s="780">
        <f>AY82+AZ72</f>
        <v/>
      </c>
      <c r="BA82" s="780">
        <f>AZ82+BA72</f>
        <v/>
      </c>
      <c r="BB82" s="780">
        <f>BA82+BB72</f>
        <v/>
      </c>
    </row>
    <row r="83">
      <c r="B83" s="349" t="inlineStr">
        <is>
          <t>FCP OTHER AIA OI YTD</t>
        </is>
      </c>
      <c r="C83" s="780">
        <f>+C73</f>
        <v/>
      </c>
      <c r="D83" s="780">
        <f>C83+D73</f>
        <v/>
      </c>
      <c r="E83" s="780">
        <f>D83+E73</f>
        <v/>
      </c>
      <c r="F83" s="780">
        <f>E83+F73</f>
        <v/>
      </c>
      <c r="G83" s="780">
        <f>F83+G73</f>
        <v/>
      </c>
      <c r="H83" s="780">
        <f>G83+H73</f>
        <v/>
      </c>
      <c r="I83" s="780">
        <f>H83+I73</f>
        <v/>
      </c>
      <c r="J83" s="780">
        <f>I83+J73</f>
        <v/>
      </c>
      <c r="K83" s="780">
        <f>J83+K73</f>
        <v/>
      </c>
      <c r="L83" s="780">
        <f>K83+L73</f>
        <v/>
      </c>
      <c r="M83" s="780">
        <f>L83+M73</f>
        <v/>
      </c>
      <c r="N83" s="780">
        <f>M83+N73</f>
        <v/>
      </c>
      <c r="O83" s="780">
        <f>N83+O73</f>
        <v/>
      </c>
      <c r="P83" s="780">
        <f>O83+P73</f>
        <v/>
      </c>
      <c r="Q83" s="780">
        <f>P83+Q73</f>
        <v/>
      </c>
      <c r="R83" s="780">
        <f>Q83+R73</f>
        <v/>
      </c>
      <c r="S83" s="780">
        <f>R83+S73</f>
        <v/>
      </c>
      <c r="T83" s="780">
        <f>S83+T73</f>
        <v/>
      </c>
      <c r="U83" s="780">
        <f>T83+U73</f>
        <v/>
      </c>
      <c r="V83" s="780">
        <f>U83+V73</f>
        <v/>
      </c>
      <c r="W83" s="780">
        <f>V83+W73</f>
        <v/>
      </c>
      <c r="X83" s="780">
        <f>W83+X73</f>
        <v/>
      </c>
      <c r="Y83" s="780">
        <f>X83+Y73</f>
        <v/>
      </c>
      <c r="Z83" s="780">
        <f>Y83+Z73</f>
        <v/>
      </c>
      <c r="AA83" s="780">
        <f>Z83+AA73</f>
        <v/>
      </c>
      <c r="AB83" s="780">
        <f>AA83+AB73</f>
        <v/>
      </c>
      <c r="AC83" s="780">
        <f>AB83+AC73</f>
        <v/>
      </c>
      <c r="AD83" s="780">
        <f>AC83+AD73</f>
        <v/>
      </c>
      <c r="AE83" s="780">
        <f>AD83+AE73</f>
        <v/>
      </c>
      <c r="AF83" s="780">
        <f>AE83+AF73</f>
        <v/>
      </c>
      <c r="AG83" s="780">
        <f>AF83+AG73</f>
        <v/>
      </c>
      <c r="AH83" s="780">
        <f>AG83+AH73</f>
        <v/>
      </c>
      <c r="AI83" s="780">
        <f>AH83+AI73</f>
        <v/>
      </c>
      <c r="AJ83" s="780">
        <f>AI83+AJ73</f>
        <v/>
      </c>
      <c r="AK83" s="780">
        <f>AJ83+AK73</f>
        <v/>
      </c>
      <c r="AL83" s="780">
        <f>AK83+AL73</f>
        <v/>
      </c>
      <c r="AM83" s="780">
        <f>AL83+AM73</f>
        <v/>
      </c>
      <c r="AN83" s="780">
        <f>AM83+AN73</f>
        <v/>
      </c>
      <c r="AO83" s="780">
        <f>AN83+AO73</f>
        <v/>
      </c>
      <c r="AP83" s="780">
        <f>AO83+AP73</f>
        <v/>
      </c>
      <c r="AQ83" s="780">
        <f>AP83+AQ73</f>
        <v/>
      </c>
      <c r="AR83" s="780">
        <f>AQ83+AR73</f>
        <v/>
      </c>
      <c r="AS83" s="780">
        <f>AR83+AS73</f>
        <v/>
      </c>
      <c r="AT83" s="780">
        <f>AS83+AT73</f>
        <v/>
      </c>
      <c r="AU83" s="780">
        <f>AT83+AU73</f>
        <v/>
      </c>
      <c r="AV83" s="780">
        <f>AU83+AV73</f>
        <v/>
      </c>
      <c r="AW83" s="780">
        <f>AV83+AW73</f>
        <v/>
      </c>
      <c r="AX83" s="780">
        <f>AW83+AX73</f>
        <v/>
      </c>
      <c r="AY83" s="780">
        <f>AX83+AY73</f>
        <v/>
      </c>
      <c r="AZ83" s="780">
        <f>AY83+AZ73</f>
        <v/>
      </c>
      <c r="BA83" s="780">
        <f>AZ83+BA73</f>
        <v/>
      </c>
      <c r="BB83" s="780">
        <f>BA83+BB73</f>
        <v/>
      </c>
    </row>
    <row r="84">
      <c r="B84" s="349" t="inlineStr">
        <is>
          <t>GSE to AIA OI YTD</t>
        </is>
      </c>
      <c r="C84" s="780">
        <f>+C74</f>
        <v/>
      </c>
      <c r="D84" s="780">
        <f>C84+D74</f>
        <v/>
      </c>
      <c r="E84" s="780">
        <f>D84+E74</f>
        <v/>
      </c>
      <c r="F84" s="780">
        <f>E84+F74</f>
        <v/>
      </c>
      <c r="G84" s="780">
        <f>F84+G74</f>
        <v/>
      </c>
      <c r="H84" s="780">
        <f>G84+H74</f>
        <v/>
      </c>
      <c r="I84" s="780">
        <f>H84+I74</f>
        <v/>
      </c>
      <c r="J84" s="780">
        <f>I84+J74</f>
        <v/>
      </c>
      <c r="K84" s="780">
        <f>J84+K74</f>
        <v/>
      </c>
      <c r="L84" s="780">
        <f>K84+L74</f>
        <v/>
      </c>
      <c r="M84" s="780">
        <f>L84+M74</f>
        <v/>
      </c>
      <c r="N84" s="780">
        <f>M84+N74</f>
        <v/>
      </c>
      <c r="O84" s="780">
        <f>N84+O74</f>
        <v/>
      </c>
      <c r="P84" s="780">
        <f>O84+P74</f>
        <v/>
      </c>
      <c r="Q84" s="780">
        <f>P84+Q74</f>
        <v/>
      </c>
      <c r="R84" s="780">
        <f>Q84+R74</f>
        <v/>
      </c>
      <c r="S84" s="780">
        <f>R84+S74</f>
        <v/>
      </c>
      <c r="T84" s="780">
        <f>S84+T74</f>
        <v/>
      </c>
      <c r="U84" s="780">
        <f>T84+U74</f>
        <v/>
      </c>
      <c r="V84" s="780">
        <f>U84+V74</f>
        <v/>
      </c>
      <c r="W84" s="780">
        <f>V84+W74</f>
        <v/>
      </c>
      <c r="X84" s="780">
        <f>W84+X74</f>
        <v/>
      </c>
      <c r="Y84" s="780">
        <f>X84+Y74</f>
        <v/>
      </c>
      <c r="Z84" s="780">
        <f>Y84+Z74</f>
        <v/>
      </c>
      <c r="AA84" s="780">
        <f>Z84+AA74</f>
        <v/>
      </c>
      <c r="AB84" s="780">
        <f>AA84+AB74</f>
        <v/>
      </c>
      <c r="AC84" s="780">
        <f>AB84+AC74</f>
        <v/>
      </c>
      <c r="AD84" s="780">
        <f>AC84+AD74</f>
        <v/>
      </c>
      <c r="AE84" s="780">
        <f>AD84+AE74</f>
        <v/>
      </c>
      <c r="AF84" s="780">
        <f>AE84+AF74</f>
        <v/>
      </c>
      <c r="AG84" s="780">
        <f>AF84+AG74</f>
        <v/>
      </c>
      <c r="AH84" s="780">
        <f>AG84+AH74</f>
        <v/>
      </c>
      <c r="AI84" s="780">
        <f>AH84+AI74</f>
        <v/>
      </c>
      <c r="AJ84" s="780">
        <f>AI84+AJ74</f>
        <v/>
      </c>
      <c r="AK84" s="780">
        <f>AJ84+AK74</f>
        <v/>
      </c>
      <c r="AL84" s="780">
        <f>AK84+AL74</f>
        <v/>
      </c>
      <c r="AM84" s="780">
        <f>AL84+AM74</f>
        <v/>
      </c>
      <c r="AN84" s="780">
        <f>AM84+AN74</f>
        <v/>
      </c>
      <c r="AO84" s="780">
        <f>AN84+AO74</f>
        <v/>
      </c>
      <c r="AP84" s="780">
        <f>AO84+AP74</f>
        <v/>
      </c>
      <c r="AQ84" s="780">
        <f>AP84+AQ74</f>
        <v/>
      </c>
      <c r="AR84" s="780">
        <f>AQ84+AR74</f>
        <v/>
      </c>
      <c r="AS84" s="780">
        <f>AR84+AS74</f>
        <v/>
      </c>
      <c r="AT84" s="780">
        <f>AS84+AT74</f>
        <v/>
      </c>
      <c r="AU84" s="780">
        <f>AT84+AU74</f>
        <v/>
      </c>
      <c r="AV84" s="780">
        <f>AU84+AV74</f>
        <v/>
      </c>
      <c r="AW84" s="780">
        <f>AV84+AW74</f>
        <v/>
      </c>
      <c r="AX84" s="780">
        <f>AW84+AX74</f>
        <v/>
      </c>
      <c r="AY84" s="780">
        <f>AX84+AY74</f>
        <v/>
      </c>
      <c r="AZ84" s="780">
        <f>AY84+AZ74</f>
        <v/>
      </c>
      <c r="BA84" s="780">
        <f>AZ84+BA74</f>
        <v/>
      </c>
      <c r="BB84" s="780">
        <f>BA84+BB74</f>
        <v/>
      </c>
    </row>
    <row r="85">
      <c r="B85" s="349" t="inlineStr">
        <is>
          <t>SERVICE AIA OI YTD</t>
        </is>
      </c>
      <c r="C85" s="780">
        <f>+C75</f>
        <v/>
      </c>
      <c r="D85" s="780">
        <f>C85+D75</f>
        <v/>
      </c>
      <c r="E85" s="780">
        <f>D85+E75</f>
        <v/>
      </c>
      <c r="F85" s="780">
        <f>E85+F75</f>
        <v/>
      </c>
      <c r="G85" s="780">
        <f>F85+G75</f>
        <v/>
      </c>
      <c r="H85" s="780">
        <f>G85+H75</f>
        <v/>
      </c>
      <c r="I85" s="780">
        <f>H85+I75</f>
        <v/>
      </c>
      <c r="J85" s="780">
        <f>I85+J75</f>
        <v/>
      </c>
      <c r="K85" s="780">
        <f>J85+K75</f>
        <v/>
      </c>
      <c r="L85" s="780">
        <f>K85+L75</f>
        <v/>
      </c>
      <c r="M85" s="780">
        <f>L85+M75</f>
        <v/>
      </c>
      <c r="N85" s="780">
        <f>M85+N75</f>
        <v/>
      </c>
      <c r="O85" s="780">
        <f>N85+O75</f>
        <v/>
      </c>
      <c r="P85" s="780">
        <f>O85+P75</f>
        <v/>
      </c>
      <c r="Q85" s="780">
        <f>P85+Q75</f>
        <v/>
      </c>
      <c r="R85" s="780">
        <f>Q85+R75</f>
        <v/>
      </c>
      <c r="S85" s="780">
        <f>R85+S75</f>
        <v/>
      </c>
      <c r="T85" s="780">
        <f>S85+T75</f>
        <v/>
      </c>
      <c r="U85" s="780">
        <f>T85+U75</f>
        <v/>
      </c>
      <c r="V85" s="780">
        <f>U85+V75</f>
        <v/>
      </c>
      <c r="W85" s="780">
        <f>V85+W75</f>
        <v/>
      </c>
      <c r="X85" s="780">
        <f>W85+X75</f>
        <v/>
      </c>
      <c r="Y85" s="780">
        <f>X85+Y75</f>
        <v/>
      </c>
      <c r="Z85" s="780">
        <f>Y85+Z75</f>
        <v/>
      </c>
      <c r="AA85" s="780">
        <f>Z85+AA75</f>
        <v/>
      </c>
      <c r="AB85" s="780">
        <f>AA85+AB75</f>
        <v/>
      </c>
      <c r="AC85" s="780">
        <f>AB85+AC75</f>
        <v/>
      </c>
      <c r="AD85" s="780">
        <f>AC85+AD75</f>
        <v/>
      </c>
      <c r="AE85" s="780">
        <f>AD85+AE75</f>
        <v/>
      </c>
      <c r="AF85" s="780">
        <f>AE85+AF75</f>
        <v/>
      </c>
      <c r="AG85" s="780">
        <f>AF85+AG75</f>
        <v/>
      </c>
      <c r="AH85" s="780">
        <f>AG85+AH75</f>
        <v/>
      </c>
      <c r="AI85" s="780">
        <f>AH85+AI75</f>
        <v/>
      </c>
      <c r="AJ85" s="780">
        <f>AI85+AJ75</f>
        <v/>
      </c>
      <c r="AK85" s="780">
        <f>AJ85+AK75</f>
        <v/>
      </c>
      <c r="AL85" s="780">
        <f>AK85+AL75</f>
        <v/>
      </c>
      <c r="AM85" s="780">
        <f>AL85+AM75</f>
        <v/>
      </c>
      <c r="AN85" s="780">
        <f>AM85+AN75</f>
        <v/>
      </c>
      <c r="AO85" s="780">
        <f>AN85+AO75</f>
        <v/>
      </c>
      <c r="AP85" s="780">
        <f>AO85+AP75</f>
        <v/>
      </c>
      <c r="AQ85" s="780">
        <f>AP85+AQ75</f>
        <v/>
      </c>
      <c r="AR85" s="780">
        <f>AQ85+AR75</f>
        <v/>
      </c>
      <c r="AS85" s="780">
        <f>AR85+AS75</f>
        <v/>
      </c>
      <c r="AT85" s="780">
        <f>AS85+AT75</f>
        <v/>
      </c>
      <c r="AU85" s="780">
        <f>AT85+AU75</f>
        <v/>
      </c>
      <c r="AV85" s="780">
        <f>AU85+AV75</f>
        <v/>
      </c>
      <c r="AW85" s="780">
        <f>AV85+AW75</f>
        <v/>
      </c>
      <c r="AX85" s="780">
        <f>AW85+AX75</f>
        <v/>
      </c>
      <c r="AY85" s="780">
        <f>AX85+AY75</f>
        <v/>
      </c>
      <c r="AZ85" s="780">
        <f>AY85+AZ75</f>
        <v/>
      </c>
      <c r="BA85" s="780">
        <f>AZ85+BA75</f>
        <v/>
      </c>
      <c r="BB85" s="780">
        <f>BA85+BB75</f>
        <v/>
      </c>
    </row>
    <row r="86">
      <c r="B86" s="349" t="inlineStr">
        <is>
          <t>SERVICE IC OI YTD</t>
        </is>
      </c>
      <c r="C86" s="780">
        <f>+C76</f>
        <v/>
      </c>
      <c r="D86" s="780">
        <f>C86+D76</f>
        <v/>
      </c>
      <c r="E86" s="780">
        <f>D86+E76</f>
        <v/>
      </c>
      <c r="F86" s="780">
        <f>E86+F76</f>
        <v/>
      </c>
      <c r="G86" s="780">
        <f>F86+G76</f>
        <v/>
      </c>
      <c r="H86" s="780">
        <f>G86+H76</f>
        <v/>
      </c>
      <c r="I86" s="780">
        <f>H86+I76</f>
        <v/>
      </c>
      <c r="J86" s="780">
        <f>I86+J76</f>
        <v/>
      </c>
      <c r="K86" s="780">
        <f>J86+K76</f>
        <v/>
      </c>
      <c r="L86" s="780">
        <f>K86+L76</f>
        <v/>
      </c>
      <c r="M86" s="780">
        <f>L86+M76</f>
        <v/>
      </c>
      <c r="N86" s="780">
        <f>M86+N76</f>
        <v/>
      </c>
      <c r="O86" s="780">
        <f>N86+O76</f>
        <v/>
      </c>
      <c r="P86" s="780">
        <f>O86+P76</f>
        <v/>
      </c>
      <c r="Q86" s="780">
        <f>P86+Q76</f>
        <v/>
      </c>
      <c r="R86" s="780">
        <f>Q86+R76</f>
        <v/>
      </c>
      <c r="S86" s="780">
        <f>R86+S76</f>
        <v/>
      </c>
      <c r="T86" s="780">
        <f>S86+T76</f>
        <v/>
      </c>
      <c r="U86" s="780">
        <f>T86+U76</f>
        <v/>
      </c>
      <c r="V86" s="780">
        <f>U86+V76</f>
        <v/>
      </c>
      <c r="W86" s="780">
        <f>V86+W76</f>
        <v/>
      </c>
      <c r="X86" s="780">
        <f>W86+X76</f>
        <v/>
      </c>
      <c r="Y86" s="780">
        <f>X86+Y76</f>
        <v/>
      </c>
      <c r="Z86" s="780">
        <f>Y86+Z76</f>
        <v/>
      </c>
      <c r="AA86" s="780">
        <f>Z86+AA76</f>
        <v/>
      </c>
      <c r="AB86" s="780">
        <f>AA86+AB76</f>
        <v/>
      </c>
      <c r="AC86" s="780">
        <f>AB86+AC76</f>
        <v/>
      </c>
      <c r="AD86" s="780">
        <f>AC86+AD76</f>
        <v/>
      </c>
      <c r="AE86" s="780">
        <f>AD86+AE76</f>
        <v/>
      </c>
      <c r="AF86" s="780">
        <f>AE86+AF76</f>
        <v/>
      </c>
      <c r="AG86" s="780">
        <f>AF86+AG76</f>
        <v/>
      </c>
      <c r="AH86" s="780">
        <f>AG86+AH76</f>
        <v/>
      </c>
      <c r="AI86" s="780">
        <f>AH86+AI76</f>
        <v/>
      </c>
      <c r="AJ86" s="780">
        <f>AI86+AJ76</f>
        <v/>
      </c>
      <c r="AK86" s="780">
        <f>AJ86+AK76</f>
        <v/>
      </c>
      <c r="AL86" s="780">
        <f>AK86+AL76</f>
        <v/>
      </c>
      <c r="AM86" s="780">
        <f>AL86+AM76</f>
        <v/>
      </c>
      <c r="AN86" s="780">
        <f>AM86+AN76</f>
        <v/>
      </c>
      <c r="AO86" s="780">
        <f>AN86+AO76</f>
        <v/>
      </c>
      <c r="AP86" s="780">
        <f>AO86+AP76</f>
        <v/>
      </c>
      <c r="AQ86" s="780">
        <f>AP86+AQ76</f>
        <v/>
      </c>
      <c r="AR86" s="780">
        <f>AQ86+AR76</f>
        <v/>
      </c>
      <c r="AS86" s="780">
        <f>AR86+AS76</f>
        <v/>
      </c>
      <c r="AT86" s="780">
        <f>AS86+AT76</f>
        <v/>
      </c>
      <c r="AU86" s="780">
        <f>AT86+AU76</f>
        <v/>
      </c>
      <c r="AV86" s="780">
        <f>AU86+AV76</f>
        <v/>
      </c>
      <c r="AW86" s="780">
        <f>AV86+AW76</f>
        <v/>
      </c>
      <c r="AX86" s="780">
        <f>AW86+AX76</f>
        <v/>
      </c>
      <c r="AY86" s="780">
        <f>AX86+AY76</f>
        <v/>
      </c>
      <c r="AZ86" s="780">
        <f>AY86+AZ76</f>
        <v/>
      </c>
      <c r="BA86" s="780">
        <f>AZ86+BA76</f>
        <v/>
      </c>
      <c r="BB86" s="780">
        <f>BA86+BB76</f>
        <v/>
      </c>
    </row>
    <row r="87">
      <c r="B87" s="349" t="inlineStr">
        <is>
          <t>SERVICE OTHER AIA OI YTD</t>
        </is>
      </c>
      <c r="C87" s="780">
        <f>+C77</f>
        <v/>
      </c>
      <c r="D87" s="780">
        <f>C87+D77</f>
        <v/>
      </c>
      <c r="E87" s="780">
        <f>D87+E77</f>
        <v/>
      </c>
      <c r="F87" s="780">
        <f>E87+F77</f>
        <v/>
      </c>
      <c r="G87" s="780">
        <f>F87+G77</f>
        <v/>
      </c>
      <c r="H87" s="780">
        <f>G87+H77</f>
        <v/>
      </c>
      <c r="I87" s="780">
        <f>H87+I77</f>
        <v/>
      </c>
      <c r="J87" s="780">
        <f>I87+J77</f>
        <v/>
      </c>
      <c r="K87" s="780">
        <f>J87+K77</f>
        <v/>
      </c>
      <c r="L87" s="780">
        <f>K87+L77</f>
        <v/>
      </c>
      <c r="M87" s="780">
        <f>L87+M77</f>
        <v/>
      </c>
      <c r="N87" s="780">
        <f>M87+N77</f>
        <v/>
      </c>
      <c r="O87" s="780">
        <f>N87+O77</f>
        <v/>
      </c>
      <c r="P87" s="780">
        <f>O87+P77</f>
        <v/>
      </c>
      <c r="Q87" s="780">
        <f>P87+Q77</f>
        <v/>
      </c>
      <c r="R87" s="780">
        <f>Q87+R77</f>
        <v/>
      </c>
      <c r="S87" s="780">
        <f>R87+S77</f>
        <v/>
      </c>
      <c r="T87" s="780">
        <f>S87+T77</f>
        <v/>
      </c>
      <c r="U87" s="780">
        <f>T87+U77</f>
        <v/>
      </c>
      <c r="V87" s="780">
        <f>U87+V77</f>
        <v/>
      </c>
      <c r="W87" s="780">
        <f>V87+W77</f>
        <v/>
      </c>
      <c r="X87" s="780">
        <f>W87+X77</f>
        <v/>
      </c>
      <c r="Y87" s="780">
        <f>X87+Y77</f>
        <v/>
      </c>
      <c r="Z87" s="780">
        <f>Y87+Z77</f>
        <v/>
      </c>
      <c r="AA87" s="780">
        <f>Z87+AA77</f>
        <v/>
      </c>
      <c r="AB87" s="780">
        <f>AA87+AB77</f>
        <v/>
      </c>
      <c r="AC87" s="780">
        <f>AB87+AC77</f>
        <v/>
      </c>
      <c r="AD87" s="780">
        <f>AC87+AD77</f>
        <v/>
      </c>
      <c r="AE87" s="780">
        <f>AD87+AE77</f>
        <v/>
      </c>
      <c r="AF87" s="780">
        <f>AE87+AF77</f>
        <v/>
      </c>
      <c r="AG87" s="780">
        <f>AF87+AG77</f>
        <v/>
      </c>
      <c r="AH87" s="780">
        <f>AG87+AH77</f>
        <v/>
      </c>
      <c r="AI87" s="780">
        <f>AH87+AI77</f>
        <v/>
      </c>
      <c r="AJ87" s="780">
        <f>AI87+AJ77</f>
        <v/>
      </c>
      <c r="AK87" s="780">
        <f>AJ87+AK77</f>
        <v/>
      </c>
      <c r="AL87" s="780">
        <f>AK87+AL77</f>
        <v/>
      </c>
      <c r="AM87" s="780">
        <f>AL87+AM77</f>
        <v/>
      </c>
      <c r="AN87" s="780">
        <f>AM87+AN77</f>
        <v/>
      </c>
      <c r="AO87" s="780">
        <f>AN87+AO77</f>
        <v/>
      </c>
      <c r="AP87" s="780">
        <f>AO87+AP77</f>
        <v/>
      </c>
      <c r="AQ87" s="780">
        <f>AP87+AQ77</f>
        <v/>
      </c>
      <c r="AR87" s="780">
        <f>AQ87+AR77</f>
        <v/>
      </c>
      <c r="AS87" s="780">
        <f>AR87+AS77</f>
        <v/>
      </c>
      <c r="AT87" s="780">
        <f>AS87+AT77</f>
        <v/>
      </c>
      <c r="AU87" s="780">
        <f>AT87+AU77</f>
        <v/>
      </c>
      <c r="AV87" s="780">
        <f>AU87+AV77</f>
        <v/>
      </c>
      <c r="AW87" s="780">
        <f>AV87+AW77</f>
        <v/>
      </c>
      <c r="AX87" s="780">
        <f>AW87+AX77</f>
        <v/>
      </c>
      <c r="AY87" s="780">
        <f>AX87+AY77</f>
        <v/>
      </c>
      <c r="AZ87" s="780">
        <f>AY87+AZ77</f>
        <v/>
      </c>
      <c r="BA87" s="780">
        <f>AZ87+BA77</f>
        <v/>
      </c>
      <c r="BB87" s="780">
        <f>BA87+BB77</f>
        <v/>
      </c>
    </row>
    <row r="88">
      <c r="B88" s="349" t="inlineStr">
        <is>
          <t>TRADING OTHER AIA OI YTD</t>
        </is>
      </c>
      <c r="C88" s="780">
        <f>+C78</f>
        <v/>
      </c>
      <c r="D88" s="780">
        <f>C88+D78</f>
        <v/>
      </c>
      <c r="E88" s="780">
        <f>D88+E78</f>
        <v/>
      </c>
      <c r="F88" s="780">
        <f>E88+F78</f>
        <v/>
      </c>
      <c r="G88" s="780">
        <f>F88+G78</f>
        <v/>
      </c>
      <c r="H88" s="780">
        <f>G88+H78</f>
        <v/>
      </c>
      <c r="I88" s="780">
        <f>H88+I78</f>
        <v/>
      </c>
      <c r="J88" s="780">
        <f>I88+J78</f>
        <v/>
      </c>
      <c r="K88" s="780">
        <f>J88+K78</f>
        <v/>
      </c>
      <c r="L88" s="780">
        <f>K88+L78</f>
        <v/>
      </c>
      <c r="M88" s="780">
        <f>L88+M78</f>
        <v/>
      </c>
      <c r="N88" s="780">
        <f>M88+N78</f>
        <v/>
      </c>
      <c r="O88" s="780">
        <f>N88+O78</f>
        <v/>
      </c>
      <c r="P88" s="780">
        <f>O88+P78</f>
        <v/>
      </c>
      <c r="Q88" s="780">
        <f>P88+Q78</f>
        <v/>
      </c>
      <c r="R88" s="780">
        <f>Q88+R78</f>
        <v/>
      </c>
      <c r="S88" s="780">
        <f>R88+S78</f>
        <v/>
      </c>
      <c r="T88" s="780">
        <f>S88+T78</f>
        <v/>
      </c>
      <c r="U88" s="780">
        <f>T88+U78</f>
        <v/>
      </c>
      <c r="V88" s="780">
        <f>U88+V78</f>
        <v/>
      </c>
      <c r="W88" s="780">
        <f>V88+W78</f>
        <v/>
      </c>
      <c r="X88" s="780">
        <f>W88+X78</f>
        <v/>
      </c>
      <c r="Y88" s="780">
        <f>X88+Y78</f>
        <v/>
      </c>
      <c r="Z88" s="780">
        <f>Y88+Z78</f>
        <v/>
      </c>
      <c r="AA88" s="780">
        <f>Z88+AA78</f>
        <v/>
      </c>
      <c r="AB88" s="780">
        <f>AA88+AB78</f>
        <v/>
      </c>
      <c r="AC88" s="780">
        <f>AB88+AC78</f>
        <v/>
      </c>
      <c r="AD88" s="780">
        <f>AC88+AD78</f>
        <v/>
      </c>
      <c r="AE88" s="780">
        <f>AD88+AE78</f>
        <v/>
      </c>
      <c r="AF88" s="780">
        <f>AE88+AF78</f>
        <v/>
      </c>
      <c r="AG88" s="780">
        <f>AF88+AG78</f>
        <v/>
      </c>
      <c r="AH88" s="780">
        <f>AG88+AH78</f>
        <v/>
      </c>
      <c r="AI88" s="780">
        <f>AH88+AI78</f>
        <v/>
      </c>
      <c r="AJ88" s="780">
        <f>AI88+AJ78</f>
        <v/>
      </c>
      <c r="AK88" s="780">
        <f>AJ88+AK78</f>
        <v/>
      </c>
      <c r="AL88" s="780">
        <f>AK88+AL78</f>
        <v/>
      </c>
      <c r="AM88" s="780">
        <f>AL88+AM78</f>
        <v/>
      </c>
      <c r="AN88" s="780">
        <f>AM88+AN78</f>
        <v/>
      </c>
      <c r="AO88" s="780">
        <f>AN88+AO78</f>
        <v/>
      </c>
      <c r="AP88" s="780">
        <f>AO88+AP78</f>
        <v/>
      </c>
      <c r="AQ88" s="780">
        <f>AP88+AQ78</f>
        <v/>
      </c>
      <c r="AR88" s="780">
        <f>AQ88+AR78</f>
        <v/>
      </c>
      <c r="AS88" s="780">
        <f>AR88+AS78</f>
        <v/>
      </c>
      <c r="AT88" s="780">
        <f>AS88+AT78</f>
        <v/>
      </c>
      <c r="AU88" s="780">
        <f>AT88+AU78</f>
        <v/>
      </c>
      <c r="AV88" s="780">
        <f>AU88+AV78</f>
        <v/>
      </c>
      <c r="AW88" s="780">
        <f>AV88+AW78</f>
        <v/>
      </c>
      <c r="AX88" s="780">
        <f>AW88+AX78</f>
        <v/>
      </c>
      <c r="AY88" s="780">
        <f>AX88+AY78</f>
        <v/>
      </c>
      <c r="AZ88" s="780">
        <f>AY88+AZ78</f>
        <v/>
      </c>
      <c r="BA88" s="780">
        <f>AZ88+BA78</f>
        <v/>
      </c>
      <c r="BB88" s="780">
        <f>BA88+BB78</f>
        <v/>
      </c>
    </row>
    <row r="89">
      <c r="B89" s="349" t="inlineStr">
        <is>
          <t>TRADING AIA OI YTD</t>
        </is>
      </c>
      <c r="C89" s="781">
        <f>+C79</f>
        <v/>
      </c>
      <c r="D89" s="780">
        <f>C89+D79</f>
        <v/>
      </c>
      <c r="E89" s="780">
        <f>D89+E79</f>
        <v/>
      </c>
      <c r="F89" s="780">
        <f>E89+F79</f>
        <v/>
      </c>
      <c r="G89" s="780">
        <f>F89+G79</f>
        <v/>
      </c>
      <c r="H89" s="780">
        <f>G89+H79</f>
        <v/>
      </c>
      <c r="I89" s="780">
        <f>H89+I79</f>
        <v/>
      </c>
      <c r="J89" s="780">
        <f>I89+J79</f>
        <v/>
      </c>
      <c r="K89" s="780">
        <f>J89+K79</f>
        <v/>
      </c>
      <c r="L89" s="780">
        <f>K89+L79</f>
        <v/>
      </c>
      <c r="M89" s="780">
        <f>L89+M79</f>
        <v/>
      </c>
      <c r="N89" s="780">
        <f>M89+N79</f>
        <v/>
      </c>
      <c r="O89" s="780">
        <f>N89+O79</f>
        <v/>
      </c>
      <c r="P89" s="780">
        <f>O89+P79</f>
        <v/>
      </c>
      <c r="Q89" s="780">
        <f>P89+Q79</f>
        <v/>
      </c>
      <c r="R89" s="780">
        <f>Q89+R79</f>
        <v/>
      </c>
      <c r="S89" s="780">
        <f>R89+S79</f>
        <v/>
      </c>
      <c r="T89" s="780">
        <f>S89+T79</f>
        <v/>
      </c>
      <c r="U89" s="780">
        <f>T89+U79</f>
        <v/>
      </c>
      <c r="V89" s="780">
        <f>U89+V79</f>
        <v/>
      </c>
      <c r="W89" s="780">
        <f>V89+W79</f>
        <v/>
      </c>
      <c r="X89" s="780">
        <f>W89+X79</f>
        <v/>
      </c>
      <c r="Y89" s="780">
        <f>X89+Y79</f>
        <v/>
      </c>
      <c r="Z89" s="780">
        <f>Y89+Z79</f>
        <v/>
      </c>
      <c r="AA89" s="780">
        <f>Z89+AA79</f>
        <v/>
      </c>
      <c r="AB89" s="780">
        <f>AA89+AB79</f>
        <v/>
      </c>
      <c r="AC89" s="780">
        <f>AB89+AC79</f>
        <v/>
      </c>
      <c r="AD89" s="780">
        <f>AC89+AD79</f>
        <v/>
      </c>
      <c r="AE89" s="780">
        <f>AD89+AE79</f>
        <v/>
      </c>
      <c r="AF89" s="780">
        <f>AE89+AF79</f>
        <v/>
      </c>
      <c r="AG89" s="780">
        <f>AF89+AG79</f>
        <v/>
      </c>
      <c r="AH89" s="780">
        <f>AG89+AH79</f>
        <v/>
      </c>
      <c r="AI89" s="780">
        <f>AH89+AI79</f>
        <v/>
      </c>
      <c r="AJ89" s="780">
        <f>AI89+AJ79</f>
        <v/>
      </c>
      <c r="AK89" s="780">
        <f>AJ89+AK79</f>
        <v/>
      </c>
      <c r="AL89" s="780">
        <f>AK89+AL79</f>
        <v/>
      </c>
      <c r="AM89" s="780">
        <f>AL89+AM79</f>
        <v/>
      </c>
      <c r="AN89" s="780">
        <f>AM89+AN79</f>
        <v/>
      </c>
      <c r="AO89" s="780">
        <f>AN89+AO79</f>
        <v/>
      </c>
      <c r="AP89" s="780">
        <f>AO89+AP79</f>
        <v/>
      </c>
      <c r="AQ89" s="780">
        <f>AP89+AQ79</f>
        <v/>
      </c>
      <c r="AR89" s="780">
        <f>AQ89+AR79</f>
        <v/>
      </c>
      <c r="AS89" s="780">
        <f>AR89+AS79</f>
        <v/>
      </c>
      <c r="AT89" s="780">
        <f>AS89+AT79</f>
        <v/>
      </c>
      <c r="AU89" s="780">
        <f>AT89+AU79</f>
        <v/>
      </c>
      <c r="AV89" s="780">
        <f>AU89+AV79</f>
        <v/>
      </c>
      <c r="AW89" s="780">
        <f>AV89+AW79</f>
        <v/>
      </c>
      <c r="AX89" s="780">
        <f>AW89+AX79</f>
        <v/>
      </c>
      <c r="AY89" s="780">
        <f>AX89+AY79</f>
        <v/>
      </c>
      <c r="AZ89" s="780">
        <f>AY89+AZ79</f>
        <v/>
      </c>
      <c r="BA89" s="780">
        <f>AZ89+BA79</f>
        <v/>
      </c>
      <c r="BB89" s="780">
        <f>BA89+BB79</f>
        <v/>
      </c>
    </row>
    <row r="91" hidden="1" s="701"/>
    <row r="92" hidden="1" s="701"/>
    <row r="93" hidden="1" s="701"/>
    <row r="94" hidden="1" s="701"/>
    <row r="95" hidden="1" s="701"/>
    <row r="96" hidden="1" s="701"/>
    <row r="97" hidden="1" s="701"/>
    <row r="98" hidden="1" s="701"/>
    <row r="99" hidden="1" s="701">
      <c r="A99" t="inlineStr">
        <is>
          <t>Cum.</t>
        </is>
      </c>
    </row>
    <row r="100" hidden="1" s="701">
      <c r="B100" s="700" t="inlineStr">
        <is>
          <t>OI</t>
        </is>
      </c>
      <c r="C100" s="110">
        <f>C17</f>
        <v/>
      </c>
      <c r="D100" s="110">
        <f>D17+C17</f>
        <v/>
      </c>
      <c r="E100" s="110">
        <f>E17+D100</f>
        <v/>
      </c>
      <c r="F100" s="110">
        <f>F17+E100</f>
        <v/>
      </c>
      <c r="G100" s="110">
        <f>G17+F100</f>
        <v/>
      </c>
      <c r="H100" s="110">
        <f>H17+G100</f>
        <v/>
      </c>
      <c r="I100" s="110">
        <f>I17+H100</f>
        <v/>
      </c>
      <c r="J100" s="110">
        <f>J17+I100</f>
        <v/>
      </c>
      <c r="K100" s="110">
        <f>K17+J100</f>
        <v/>
      </c>
      <c r="L100" s="110">
        <f>L17+K100</f>
        <v/>
      </c>
      <c r="M100" s="110">
        <f>M17+L100</f>
        <v/>
      </c>
      <c r="N100" s="110">
        <f>N17+M100</f>
        <v/>
      </c>
      <c r="O100" s="110">
        <f>O17+N100</f>
        <v/>
      </c>
      <c r="P100" s="110">
        <f>P17+O100</f>
        <v/>
      </c>
      <c r="Q100" s="110">
        <f>Q17+P100</f>
        <v/>
      </c>
      <c r="R100" s="110">
        <f>R17+Q100</f>
        <v/>
      </c>
      <c r="S100" s="110">
        <f>S17+R100</f>
        <v/>
      </c>
      <c r="T100" s="110">
        <f>T17+S100</f>
        <v/>
      </c>
      <c r="U100" s="110">
        <f>U17+T100</f>
        <v/>
      </c>
      <c r="V100" s="110">
        <f>V17+U100</f>
        <v/>
      </c>
      <c r="W100" s="110">
        <f>W17+V100</f>
        <v/>
      </c>
      <c r="X100" s="110">
        <f>X17+W100</f>
        <v/>
      </c>
      <c r="Y100" s="110">
        <f>Y17+X100</f>
        <v/>
      </c>
      <c r="Z100" s="110">
        <f>Z17+Y100</f>
        <v/>
      </c>
      <c r="AA100" s="110">
        <f>AA17+Z100</f>
        <v/>
      </c>
      <c r="AB100" s="110">
        <f>AB17+AA100</f>
        <v/>
      </c>
      <c r="AC100" s="110">
        <f>AC17+AB100</f>
        <v/>
      </c>
      <c r="AD100" s="110">
        <f>AD17+AC100</f>
        <v/>
      </c>
      <c r="AE100" s="110">
        <f>AE17+AD100</f>
        <v/>
      </c>
      <c r="AF100" s="110">
        <f>AF17+AE100</f>
        <v/>
      </c>
      <c r="AG100" s="110">
        <f>AG17+AF100</f>
        <v/>
      </c>
      <c r="AH100" s="110">
        <f>AH17+AG100</f>
        <v/>
      </c>
      <c r="AI100" s="110">
        <f>AI17+AH100</f>
        <v/>
      </c>
      <c r="AJ100" s="110">
        <f>AJ17+AI100</f>
        <v/>
      </c>
      <c r="AK100" s="110">
        <f>AK17+AJ100</f>
        <v/>
      </c>
      <c r="AL100" s="110">
        <f>AL17+AK100</f>
        <v/>
      </c>
      <c r="AM100" s="110">
        <f>AM17+AL100</f>
        <v/>
      </c>
      <c r="AN100" s="110">
        <f>AN17+AM100</f>
        <v/>
      </c>
      <c r="AO100" s="110">
        <f>AO17+AN100</f>
        <v/>
      </c>
      <c r="AP100" s="110">
        <f>AP17+AO100</f>
        <v/>
      </c>
      <c r="AQ100" s="110">
        <f>AQ17+AP100</f>
        <v/>
      </c>
      <c r="AR100" s="110">
        <f>AR17+AQ100</f>
        <v/>
      </c>
      <c r="AS100" s="110">
        <f>AS17+AR100</f>
        <v/>
      </c>
      <c r="AT100" s="110">
        <f>AT17+AS100</f>
        <v/>
      </c>
      <c r="AU100" s="110">
        <f>AU17+AT100</f>
        <v/>
      </c>
      <c r="AV100" s="110">
        <f>AV17+AU100</f>
        <v/>
      </c>
      <c r="AW100" s="110">
        <f>AW17+AV100</f>
        <v/>
      </c>
      <c r="AX100" s="110">
        <f>AX17+AW100</f>
        <v/>
      </c>
      <c r="AY100" s="110">
        <f>AY17+AX100</f>
        <v/>
      </c>
      <c r="AZ100" s="110">
        <f>AZ17+AY100</f>
        <v/>
      </c>
      <c r="BA100" s="110">
        <f>BA17+AZ100</f>
        <v/>
      </c>
      <c r="BB100" s="110">
        <f>BB17+BA100</f>
        <v/>
      </c>
    </row>
    <row r="101" hidden="1" s="701">
      <c r="B101" s="700" t="inlineStr">
        <is>
          <t>CA</t>
        </is>
      </c>
      <c r="C101" s="110">
        <f>C18</f>
        <v/>
      </c>
      <c r="D101" s="110">
        <f>D18+C18</f>
        <v/>
      </c>
      <c r="E101" s="110">
        <f>E18+D101</f>
        <v/>
      </c>
      <c r="F101" s="110">
        <f>F18+E101</f>
        <v/>
      </c>
      <c r="G101" s="110">
        <f>G18+F101</f>
        <v/>
      </c>
      <c r="H101" s="110">
        <f>H18+G101</f>
        <v/>
      </c>
      <c r="I101" s="110">
        <f>I18+H101</f>
        <v/>
      </c>
      <c r="J101" s="110">
        <f>J18+I101</f>
        <v/>
      </c>
      <c r="K101" s="110">
        <f>K18+J101</f>
        <v/>
      </c>
      <c r="L101" s="110">
        <f>L18+K101</f>
        <v/>
      </c>
      <c r="M101" s="110">
        <f>M18+L101</f>
        <v/>
      </c>
      <c r="N101" s="110">
        <f>N18+M101</f>
        <v/>
      </c>
      <c r="O101" s="110">
        <f>O18+N101</f>
        <v/>
      </c>
      <c r="P101" s="110">
        <f>P18+O101</f>
        <v/>
      </c>
      <c r="Q101" s="110">
        <f>Q18+P101</f>
        <v/>
      </c>
      <c r="R101" s="110">
        <f>R18+Q101</f>
        <v/>
      </c>
      <c r="S101" s="110">
        <f>S18+R101</f>
        <v/>
      </c>
      <c r="T101" s="110">
        <f>T18+S101</f>
        <v/>
      </c>
      <c r="U101" s="110">
        <f>U18+T101</f>
        <v/>
      </c>
      <c r="V101" s="110">
        <f>V18+U101</f>
        <v/>
      </c>
      <c r="W101" s="110">
        <f>W18+V101</f>
        <v/>
      </c>
      <c r="X101" s="110">
        <f>X18+W101</f>
        <v/>
      </c>
      <c r="Y101" s="110">
        <f>Y18+X101</f>
        <v/>
      </c>
      <c r="Z101" s="110">
        <f>Z18+Y101</f>
        <v/>
      </c>
      <c r="AA101" s="110">
        <f>AA18+Z101</f>
        <v/>
      </c>
      <c r="AB101" s="110">
        <f>AB18+AA101</f>
        <v/>
      </c>
      <c r="AC101" s="110">
        <f>AC18+AB101</f>
        <v/>
      </c>
      <c r="AD101" s="110">
        <f>AD18+AC101</f>
        <v/>
      </c>
      <c r="AE101" s="110">
        <f>AE18+AD101</f>
        <v/>
      </c>
      <c r="AF101" s="110">
        <f>AF18+AE101</f>
        <v/>
      </c>
      <c r="AG101" s="110">
        <f>AG18+AF101</f>
        <v/>
      </c>
      <c r="AH101" s="110">
        <f>AH18+AG101</f>
        <v/>
      </c>
      <c r="AI101" s="110">
        <f>AI18+AH101</f>
        <v/>
      </c>
      <c r="AJ101" s="110">
        <f>AJ18+AI101</f>
        <v/>
      </c>
      <c r="AK101" s="110">
        <f>AK18+AJ101</f>
        <v/>
      </c>
      <c r="AL101" s="110">
        <f>AL18+AK101</f>
        <v/>
      </c>
      <c r="AM101" s="110">
        <f>AM18+AL101</f>
        <v/>
      </c>
      <c r="AN101" s="110">
        <f>AN18+AM101</f>
        <v/>
      </c>
      <c r="AO101" s="110">
        <f>AO18+AN101</f>
        <v/>
      </c>
      <c r="AP101" s="110">
        <f>AP18+AO101</f>
        <v/>
      </c>
      <c r="AQ101" s="110">
        <f>AQ18+AP101</f>
        <v/>
      </c>
      <c r="AR101" s="110">
        <f>AR18+AQ101</f>
        <v/>
      </c>
      <c r="AS101" s="110">
        <f>AS18+AR101</f>
        <v/>
      </c>
      <c r="AT101" s="110">
        <f>AT18+AS101</f>
        <v/>
      </c>
      <c r="AU101" s="110">
        <f>AU18+AT101</f>
        <v/>
      </c>
      <c r="AV101" s="110">
        <f>AV18+AU101</f>
        <v/>
      </c>
      <c r="AW101" s="110">
        <f>AW18+AV101</f>
        <v/>
      </c>
      <c r="AX101" s="110">
        <f>AX18+AW101</f>
        <v/>
      </c>
      <c r="AY101" s="110">
        <f>AY18+AX101</f>
        <v/>
      </c>
      <c r="AZ101" s="110">
        <f>AZ18+AY101</f>
        <v/>
      </c>
      <c r="BA101" s="110">
        <f>BA18+AZ101</f>
        <v/>
      </c>
      <c r="BB101" s="110">
        <f>BB18+BA101</f>
        <v/>
      </c>
    </row>
    <row r="102" hidden="1" s="701">
      <c r="B102" s="700" t="inlineStr">
        <is>
          <t>Diff</t>
        </is>
      </c>
      <c r="C102" s="111">
        <f>C100-C101</f>
        <v/>
      </c>
      <c r="D102" s="111">
        <f>D100-D101</f>
        <v/>
      </c>
      <c r="E102" s="111">
        <f>E100-E101</f>
        <v/>
      </c>
      <c r="F102" s="111">
        <f>F100-F101</f>
        <v/>
      </c>
      <c r="G102" s="111">
        <f>G100-G101</f>
        <v/>
      </c>
      <c r="H102" s="110">
        <f>H100-H101</f>
        <v/>
      </c>
      <c r="I102" s="110">
        <f>I100-I101</f>
        <v/>
      </c>
      <c r="J102" s="110">
        <f>J100-J101</f>
        <v/>
      </c>
      <c r="K102" s="110">
        <f>K100-K101</f>
        <v/>
      </c>
      <c r="L102" s="110">
        <f>L100-L101</f>
        <v/>
      </c>
      <c r="M102" s="110">
        <f>M100-M101</f>
        <v/>
      </c>
      <c r="N102" s="110">
        <f>N100-N101</f>
        <v/>
      </c>
      <c r="O102" s="110">
        <f>O100-O101</f>
        <v/>
      </c>
      <c r="P102" s="110">
        <f>P100-P101</f>
        <v/>
      </c>
      <c r="Q102" s="110">
        <f>Q100-Q101</f>
        <v/>
      </c>
      <c r="R102" s="110">
        <f>R100-R101</f>
        <v/>
      </c>
      <c r="S102" s="110">
        <f>S100-S101</f>
        <v/>
      </c>
      <c r="T102" s="110">
        <f>T100-T101</f>
        <v/>
      </c>
      <c r="U102" s="110">
        <f>U100-U101</f>
        <v/>
      </c>
      <c r="V102" s="111">
        <f>V100-V101</f>
        <v/>
      </c>
      <c r="W102" s="111">
        <f>W100-W101</f>
        <v/>
      </c>
      <c r="X102" s="111">
        <f>X100-X101</f>
        <v/>
      </c>
      <c r="Y102" s="111">
        <f>Y100-Y101</f>
        <v/>
      </c>
      <c r="Z102" s="111">
        <f>Z100-Z101</f>
        <v/>
      </c>
      <c r="AA102" s="111">
        <f>AA100-AA101</f>
        <v/>
      </c>
      <c r="AB102" s="111">
        <f>AB100-AB101</f>
        <v/>
      </c>
      <c r="AC102" s="111">
        <f>AC100-AC101</f>
        <v/>
      </c>
      <c r="AD102" s="111">
        <f>AD100-AD101</f>
        <v/>
      </c>
      <c r="AE102" s="111">
        <f>AE100-AE101</f>
        <v/>
      </c>
      <c r="AF102" s="111">
        <f>AF100-AF101</f>
        <v/>
      </c>
      <c r="AG102" s="111">
        <f>AG100-AG101</f>
        <v/>
      </c>
      <c r="AH102" s="111">
        <f>AH100-AH101</f>
        <v/>
      </c>
      <c r="AI102" s="111">
        <f>AI100-AI101</f>
        <v/>
      </c>
      <c r="AJ102" s="111">
        <f>AJ100-AJ101</f>
        <v/>
      </c>
      <c r="AK102" s="111">
        <f>AK100-AK101</f>
        <v/>
      </c>
      <c r="AL102" s="111">
        <f>AL100-AL101</f>
        <v/>
      </c>
      <c r="AM102" s="111">
        <f>AM100-AM101</f>
        <v/>
      </c>
      <c r="AN102" s="111">
        <f>AN100-AN101</f>
        <v/>
      </c>
      <c r="AO102" s="111">
        <f>AO100-AO101</f>
        <v/>
      </c>
      <c r="AP102" s="110">
        <f>AP100-AP101</f>
        <v/>
      </c>
      <c r="AQ102" s="110">
        <f>AQ100-AQ101</f>
        <v/>
      </c>
      <c r="AR102" s="110">
        <f>AR100-AR101</f>
        <v/>
      </c>
      <c r="AS102" s="110">
        <f>AS100-AS101</f>
        <v/>
      </c>
      <c r="AT102" s="110">
        <f>AT100-AT101</f>
        <v/>
      </c>
      <c r="AU102" s="110">
        <f>AU100-AU101</f>
        <v/>
      </c>
      <c r="AV102" s="110">
        <f>AV100-AV101</f>
        <v/>
      </c>
      <c r="AW102" s="110">
        <f>AW100-AW101</f>
        <v/>
      </c>
      <c r="AX102" s="110">
        <f>AX100-AX101</f>
        <v/>
      </c>
      <c r="AY102" s="110">
        <f>AY100-AY101</f>
        <v/>
      </c>
      <c r="AZ102" s="110">
        <f>AZ100-AZ101</f>
        <v/>
      </c>
      <c r="BA102" s="110">
        <f>BA100-BA101</f>
        <v/>
      </c>
      <c r="BB102" s="110">
        <f>BB100-BB101</f>
        <v/>
      </c>
    </row>
    <row r="103" hidden="1" s="701">
      <c r="A103" s="248" t="inlineStr">
        <is>
          <t>Mittigated Cum.</t>
        </is>
      </c>
      <c r="B103" s="29" t="n"/>
      <c r="AN103" s="112" t="n"/>
      <c r="AO103" s="112" t="n"/>
    </row>
    <row r="104" hidden="1" s="701">
      <c r="B104" s="700" t="inlineStr">
        <is>
          <t xml:space="preserve">MITT. OI CUM </t>
        </is>
      </c>
      <c r="C104" s="110">
        <f>C20</f>
        <v/>
      </c>
      <c r="D104" s="110">
        <f>C104+D20</f>
        <v/>
      </c>
      <c r="E104" s="110">
        <f>D104+E20</f>
        <v/>
      </c>
      <c r="F104" s="110">
        <f>E104+F20</f>
        <v/>
      </c>
      <c r="G104" s="110">
        <f>F104+G20</f>
        <v/>
      </c>
      <c r="H104" s="110">
        <f>G104+H20</f>
        <v/>
      </c>
      <c r="I104" s="110">
        <f>H104+I20</f>
        <v/>
      </c>
      <c r="J104" s="110">
        <f>I104+J20</f>
        <v/>
      </c>
      <c r="K104" s="110">
        <f>J104+K20</f>
        <v/>
      </c>
      <c r="L104" s="110">
        <f>K104+L20</f>
        <v/>
      </c>
      <c r="M104" s="110">
        <f>L104+M20</f>
        <v/>
      </c>
      <c r="N104" s="110">
        <f>M104+N20</f>
        <v/>
      </c>
      <c r="O104" s="110">
        <f>N104+O20</f>
        <v/>
      </c>
      <c r="P104" s="110">
        <f>O104+P20</f>
        <v/>
      </c>
      <c r="Q104" s="110">
        <f>P104+Q20</f>
        <v/>
      </c>
      <c r="R104" s="110">
        <f>Q104+R20</f>
        <v/>
      </c>
      <c r="S104" s="118">
        <f>R104+S20</f>
        <v/>
      </c>
      <c r="T104" s="110">
        <f>S104+T20</f>
        <v/>
      </c>
      <c r="U104" s="110">
        <f>T104+U20</f>
        <v/>
      </c>
      <c r="V104" s="110">
        <f>U104+V20</f>
        <v/>
      </c>
      <c r="W104" s="110">
        <f>V104+W20</f>
        <v/>
      </c>
      <c r="X104" s="110">
        <f>W104+X20</f>
        <v/>
      </c>
      <c r="Y104" s="110">
        <f>X104+Y20</f>
        <v/>
      </c>
      <c r="Z104" s="110">
        <f>Y104+Z20</f>
        <v/>
      </c>
      <c r="AA104" s="110">
        <f>Z104+AA20</f>
        <v/>
      </c>
      <c r="AB104" s="110">
        <f>AA104+AB20</f>
        <v/>
      </c>
      <c r="AC104" s="110">
        <f>AB104+AC20</f>
        <v/>
      </c>
      <c r="AD104" s="110">
        <f>AC104+AD20</f>
        <v/>
      </c>
      <c r="AE104" s="110">
        <f>AD104+AE20</f>
        <v/>
      </c>
      <c r="AF104" s="110">
        <f>AE104+AF20</f>
        <v/>
      </c>
      <c r="AG104" s="119">
        <f>AF104+AG20</f>
        <v/>
      </c>
      <c r="AH104" s="110">
        <f>AG104+AH20</f>
        <v/>
      </c>
      <c r="AI104" s="110">
        <f>AH104+AI20</f>
        <v/>
      </c>
      <c r="AJ104" s="110">
        <f>AI104+AJ20</f>
        <v/>
      </c>
      <c r="AK104" s="110">
        <f>AJ104+AK20</f>
        <v/>
      </c>
      <c r="AL104" s="110">
        <f>AK104+AL20</f>
        <v/>
      </c>
      <c r="AM104" s="110">
        <f>AL104+AM20</f>
        <v/>
      </c>
      <c r="AN104" s="110">
        <f>AM104+AN20</f>
        <v/>
      </c>
      <c r="AO104" s="110">
        <f>AN104+AO20</f>
        <v/>
      </c>
      <c r="AP104" s="110">
        <f>AO104+AP20</f>
        <v/>
      </c>
      <c r="AQ104" s="110">
        <f>AP104+AQ20</f>
        <v/>
      </c>
      <c r="AR104" s="110">
        <f>AQ104+AR20</f>
        <v/>
      </c>
      <c r="AS104" s="110">
        <f>AR104+AS20</f>
        <v/>
      </c>
      <c r="AT104" s="110">
        <f>AS104+AT20</f>
        <v/>
      </c>
      <c r="AU104" s="110">
        <f>AT104+AU20</f>
        <v/>
      </c>
      <c r="AV104" s="110">
        <f>AU104+AV20</f>
        <v/>
      </c>
      <c r="AW104" s="110">
        <f>AV104+AW20</f>
        <v/>
      </c>
      <c r="AX104" s="110">
        <f>AW104+AX20</f>
        <v/>
      </c>
      <c r="AY104" s="110">
        <f>AX104+AY20</f>
        <v/>
      </c>
      <c r="AZ104" s="110">
        <f>AY104+AZ20</f>
        <v/>
      </c>
      <c r="BA104" s="120">
        <f>AZ104+BA20</f>
        <v/>
      </c>
      <c r="BB104" s="110">
        <f>BA104+BB20</f>
        <v/>
      </c>
    </row>
    <row r="105" hidden="1" s="701">
      <c r="B105" s="700" t="inlineStr">
        <is>
          <t>MITT. REV CUM</t>
        </is>
      </c>
      <c r="C105" s="110">
        <f>C21</f>
        <v/>
      </c>
      <c r="D105" s="110">
        <f>C105+D21</f>
        <v/>
      </c>
      <c r="E105" s="110">
        <f>D105+E21</f>
        <v/>
      </c>
      <c r="F105" s="110">
        <f>E105+F21</f>
        <v/>
      </c>
      <c r="G105" s="110">
        <f>F105+G21</f>
        <v/>
      </c>
      <c r="H105" s="110">
        <f>G105+H21</f>
        <v/>
      </c>
      <c r="I105" s="110">
        <f>H105+I21</f>
        <v/>
      </c>
      <c r="J105" s="110">
        <f>I105+J21</f>
        <v/>
      </c>
      <c r="K105" s="110">
        <f>J105+K21</f>
        <v/>
      </c>
      <c r="L105" s="110">
        <f>K105+L21</f>
        <v/>
      </c>
      <c r="M105" s="110">
        <f>L105+M21</f>
        <v/>
      </c>
      <c r="N105" s="110">
        <f>M105+N21</f>
        <v/>
      </c>
      <c r="O105" s="110">
        <f>N105+O21</f>
        <v/>
      </c>
      <c r="P105" s="110">
        <f>O105+P21</f>
        <v/>
      </c>
      <c r="Q105" s="110">
        <f>P105+Q21</f>
        <v/>
      </c>
      <c r="R105" s="110">
        <f>Q105+R21</f>
        <v/>
      </c>
      <c r="S105" s="118">
        <f>R105+S21</f>
        <v/>
      </c>
      <c r="T105" s="110">
        <f>S105+T21</f>
        <v/>
      </c>
      <c r="U105" s="110">
        <f>T105+U21</f>
        <v/>
      </c>
      <c r="V105" s="110">
        <f>U105+V21</f>
        <v/>
      </c>
      <c r="W105" s="110">
        <f>V105+W21</f>
        <v/>
      </c>
      <c r="X105" s="110">
        <f>W105+X21</f>
        <v/>
      </c>
      <c r="Y105" s="110">
        <f>X105+Y21</f>
        <v/>
      </c>
      <c r="Z105" s="110">
        <f>Y105+Z21</f>
        <v/>
      </c>
      <c r="AA105" s="110">
        <f>Z105+AA21</f>
        <v/>
      </c>
      <c r="AB105" s="110">
        <f>AA105+AB21</f>
        <v/>
      </c>
      <c r="AC105" s="110">
        <f>AB105+AC21</f>
        <v/>
      </c>
      <c r="AD105" s="110">
        <f>AC105+AD21</f>
        <v/>
      </c>
      <c r="AE105" s="110">
        <f>AD105+AE21</f>
        <v/>
      </c>
      <c r="AF105" s="110">
        <f>AE105+AF21</f>
        <v/>
      </c>
      <c r="AG105" s="119">
        <f>AF105+AG21</f>
        <v/>
      </c>
      <c r="AH105" s="110">
        <f>AG105+AH21</f>
        <v/>
      </c>
      <c r="AI105" s="110">
        <f>AH105+AI21</f>
        <v/>
      </c>
      <c r="AJ105" s="110">
        <f>AI105+AJ21</f>
        <v/>
      </c>
      <c r="AK105" s="110">
        <f>AJ105+AK21</f>
        <v/>
      </c>
      <c r="AL105" s="110">
        <f>AK105+AL21</f>
        <v/>
      </c>
      <c r="AM105" s="110">
        <f>AL105+AM21</f>
        <v/>
      </c>
      <c r="AN105" s="110">
        <f>AM105+AN21</f>
        <v/>
      </c>
      <c r="AO105" s="110">
        <f>AN105+AO21</f>
        <v/>
      </c>
      <c r="AP105" s="110">
        <f>AO105+AP21</f>
        <v/>
      </c>
      <c r="AQ105" s="110">
        <f>AP105+AQ21</f>
        <v/>
      </c>
      <c r="AR105" s="110">
        <f>AQ105+AR21</f>
        <v/>
      </c>
      <c r="AS105" s="110">
        <f>AR105+AS21</f>
        <v/>
      </c>
      <c r="AT105" s="110">
        <f>AS105+AT21</f>
        <v/>
      </c>
      <c r="AU105" s="110">
        <f>AT105+AU21</f>
        <v/>
      </c>
      <c r="AV105" s="110">
        <f>AU105+AV21</f>
        <v/>
      </c>
      <c r="AW105" s="110">
        <f>AV105+AW21</f>
        <v/>
      </c>
      <c r="AX105" s="110">
        <f>AW105+AX21</f>
        <v/>
      </c>
      <c r="AY105" s="110">
        <f>AX105+AY21</f>
        <v/>
      </c>
      <c r="AZ105" s="110">
        <f>AY105+AZ21</f>
        <v/>
      </c>
      <c r="BA105" s="120">
        <f>AZ105+BA21</f>
        <v/>
      </c>
      <c r="BB105" s="110">
        <f>BA105+BB21</f>
        <v/>
      </c>
    </row>
    <row r="106" hidden="1" s="701">
      <c r="B106" s="700" t="inlineStr">
        <is>
          <t>Diff</t>
        </is>
      </c>
      <c r="C106" s="111">
        <f>C104-C105</f>
        <v/>
      </c>
      <c r="D106" s="111">
        <f>D104-D105</f>
        <v/>
      </c>
      <c r="E106" s="111">
        <f>E104-E105</f>
        <v/>
      </c>
      <c r="F106" s="111">
        <f>F104-F105</f>
        <v/>
      </c>
      <c r="G106" s="111">
        <f>G104-G105</f>
        <v/>
      </c>
      <c r="H106" s="110">
        <f>H104-H105</f>
        <v/>
      </c>
      <c r="I106" s="110">
        <f>I104-I105</f>
        <v/>
      </c>
      <c r="J106" s="110">
        <f>J104-J105</f>
        <v/>
      </c>
      <c r="K106" s="111">
        <f>K104-K105</f>
        <v/>
      </c>
      <c r="L106" s="111">
        <f>L104-L105</f>
        <v/>
      </c>
      <c r="M106" s="111">
        <f>M104-M105</f>
        <v/>
      </c>
      <c r="N106" s="111">
        <f>N104-N105</f>
        <v/>
      </c>
      <c r="O106" s="110">
        <f>O104-O105</f>
        <v/>
      </c>
      <c r="P106" s="110">
        <f>P104-P105</f>
        <v/>
      </c>
      <c r="Q106" s="110">
        <f>Q104-Q105</f>
        <v/>
      </c>
      <c r="R106" s="111">
        <f>R104-R105</f>
        <v/>
      </c>
      <c r="S106" s="111">
        <f>S104-S105</f>
        <v/>
      </c>
      <c r="T106" s="111">
        <f>T104-T105</f>
        <v/>
      </c>
      <c r="U106" s="111">
        <f>U104-U105</f>
        <v/>
      </c>
      <c r="V106" s="111">
        <f>V104-V105</f>
        <v/>
      </c>
      <c r="W106" s="111">
        <f>W104-W105</f>
        <v/>
      </c>
      <c r="X106" s="111">
        <f>X104-X105</f>
        <v/>
      </c>
      <c r="Y106" s="111">
        <f>Y104-Y105</f>
        <v/>
      </c>
      <c r="Z106" s="111">
        <f>Z104-Z105</f>
        <v/>
      </c>
      <c r="AA106" s="111">
        <f>AA104-AA105</f>
        <v/>
      </c>
      <c r="AB106" s="111">
        <f>AB104-AB105</f>
        <v/>
      </c>
      <c r="AC106" s="111">
        <f>AC104-AC105</f>
        <v/>
      </c>
      <c r="AD106" s="111">
        <f>AD104-AD105</f>
        <v/>
      </c>
      <c r="AE106" s="111">
        <f>AE104-AE105</f>
        <v/>
      </c>
      <c r="AF106" s="111">
        <f>AF104-AF105</f>
        <v/>
      </c>
      <c r="AG106" s="111">
        <f>AG104-AG105</f>
        <v/>
      </c>
      <c r="AH106" s="111">
        <f>AH104-AH105</f>
        <v/>
      </c>
      <c r="AI106" s="111">
        <f>AI104-AI105</f>
        <v/>
      </c>
      <c r="AJ106" s="111">
        <f>AJ104-AJ105</f>
        <v/>
      </c>
      <c r="AK106" s="111">
        <f>AK104-AK105</f>
        <v/>
      </c>
      <c r="AL106" s="111">
        <f>AL104-AL105</f>
        <v/>
      </c>
      <c r="AM106" s="111">
        <f>AM104-AM105</f>
        <v/>
      </c>
      <c r="AN106" s="111">
        <f>AN104-AN105</f>
        <v/>
      </c>
      <c r="AO106" s="111">
        <f>AO104-AO105</f>
        <v/>
      </c>
      <c r="AP106" s="110">
        <f>AP104-AP105</f>
        <v/>
      </c>
      <c r="AQ106" s="110">
        <f>AQ104-AQ105</f>
        <v/>
      </c>
      <c r="AR106" s="110">
        <f>AR104-AR105</f>
        <v/>
      </c>
      <c r="AS106" s="110">
        <f>AS104-AS105</f>
        <v/>
      </c>
      <c r="AT106" s="110">
        <f>AT104-AT105</f>
        <v/>
      </c>
      <c r="AU106" s="110">
        <f>AU104-AU105</f>
        <v/>
      </c>
      <c r="AV106" s="110">
        <f>AV104-AV105</f>
        <v/>
      </c>
      <c r="AW106" s="110">
        <f>AW104-AW105</f>
        <v/>
      </c>
      <c r="AX106" s="110">
        <f>AX104-AX105</f>
        <v/>
      </c>
      <c r="AY106" s="110">
        <f>AY104-AY105</f>
        <v/>
      </c>
      <c r="AZ106" s="110">
        <f>AZ104-AZ105</f>
        <v/>
      </c>
      <c r="BA106" s="110">
        <f>BA104-BA105</f>
        <v/>
      </c>
      <c r="BB106" s="110">
        <f>BB104-BB105</f>
        <v/>
      </c>
    </row>
    <row r="107" hidden="1" customFormat="1" s="20">
      <c r="B107" s="171" t="inlineStr">
        <is>
          <t>LINEAR</t>
        </is>
      </c>
      <c r="C107" s="20">
        <f>1/52*C16</f>
        <v/>
      </c>
      <c r="D107" s="20">
        <f>1/52*D16</f>
        <v/>
      </c>
      <c r="E107" s="20">
        <f>1/52*E16</f>
        <v/>
      </c>
      <c r="F107" s="20">
        <f>1/52*F16</f>
        <v/>
      </c>
      <c r="G107" s="20">
        <f>1/52*G16</f>
        <v/>
      </c>
      <c r="H107" s="20">
        <f>1/52*H16</f>
        <v/>
      </c>
      <c r="I107" s="20">
        <f>1/52*I16</f>
        <v/>
      </c>
      <c r="J107" s="20">
        <f>1/52*J16</f>
        <v/>
      </c>
      <c r="K107" s="20">
        <f>1/52*K16</f>
        <v/>
      </c>
      <c r="L107" s="20">
        <f>1/52*L16</f>
        <v/>
      </c>
      <c r="M107" s="20">
        <f>1/52*M16</f>
        <v/>
      </c>
      <c r="N107" s="20">
        <f>1/52*N16</f>
        <v/>
      </c>
      <c r="O107" s="20">
        <f>1/52*O16</f>
        <v/>
      </c>
      <c r="P107" s="20">
        <f>1/52*P16</f>
        <v/>
      </c>
      <c r="Q107" s="20">
        <f>1/52*Q16</f>
        <v/>
      </c>
      <c r="R107" s="20">
        <f>1/52*R16</f>
        <v/>
      </c>
      <c r="S107" s="20">
        <f>1/52*S16</f>
        <v/>
      </c>
      <c r="T107" s="20">
        <f>1/52*T16</f>
        <v/>
      </c>
      <c r="U107" s="20">
        <f>1/52*U16</f>
        <v/>
      </c>
      <c r="V107" s="20">
        <f>1/52*V16</f>
        <v/>
      </c>
      <c r="W107" s="20">
        <f>1/52*W16</f>
        <v/>
      </c>
      <c r="X107" s="20">
        <f>1/52*X16</f>
        <v/>
      </c>
      <c r="Y107" s="20">
        <f>1/52*Y16</f>
        <v/>
      </c>
      <c r="Z107" s="20">
        <f>1/52*Z16</f>
        <v/>
      </c>
      <c r="AA107" s="20">
        <f>1/52*AA16</f>
        <v/>
      </c>
      <c r="AB107" s="20">
        <f>1/52*AB16</f>
        <v/>
      </c>
      <c r="AC107" s="20">
        <f>1/52*AC16</f>
        <v/>
      </c>
      <c r="AD107" s="20">
        <f>1/52*AD16</f>
        <v/>
      </c>
      <c r="AE107" s="20">
        <f>1/52*AE16</f>
        <v/>
      </c>
      <c r="AF107" s="20">
        <f>1/52*AF16</f>
        <v/>
      </c>
      <c r="AG107" s="20">
        <f>1/52*AG16</f>
        <v/>
      </c>
      <c r="AH107" s="20">
        <f>1/52*AH16</f>
        <v/>
      </c>
      <c r="AI107" s="20">
        <f>1/52*AI16</f>
        <v/>
      </c>
      <c r="AJ107" s="20">
        <f>1/52*AJ16</f>
        <v/>
      </c>
      <c r="AK107" s="20">
        <f>1/52*AK16</f>
        <v/>
      </c>
      <c r="AL107" s="20">
        <f>1/52*AL16</f>
        <v/>
      </c>
      <c r="AM107" s="20">
        <f>1/52*AM16</f>
        <v/>
      </c>
      <c r="AN107" s="20">
        <f>1/52*AN16</f>
        <v/>
      </c>
      <c r="AO107" s="20">
        <f>1/52*AO16</f>
        <v/>
      </c>
      <c r="AP107" s="20">
        <f>1/52*AP16</f>
        <v/>
      </c>
      <c r="AQ107" s="20">
        <f>1/52*AQ16</f>
        <v/>
      </c>
      <c r="AR107" s="20">
        <f>1/52*AR16</f>
        <v/>
      </c>
      <c r="AS107" s="20">
        <f>1/52*AS16</f>
        <v/>
      </c>
      <c r="AT107" s="20">
        <f>1/52*AT16</f>
        <v/>
      </c>
      <c r="AU107" s="20">
        <f>1/52*AU16</f>
        <v/>
      </c>
      <c r="AV107" s="20">
        <f>1/52*AV16</f>
        <v/>
      </c>
      <c r="AW107" s="20">
        <f>1/52*AW16</f>
        <v/>
      </c>
      <c r="AX107" s="20">
        <f>1/52*AX16</f>
        <v/>
      </c>
      <c r="AY107" s="20">
        <f>1/52*AY16</f>
        <v/>
      </c>
      <c r="AZ107" s="20">
        <f>1/52*AZ16</f>
        <v/>
      </c>
      <c r="BA107" s="20">
        <f>1/52*BA16</f>
        <v/>
      </c>
      <c r="BB107" s="20">
        <f>1/52*BB16</f>
        <v/>
      </c>
    </row>
    <row r="108" hidden="1" s="701"/>
    <row r="109" hidden="1" s="701"/>
    <row r="110" hidden="1" s="701"/>
    <row r="111" hidden="1" s="701"/>
    <row r="112" hidden="1" s="701"/>
    <row r="113" hidden="1" s="701"/>
    <row r="114" hidden="1" s="701"/>
    <row r="115" hidden="1" s="701"/>
    <row r="116" hidden="1" s="701"/>
    <row r="117" hidden="1" s="701"/>
    <row r="118" hidden="1" s="701"/>
    <row r="119" hidden="1" s="701"/>
    <row r="120" hidden="1" s="701"/>
    <row r="121" hidden="1" s="701"/>
    <row r="122" hidden="1" s="701"/>
    <row r="123" hidden="1" s="701"/>
    <row r="124" hidden="1" s="701"/>
    <row r="125" hidden="1" s="701"/>
    <row r="126" hidden="1" s="701"/>
    <row r="127" hidden="1" s="701"/>
    <row r="128" hidden="1" s="701"/>
    <row r="129" hidden="1" s="701"/>
    <row r="130" hidden="1" s="701"/>
    <row r="131" hidden="1" s="701"/>
    <row r="132" hidden="1" s="701"/>
    <row r="133" hidden="1" s="701"/>
    <row r="134" hidden="1" s="701"/>
    <row r="135" hidden="1" s="701"/>
    <row r="136" hidden="1" s="701"/>
    <row r="137" hidden="1" s="701"/>
    <row r="138" hidden="1" s="701"/>
    <row r="139" hidden="1" s="701"/>
    <row r="140" hidden="1" s="701"/>
    <row r="141" hidden="1" s="701"/>
    <row r="142" hidden="1" s="701"/>
    <row r="143" hidden="1" s="701"/>
    <row r="144" hidden="1" s="701"/>
    <row r="145" hidden="1" s="701"/>
  </sheetData>
  <conditionalFormatting sqref="C1:BB1">
    <cfRule type="expression" priority="21" dxfId="265">
      <formula>VALUE(RIGHT(C$1,2))=VALUE(WEEKNUM(TODAY(),21))</formula>
    </cfRule>
  </conditionalFormatting>
  <conditionalFormatting sqref="C3:BB3">
    <cfRule type="cellIs" priority="20" operator="greaterThan" dxfId="161">
      <formula>C$5</formula>
    </cfRule>
  </conditionalFormatting>
  <conditionalFormatting sqref="C4:BB4">
    <cfRule type="cellIs" priority="19" operator="greaterThan" dxfId="161">
      <formula>C$6</formula>
    </cfRule>
  </conditionalFormatting>
  <conditionalFormatting sqref="C9:BB9">
    <cfRule type="cellIs" priority="18" operator="lessThan" dxfId="187">
      <formula>0</formula>
    </cfRule>
  </conditionalFormatting>
  <conditionalFormatting sqref="B25">
    <cfRule type="expression" priority="17" dxfId="396">
      <formula>MOD(ROW(),2)</formula>
    </cfRule>
  </conditionalFormatting>
  <conditionalFormatting sqref="B26">
    <cfRule type="expression" priority="16" dxfId="396">
      <formula>MOD(ROW(),2)</formula>
    </cfRule>
  </conditionalFormatting>
  <conditionalFormatting sqref="B27">
    <cfRule type="expression" priority="15" dxfId="396">
      <formula>MOD(ROW(),2)</formula>
    </cfRule>
  </conditionalFormatting>
  <conditionalFormatting sqref="B29">
    <cfRule type="expression" priority="14" dxfId="396">
      <formula>MOD(ROW(),2)</formula>
    </cfRule>
  </conditionalFormatting>
  <conditionalFormatting sqref="B30">
    <cfRule type="expression" priority="13" dxfId="396">
      <formula>MOD(ROW(),2)</formula>
    </cfRule>
  </conditionalFormatting>
  <conditionalFormatting sqref="B31">
    <cfRule type="expression" priority="12" dxfId="396">
      <formula>MOD(ROW(),2)</formula>
    </cfRule>
  </conditionalFormatting>
  <conditionalFormatting sqref="B36">
    <cfRule type="expression" priority="11" dxfId="396">
      <formula>MOD(ROW(),2)</formula>
    </cfRule>
  </conditionalFormatting>
  <conditionalFormatting sqref="B37">
    <cfRule type="expression" priority="10" dxfId="396">
      <formula>MOD(ROW(),2)</formula>
    </cfRule>
  </conditionalFormatting>
  <conditionalFormatting sqref="B38">
    <cfRule type="expression" priority="9" dxfId="396">
      <formula>MOD(ROW(),2)</formula>
    </cfRule>
  </conditionalFormatting>
  <conditionalFormatting sqref="B40">
    <cfRule type="expression" priority="8" dxfId="396">
      <formula>MOD(ROW(),2)</formula>
    </cfRule>
  </conditionalFormatting>
  <conditionalFormatting sqref="B41">
    <cfRule type="expression" priority="7" dxfId="396">
      <formula>MOD(ROW(),2)</formula>
    </cfRule>
  </conditionalFormatting>
  <conditionalFormatting sqref="B42">
    <cfRule type="expression" priority="6" dxfId="396">
      <formula>MOD(ROW(),2)</formula>
    </cfRule>
  </conditionalFormatting>
  <conditionalFormatting sqref="B28">
    <cfRule type="expression" priority="5" dxfId="396">
      <formula>MOD(ROW(),2)</formula>
    </cfRule>
  </conditionalFormatting>
  <conditionalFormatting sqref="B39">
    <cfRule type="expression" priority="4" dxfId="396">
      <formula>MOD(ROW(),2)</formula>
    </cfRule>
  </conditionalFormatting>
  <conditionalFormatting sqref="B43:B44">
    <cfRule type="expression" priority="2" dxfId="396">
      <formula>MOD(ROW(),2)</formula>
    </cfRule>
  </conditionalFormatting>
  <conditionalFormatting sqref="B32">
    <cfRule type="expression" priority="1" dxfId="396">
      <formula>MOD(ROW(),2)</formula>
    </cfRule>
  </conditionalFormatting>
  <pageMargins left="0.7" right="0.7" top="0.75" bottom="0.75" header="0.3" footer="0.3"/>
  <pageSetup orientation="landscape" scale="17" fitToHeight="0"/>
  <drawing r:id="rId1"/>
  <legacyDrawing r:id="anysvml"/>
</worksheet>
</file>

<file path=xl/worksheets/sheet4.xml><?xml version="1.0" encoding="utf-8"?>
<worksheet xmlns="http://schemas.openxmlformats.org/spreadsheetml/2006/main">
  <sheetPr codeName="Sheet1">
    <outlinePr summaryBelow="1" summaryRight="1"/>
    <pageSetUpPr fitToPage="1"/>
  </sheetPr>
  <dimension ref="A1:AS62"/>
  <sheetViews>
    <sheetView zoomScaleNormal="10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7" sqref="B37"/>
    </sheetView>
  </sheetViews>
  <sheetFormatPr baseColWidth="10" defaultColWidth="8.88671875" defaultRowHeight="14.4" outlineLevelRow="1"/>
  <cols>
    <col hidden="1" outlineLevel="1" width="14.5546875" customWidth="1" style="701" min="1" max="1"/>
    <col collapsed="1" width="50.88671875" bestFit="1" customWidth="1" style="349" min="2" max="2"/>
    <col width="4.88671875" bestFit="1" customWidth="1" style="349" min="3" max="3"/>
    <col width="1.88671875" customWidth="1" style="701" min="4" max="4"/>
    <col width="10.5546875" bestFit="1" customWidth="1" style="349" min="5" max="6"/>
    <col width="12.5546875" bestFit="1" customWidth="1" style="59" min="7" max="7"/>
    <col width="1.88671875" customWidth="1" style="701" min="8" max="8"/>
    <col width="11.88671875" customWidth="1" style="700" min="9" max="9"/>
    <col width="10.88671875" customWidth="1" style="700" min="10" max="18"/>
    <col outlineLevel="1" width="10.88671875" customWidth="1" style="700" min="19" max="20"/>
    <col width="1.88671875" customWidth="1" style="701" min="21" max="21"/>
    <col hidden="1" outlineLevel="1" width="8.44140625" customWidth="1" style="700" min="22" max="23"/>
    <col hidden="1" outlineLevel="1" width="8.88671875" customWidth="1" style="700" min="24" max="30"/>
    <col collapsed="1" width="2.5546875" customWidth="1" style="121" min="31" max="31"/>
    <col width="12.44140625" bestFit="1" customWidth="1" style="700" min="32" max="32"/>
    <col width="13.5546875" bestFit="1" customWidth="1" style="700" min="33" max="33"/>
    <col width="14.5546875" bestFit="1" customWidth="1" style="701" min="34" max="34"/>
    <col width="3.109375" customWidth="1" style="701" min="35" max="35"/>
    <col width="14.109375" bestFit="1" customWidth="1" style="700" min="36" max="36"/>
    <col width="15.5546875" bestFit="1" customWidth="1" style="700" min="37" max="37"/>
    <col width="8.88671875" customWidth="1" style="701" min="38" max="49"/>
    <col width="8.88671875" customWidth="1" style="701" min="50" max="16384"/>
  </cols>
  <sheetData>
    <row r="1" hidden="1" outlineLevel="1" s="701">
      <c r="B1" s="349" t="inlineStr">
        <is>
          <t>Year</t>
        </is>
      </c>
      <c r="E1" s="349" t="n">
        <v>2020</v>
      </c>
      <c r="F1" s="349" t="n">
        <v>2021</v>
      </c>
      <c r="G1" s="59" t="n">
        <v>2022</v>
      </c>
      <c r="I1" s="59" t="n">
        <v>2021</v>
      </c>
      <c r="J1" s="59" t="n">
        <v>2021</v>
      </c>
      <c r="K1" s="59" t="n">
        <v>2021</v>
      </c>
      <c r="L1" s="59" t="n">
        <v>2021</v>
      </c>
      <c r="M1" s="59" t="n">
        <v>2021</v>
      </c>
      <c r="N1" s="59" t="n">
        <v>2021</v>
      </c>
      <c r="O1" s="59" t="n">
        <v>2021</v>
      </c>
      <c r="P1" s="59" t="n">
        <v>2021</v>
      </c>
      <c r="Q1" s="59" t="n">
        <v>2021</v>
      </c>
      <c r="R1" s="59" t="n">
        <v>2021</v>
      </c>
      <c r="S1" s="59" t="n">
        <v>2021</v>
      </c>
      <c r="T1" s="59" t="n">
        <v>2021</v>
      </c>
      <c r="V1" s="59" t="n">
        <v>2021</v>
      </c>
      <c r="W1" s="59" t="n">
        <v>2021</v>
      </c>
      <c r="X1" s="59" t="n">
        <v>2021</v>
      </c>
      <c r="Y1" s="59" t="n">
        <v>2021</v>
      </c>
      <c r="Z1" s="59" t="n">
        <v>2021</v>
      </c>
      <c r="AA1" s="59" t="n">
        <v>2021</v>
      </c>
      <c r="AB1" s="59" t="n">
        <v>2021</v>
      </c>
      <c r="AC1" s="59" t="n">
        <v>2021</v>
      </c>
      <c r="AD1" s="59" t="n">
        <v>2021</v>
      </c>
      <c r="AE1" s="260" t="n"/>
      <c r="AF1" s="59" t="n">
        <v>2021</v>
      </c>
      <c r="AG1" s="59" t="n">
        <v>2022</v>
      </c>
      <c r="AH1" s="59" t="n">
        <v>2021</v>
      </c>
      <c r="AJ1" s="700" t="n">
        <v>2020</v>
      </c>
      <c r="AK1" s="59" t="n">
        <v>2022</v>
      </c>
    </row>
    <row r="2" hidden="1" outlineLevel="1" s="701">
      <c r="B2" s="349" t="inlineStr">
        <is>
          <t>Month</t>
        </is>
      </c>
      <c r="E2" s="349" t="inlineStr">
        <is>
          <t>12 YTD</t>
        </is>
      </c>
      <c r="F2" s="349">
        <f>MONTH(TODAY())-1&amp;" YTD"</f>
        <v/>
      </c>
      <c r="G2" s="349" t="inlineStr">
        <is>
          <t>12 YTD</t>
        </is>
      </c>
      <c r="I2" s="59" t="n">
        <v>1</v>
      </c>
      <c r="J2" s="59" t="n">
        <v>2</v>
      </c>
      <c r="K2" s="59" t="n">
        <v>3</v>
      </c>
      <c r="L2" s="59" t="n">
        <v>4</v>
      </c>
      <c r="M2" s="59" t="n">
        <v>5</v>
      </c>
      <c r="N2" s="59" t="n">
        <v>6</v>
      </c>
      <c r="O2" s="59" t="n">
        <v>7</v>
      </c>
      <c r="P2" s="59" t="n">
        <v>8</v>
      </c>
      <c r="Q2" s="59" t="n">
        <v>9</v>
      </c>
      <c r="R2" s="59" t="n">
        <v>10</v>
      </c>
      <c r="S2" s="59" t="n">
        <v>11</v>
      </c>
      <c r="T2" s="59" t="n">
        <v>12</v>
      </c>
      <c r="V2" s="59" t="n">
        <v>4</v>
      </c>
      <c r="W2" s="59" t="n">
        <v>5</v>
      </c>
      <c r="X2" s="59" t="n">
        <v>6</v>
      </c>
      <c r="Y2" s="59" t="n">
        <v>7</v>
      </c>
      <c r="Z2" s="59" t="n">
        <v>8</v>
      </c>
      <c r="AA2" s="59" t="n">
        <v>9</v>
      </c>
      <c r="AB2" s="59" t="n">
        <v>10</v>
      </c>
      <c r="AC2" s="59" t="n">
        <v>11</v>
      </c>
      <c r="AD2" s="59" t="n">
        <v>12</v>
      </c>
      <c r="AE2" s="260" t="n"/>
      <c r="AF2" s="349">
        <f>MONTH(TODAY())-1&amp;" YTD"</f>
        <v/>
      </c>
      <c r="AG2" s="349">
        <f>MONTH(TODAY())-1&amp;" YTD"</f>
        <v/>
      </c>
      <c r="AH2" s="349">
        <f>MONTH(TODAY())-1&amp;" YTD"</f>
        <v/>
      </c>
      <c r="AJ2" s="59" t="inlineStr">
        <is>
          <t>12 YTD</t>
        </is>
      </c>
      <c r="AK2" s="59" t="inlineStr">
        <is>
          <t>12 YTD</t>
        </is>
      </c>
    </row>
    <row r="3" hidden="1" outlineLevel="1" s="701">
      <c r="B3" s="349" t="inlineStr">
        <is>
          <t>ø</t>
        </is>
      </c>
      <c r="E3" s="349" t="n">
        <v>12</v>
      </c>
      <c r="F3" s="349">
        <f>LEFT(F$2,2)*1</f>
        <v/>
      </c>
      <c r="G3" s="349" t="n">
        <v>12</v>
      </c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260" t="n"/>
      <c r="AF3" s="59" t="n"/>
      <c r="AG3" s="59" t="n"/>
      <c r="AK3" s="59" t="n"/>
    </row>
    <row r="4" collapsed="1" s="701"/>
    <row r="5">
      <c r="B5" s="349">
        <f>YEAR(TODAY())</f>
        <v/>
      </c>
      <c r="C5" s="349">
        <f>MONTH(TODAY())</f>
        <v/>
      </c>
    </row>
    <row r="6">
      <c r="B6" s="700" t="n"/>
      <c r="C6" s="700" t="n"/>
      <c r="E6" s="259" t="inlineStr">
        <is>
          <t>Ø 2020</t>
        </is>
      </c>
      <c r="F6" s="269" t="inlineStr">
        <is>
          <t>Ø 2021</t>
        </is>
      </c>
      <c r="G6" s="270" t="inlineStr">
        <is>
          <t>Ø 2022</t>
        </is>
      </c>
      <c r="I6" s="269">
        <f>TEXT(I$2,"00")&amp;" "&amp;I$1</f>
        <v/>
      </c>
      <c r="J6" s="269">
        <f>TEXT(J$2,"00")&amp;" "&amp;J$1</f>
        <v/>
      </c>
      <c r="K6" s="269">
        <f>TEXT(K$2,"00")&amp;" "&amp;K$1</f>
        <v/>
      </c>
      <c r="L6" s="269">
        <f>TEXT(L$2,"00")&amp;" "&amp;L$1</f>
        <v/>
      </c>
      <c r="M6" s="269">
        <f>TEXT(M$2,"00")&amp;" "&amp;M$1</f>
        <v/>
      </c>
      <c r="N6" s="263" t="inlineStr">
        <is>
          <t>6 2021</t>
        </is>
      </c>
      <c r="O6" s="263" t="inlineStr">
        <is>
          <t>7 2021</t>
        </is>
      </c>
      <c r="P6" s="263" t="inlineStr">
        <is>
          <t>8 2021</t>
        </is>
      </c>
      <c r="Q6" s="263" t="inlineStr">
        <is>
          <t>9 2021</t>
        </is>
      </c>
      <c r="R6" s="263" t="inlineStr">
        <is>
          <t>10 2021</t>
        </is>
      </c>
      <c r="S6" s="263" t="inlineStr">
        <is>
          <t>11 2021</t>
        </is>
      </c>
      <c r="T6" s="263" t="inlineStr">
        <is>
          <t>12 2021</t>
        </is>
      </c>
      <c r="V6" s="782" t="inlineStr">
        <is>
          <t>04 2021</t>
        </is>
      </c>
      <c r="W6" s="782" t="inlineStr">
        <is>
          <t>05 2021</t>
        </is>
      </c>
      <c r="X6" s="782" t="inlineStr">
        <is>
          <t>06 2021</t>
        </is>
      </c>
      <c r="Y6" s="782" t="inlineStr">
        <is>
          <t>07 2021</t>
        </is>
      </c>
      <c r="Z6" s="782" t="inlineStr">
        <is>
          <t>08 2021</t>
        </is>
      </c>
      <c r="AA6" s="782" t="inlineStr">
        <is>
          <t>09 2021</t>
        </is>
      </c>
      <c r="AB6" s="782" t="inlineStr">
        <is>
          <t>10 2021</t>
        </is>
      </c>
      <c r="AC6" s="782" t="inlineStr">
        <is>
          <t>11 2021</t>
        </is>
      </c>
      <c r="AD6" s="782" t="inlineStr">
        <is>
          <t>12 2021</t>
        </is>
      </c>
      <c r="AE6" s="783" t="n"/>
      <c r="AF6" s="269">
        <f>AF$2&amp;" "&amp;AF$1</f>
        <v/>
      </c>
      <c r="AG6" s="270">
        <f>AG$2&amp;" "&amp;AG$1</f>
        <v/>
      </c>
      <c r="AH6" s="261">
        <f>AH$2&amp;" "&amp;AH$1</f>
        <v/>
      </c>
      <c r="AJ6" s="244">
        <f>AJ$2&amp;" "&amp;AJ$1</f>
        <v/>
      </c>
      <c r="AK6" s="270">
        <f>AK$2&amp;" "&amp;AK$1</f>
        <v/>
      </c>
    </row>
    <row r="7">
      <c r="C7" s="700" t="inlineStr">
        <is>
          <t>UNIT</t>
        </is>
      </c>
      <c r="E7" s="259" t="inlineStr">
        <is>
          <t>ACT</t>
        </is>
      </c>
      <c r="F7" s="269" t="inlineStr">
        <is>
          <t>ACT</t>
        </is>
      </c>
      <c r="G7" s="270" t="inlineStr">
        <is>
          <t>PLAN</t>
        </is>
      </c>
      <c r="I7" s="269" t="inlineStr">
        <is>
          <t>ACT</t>
        </is>
      </c>
      <c r="J7" s="269" t="inlineStr">
        <is>
          <t>ACT</t>
        </is>
      </c>
      <c r="K7" s="269" t="inlineStr">
        <is>
          <t>ACT</t>
        </is>
      </c>
      <c r="L7" s="269" t="inlineStr">
        <is>
          <t>ACT</t>
        </is>
      </c>
      <c r="M7" s="269" t="inlineStr">
        <is>
          <t>ACT</t>
        </is>
      </c>
      <c r="N7" s="263" t="inlineStr">
        <is>
          <t>ACT</t>
        </is>
      </c>
      <c r="O7" s="263" t="inlineStr">
        <is>
          <t>ACT</t>
        </is>
      </c>
      <c r="P7" s="263" t="inlineStr">
        <is>
          <t>ACT</t>
        </is>
      </c>
      <c r="Q7" s="263" t="inlineStr">
        <is>
          <t>ACT</t>
        </is>
      </c>
      <c r="R7" s="263" t="inlineStr">
        <is>
          <t>ACT</t>
        </is>
      </c>
      <c r="S7" s="263" t="inlineStr">
        <is>
          <t>ACT</t>
        </is>
      </c>
      <c r="T7" s="263" t="inlineStr">
        <is>
          <t>ACT</t>
        </is>
      </c>
      <c r="V7" s="782" t="inlineStr">
        <is>
          <t>FCST</t>
        </is>
      </c>
      <c r="W7" s="782" t="inlineStr">
        <is>
          <t>FCST</t>
        </is>
      </c>
      <c r="X7" s="782" t="inlineStr">
        <is>
          <t>FCST</t>
        </is>
      </c>
      <c r="Y7" s="782" t="inlineStr">
        <is>
          <t>FCST</t>
        </is>
      </c>
      <c r="Z7" s="782" t="inlineStr">
        <is>
          <t>FCST</t>
        </is>
      </c>
      <c r="AA7" s="782" t="inlineStr">
        <is>
          <t>FCST</t>
        </is>
      </c>
      <c r="AB7" s="782" t="inlineStr">
        <is>
          <t>FCST</t>
        </is>
      </c>
      <c r="AC7" s="782" t="inlineStr">
        <is>
          <t>FCST</t>
        </is>
      </c>
      <c r="AD7" s="782" t="inlineStr">
        <is>
          <t>FCST</t>
        </is>
      </c>
      <c r="AE7" s="783" t="n"/>
      <c r="AF7" s="269" t="inlineStr">
        <is>
          <t xml:space="preserve">ACT </t>
        </is>
      </c>
      <c r="AG7" s="270" t="inlineStr">
        <is>
          <t xml:space="preserve">PLAN </t>
        </is>
      </c>
      <c r="AH7" s="262" t="inlineStr">
        <is>
          <t>∆  ACT PLAN</t>
        </is>
      </c>
      <c r="AJ7" s="244" t="inlineStr">
        <is>
          <t xml:space="preserve">ACT </t>
        </is>
      </c>
      <c r="AK7" s="270" t="inlineStr">
        <is>
          <t xml:space="preserve">PLAN </t>
        </is>
      </c>
    </row>
    <row r="8" customFormat="1" s="329">
      <c r="B8" s="336" t="inlineStr">
        <is>
          <t>Order Intake by Business Field</t>
        </is>
      </c>
      <c r="C8" s="260" t="n"/>
      <c r="E8" s="784" t="n"/>
      <c r="F8" s="784" t="n"/>
      <c r="G8" s="785" t="n"/>
      <c r="I8" s="785" t="n"/>
      <c r="J8" s="785" t="n"/>
      <c r="K8" s="785" t="n"/>
      <c r="L8" s="785" t="n"/>
      <c r="M8" s="785" t="n"/>
      <c r="N8" s="784" t="n"/>
      <c r="O8" s="784" t="n"/>
      <c r="P8" s="784" t="n"/>
      <c r="Q8" s="784" t="n"/>
      <c r="R8" s="784" t="n"/>
      <c r="S8" s="784" t="n"/>
      <c r="T8" s="784" t="n"/>
      <c r="V8" s="786" t="n"/>
      <c r="W8" s="784" t="n"/>
      <c r="X8" s="784" t="n"/>
      <c r="Y8" s="784" t="n"/>
      <c r="Z8" s="784" t="n"/>
      <c r="AA8" s="784" t="n"/>
      <c r="AB8" s="784" t="n"/>
      <c r="AC8" s="784" t="n"/>
      <c r="AD8" s="787" t="n"/>
      <c r="AE8" s="787" t="n"/>
      <c r="AF8" s="256" t="n"/>
      <c r="AG8" s="257" t="n"/>
      <c r="AJ8" s="256" t="n"/>
      <c r="AK8" s="258" t="n"/>
    </row>
    <row r="9">
      <c r="A9" s="160" t="inlineStr">
        <is>
          <t>GSE</t>
        </is>
      </c>
      <c r="B9" s="267" t="inlineStr">
        <is>
          <t>BU GSE</t>
        </is>
      </c>
      <c r="C9" s="349" t="inlineStr">
        <is>
          <t>k €</t>
        </is>
      </c>
      <c r="E9" s="788">
        <f>$AJ9/E$3</f>
        <v/>
      </c>
      <c r="F9" s="788">
        <f>IFERROR(1/F$3,1)*SUMIFS(Data!$S$3:$S$305,Data!$O$3:$O$305,F$1,Data!$P$3:$P$305,IF(RIGHT(F$2,3)="YTD","&lt;="&amp;LEFT(F$2,2)*1,F$2),Data!$K$3:$K$305,$B9)</f>
        <v/>
      </c>
      <c r="G9" s="788">
        <f>AK9/12</f>
        <v/>
      </c>
      <c r="I9" s="788">
        <f>IFERROR(1/I$3,1)*SUMIFS(tbl_DCFC[C Montant € HT],tbl_DCFC[OI_Year],I$1,tbl_DCFC[OI_Month],IF(RIGHT(I$2,3)="YTD","&lt;="&amp;LEFT(I$2,2)*1,I$2),tbl_DCFC[BU_Key],$A9)</f>
        <v/>
      </c>
      <c r="J9" s="788">
        <f>IFERROR(1/J$3,1)*SUMIFS(tbl_DCFC[C Montant € HT],tbl_DCFC[OI_Year],J$1,tbl_DCFC[OI_Month],IF(RIGHT(J$2,3)="YTD","&lt;="&amp;LEFT(J$2,2)*1,J$2),tbl_DCFC[BU_Key],$A9)</f>
        <v/>
      </c>
      <c r="K9" s="788">
        <f>IFERROR(1/K$3,1)*SUMIFS(tbl_DCFC[C Montant € HT],tbl_DCFC[OI_Year],K$1,tbl_DCFC[OI_Month],IF(RIGHT(K$2,3)="YTD","&lt;="&amp;LEFT(K$2,2)*1,K$2),tbl_DCFC[BU_Key],$A9)</f>
        <v/>
      </c>
      <c r="L9" s="788">
        <f>IFERROR(1/L$3,1)*SUMIFS(tbl_DCFC[C Montant € HT],tbl_DCFC[OI_Year],L$1,tbl_DCFC[OI_Month],IF(RIGHT(L$2,3)="YTD","&lt;="&amp;LEFT(L$2,2)*1,L$2),tbl_DCFC[BU_Key],$A9)</f>
        <v/>
      </c>
      <c r="M9" s="788">
        <f>IFERROR(1/M$3,1)*SUMIFS(tbl_DCFC[C Montant € HT],tbl_DCFC[OI_Year],M$1,tbl_DCFC[OI_Month],IF(RIGHT(M$2,3)="YTD","&lt;="&amp;LEFT(M$2,2)*1,M$2),tbl_DCFC[BU_Key],$A9)</f>
        <v/>
      </c>
      <c r="N9" s="788">
        <f>IFERROR(1/N$3,1)*SUMIFS(tbl_DCFC[C Montant € HT],tbl_DCFC[OI_Year],N$1,tbl_DCFC[OI_Month],IF(RIGHT(N$2,3)="YTD","&lt;="&amp;LEFT(N$2,2)*1,N$2),tbl_DCFC[BU_Key],$A9)</f>
        <v/>
      </c>
      <c r="O9" s="788">
        <f>IFERROR(1/O$3,1)*SUMIFS(tbl_DCFC[C Montant € HT],tbl_DCFC[OI_Year],O$1,tbl_DCFC[OI_Month],IF(RIGHT(O$2,3)="YTD","&lt;="&amp;LEFT(O$2,2)*1,O$2),tbl_DCFC[BU_Key],$A9)</f>
        <v/>
      </c>
      <c r="P9" s="788">
        <f>IFERROR(1/P$3,1)*SUMIFS(tbl_DCFC[C Montant € HT],tbl_DCFC[OI_Year],P$1,tbl_DCFC[OI_Month],IF(RIGHT(P$2,3)="YTD","&lt;="&amp;LEFT(P$2,2)*1,P$2),tbl_DCFC[BU_Key],$A9)</f>
        <v/>
      </c>
      <c r="Q9" s="788">
        <f>IFERROR(1/Q$3,1)*SUMIFS(tbl_DCFC[C Montant € HT],tbl_DCFC[OI_Year],Q$1,tbl_DCFC[OI_Month],IF(RIGHT(Q$2,3)="YTD","&lt;="&amp;LEFT(Q$2,2)*1,Q$2),tbl_DCFC[BU_Key],$A9)</f>
        <v/>
      </c>
      <c r="R9" s="788">
        <f>IFERROR(1/R$3,1)*SUMIFS(tbl_DCFC[C Montant € HT],tbl_DCFC[OI_Year],R$1,tbl_DCFC[OI_Month],IF(RIGHT(R$2,3)="YTD","&lt;="&amp;LEFT(R$2,2)*1,R$2),tbl_DCFC[BU_Key],$A9)</f>
        <v/>
      </c>
      <c r="S9" s="788">
        <f>IFERROR(1/S$3,1)*SUMIFS(tbl_DCFC[C Montant € HT],tbl_DCFC[OI_Year],S$1,tbl_DCFC[OI_Month],IF(RIGHT(S$2,3)="YTD","&lt;="&amp;LEFT(S$2,2)*1,S$2),tbl_DCFC[BU_Key],$A9)</f>
        <v/>
      </c>
      <c r="T9" s="788">
        <f>IFERROR(1/T$3,1)*SUMIFS(tbl_DCFC[C Montant € HT],tbl_DCFC[OI_Year],T$1,tbl_DCFC[OI_Month],IF(RIGHT(T$2,3)="YTD","&lt;="&amp;LEFT(T$2,2)*1,T$2),tbl_DCFC[BU_Key],$A9)</f>
        <v/>
      </c>
      <c r="V9" s="788">
        <f>G9</f>
        <v/>
      </c>
      <c r="W9" s="788">
        <f>$G9</f>
        <v/>
      </c>
      <c r="X9" s="788">
        <f>$G9</f>
        <v/>
      </c>
      <c r="Y9" s="788">
        <f>$G9</f>
        <v/>
      </c>
      <c r="Z9" s="788">
        <f>$G9</f>
        <v/>
      </c>
      <c r="AA9" s="788">
        <f>$G9</f>
        <v/>
      </c>
      <c r="AB9" s="788">
        <f>$G9</f>
        <v/>
      </c>
      <c r="AC9" s="788">
        <f>$G9</f>
        <v/>
      </c>
      <c r="AD9" s="788">
        <f>$G9</f>
        <v/>
      </c>
      <c r="AE9" s="788" t="n"/>
      <c r="AF9" s="788">
        <f>IFERROR(1/AF$3,1)*SUMIFS(tbl_DCFC[C Montant € HT],tbl_DCFC[OI_Year],AF$1,tbl_DCFC[OI_Month],IF(RIGHT(AF$2,3)="YTD","&lt;="&amp;LEFT(AF$2,2)*1,AF$2),tbl_DCFC[BU_Key],$A9)</f>
        <v/>
      </c>
      <c r="AG9" s="788">
        <f>AK9/12*LEFT(AG$2,2)*1</f>
        <v/>
      </c>
      <c r="AH9" s="789">
        <f>AF9-AG9</f>
        <v/>
      </c>
      <c r="AJ9" s="788" t="n"/>
      <c r="AK9" s="788" t="n">
        <v>0</v>
      </c>
    </row>
    <row r="10">
      <c r="A10" t="inlineStr">
        <is>
          <t>TOO</t>
        </is>
      </c>
      <c r="B10" s="267" t="inlineStr">
        <is>
          <t>BU Tooling</t>
        </is>
      </c>
      <c r="C10" s="349" t="inlineStr">
        <is>
          <t>k €</t>
        </is>
      </c>
      <c r="E10" s="788">
        <f>$AJ10/E$3</f>
        <v/>
      </c>
      <c r="F10" s="788">
        <f>IFERROR(1/F$3,1)*SUMIFS(Data!$S$3:$S$305,Data!$O$3:$O$305,F$1,Data!$P$3:$P$305,IF(RIGHT(F$2,3)="YTD","&lt;="&amp;LEFT(F$2,2)*1,F$2),Data!$K$3:$K$305,$B10)</f>
        <v/>
      </c>
      <c r="G10" s="788">
        <f>AK10/12</f>
        <v/>
      </c>
      <c r="I10" s="788">
        <f>IFERROR(1/I$3,1)*SUMIFS(tbl_DCFC[C Montant € HT],tbl_DCFC[OI_Year],I$1,tbl_DCFC[OI_Month],IF(RIGHT(I$2,3)="YTD","&lt;="&amp;LEFT(I$2,2)*1,I$2),tbl_DCFC[BU_Key],$A10)</f>
        <v/>
      </c>
      <c r="J10" s="788">
        <f>IFERROR(1/J$3,1)*SUMIFS(tbl_DCFC[C Montant € HT],tbl_DCFC[OI_Year],J$1,tbl_DCFC[OI_Month],IF(RIGHT(J$2,3)="YTD","&lt;="&amp;LEFT(J$2,2)*1,J$2),tbl_DCFC[BU_Key],$A10)</f>
        <v/>
      </c>
      <c r="K10" s="788">
        <f>IFERROR(1/K$3,1)*SUMIFS(tbl_DCFC[C Montant € HT],tbl_DCFC[OI_Year],K$1,tbl_DCFC[OI_Month],IF(RIGHT(K$2,3)="YTD","&lt;="&amp;LEFT(K$2,2)*1,K$2),tbl_DCFC[BU_Key],$A10)</f>
        <v/>
      </c>
      <c r="L10" s="788">
        <f>IFERROR(1/L$3,1)*SUMIFS(tbl_DCFC[C Montant € HT],tbl_DCFC[OI_Year],L$1,tbl_DCFC[OI_Month],IF(RIGHT(L$2,3)="YTD","&lt;="&amp;LEFT(L$2,2)*1,L$2),tbl_DCFC[BU_Key],$A10)</f>
        <v/>
      </c>
      <c r="M10" s="788">
        <f>IFERROR(1/M$3,1)*SUMIFS(tbl_DCFC[C Montant € HT],tbl_DCFC[OI_Year],M$1,tbl_DCFC[OI_Month],IF(RIGHT(M$2,3)="YTD","&lt;="&amp;LEFT(M$2,2)*1,M$2),tbl_DCFC[BU_Key],$A10)</f>
        <v/>
      </c>
      <c r="N10" s="788">
        <f>IFERROR(1/N$3,1)*SUMIFS(tbl_DCFC[C Montant € HT],tbl_DCFC[OI_Year],N$1,tbl_DCFC[OI_Month],IF(RIGHT(N$2,3)="YTD","&lt;="&amp;LEFT(N$2,2)*1,N$2),tbl_DCFC[BU_Key],$A10)</f>
        <v/>
      </c>
      <c r="O10" s="788">
        <f>IFERROR(1/O$3,1)*SUMIFS(tbl_DCFC[C Montant € HT],tbl_DCFC[OI_Year],O$1,tbl_DCFC[OI_Month],IF(RIGHT(O$2,3)="YTD","&lt;="&amp;LEFT(O$2,2)*1,O$2),tbl_DCFC[BU_Key],$A10)</f>
        <v/>
      </c>
      <c r="P10" s="788">
        <f>IFERROR(1/P$3,1)*SUMIFS(tbl_DCFC[C Montant € HT],tbl_DCFC[OI_Year],P$1,tbl_DCFC[OI_Month],IF(RIGHT(P$2,3)="YTD","&lt;="&amp;LEFT(P$2,2)*1,P$2),tbl_DCFC[BU_Key],$A10)</f>
        <v/>
      </c>
      <c r="Q10" s="788">
        <f>IFERROR(1/Q$3,1)*SUMIFS(tbl_DCFC[C Montant € HT],tbl_DCFC[OI_Year],Q$1,tbl_DCFC[OI_Month],IF(RIGHT(Q$2,3)="YTD","&lt;="&amp;LEFT(Q$2,2)*1,Q$2),tbl_DCFC[BU_Key],$A10)</f>
        <v/>
      </c>
      <c r="R10" s="788">
        <f>IFERROR(1/R$3,1)*SUMIFS(tbl_DCFC[C Montant € HT],tbl_DCFC[OI_Year],R$1,tbl_DCFC[OI_Month],IF(RIGHT(R$2,3)="YTD","&lt;="&amp;LEFT(R$2,2)*1,R$2),tbl_DCFC[BU_Key],$A10)</f>
        <v/>
      </c>
      <c r="S10" s="788">
        <f>IFERROR(1/S$3,1)*SUMIFS(tbl_DCFC[C Montant € HT],tbl_DCFC[OI_Year],S$1,tbl_DCFC[OI_Month],IF(RIGHT(S$2,3)="YTD","&lt;="&amp;LEFT(S$2,2)*1,S$2),tbl_DCFC[BU_Key],$A10)</f>
        <v/>
      </c>
      <c r="T10" s="788">
        <f>IFERROR(1/T$3,1)*SUMIFS(tbl_DCFC[C Montant € HT],tbl_DCFC[OI_Year],T$1,tbl_DCFC[OI_Month],IF(RIGHT(T$2,3)="YTD","&lt;="&amp;LEFT(T$2,2)*1,T$2),tbl_DCFC[BU_Key],$A10)</f>
        <v/>
      </c>
      <c r="V10" s="788">
        <f>G10</f>
        <v/>
      </c>
      <c r="W10" s="788">
        <f>$G10</f>
        <v/>
      </c>
      <c r="X10" s="788">
        <f>$G10</f>
        <v/>
      </c>
      <c r="Y10" s="788">
        <f>$G10</f>
        <v/>
      </c>
      <c r="Z10" s="788">
        <f>$G10</f>
        <v/>
      </c>
      <c r="AA10" s="788">
        <f>$G10</f>
        <v/>
      </c>
      <c r="AB10" s="788">
        <f>$G10</f>
        <v/>
      </c>
      <c r="AC10" s="788">
        <f>$G10</f>
        <v/>
      </c>
      <c r="AD10" s="788">
        <f>$G10</f>
        <v/>
      </c>
      <c r="AE10" s="788" t="n"/>
      <c r="AF10" s="788">
        <f>IFERROR(1/AF$3,1)*SUMIFS(tbl_DCFC[C Montant € HT],tbl_DCFC[OI_Year],AF$1,tbl_DCFC[OI_Month],IF(RIGHT(AF$2,3)="YTD","&lt;="&amp;LEFT(AF$2,2)*1,AF$2),tbl_DCFC[BU_Key],$A10)</f>
        <v/>
      </c>
      <c r="AG10" s="788">
        <f>AK10/12*LEFT(AG$2,2)*1</f>
        <v/>
      </c>
      <c r="AH10" s="789">
        <f>AF10-AG10</f>
        <v/>
      </c>
      <c r="AJ10" s="788" t="n"/>
      <c r="AK10" s="788" t="n">
        <v>0</v>
      </c>
    </row>
    <row r="11">
      <c r="A11" s="160" t="inlineStr">
        <is>
          <t>SER</t>
        </is>
      </c>
      <c r="B11" s="267" t="inlineStr">
        <is>
          <t>BU Service</t>
        </is>
      </c>
      <c r="C11" s="349" t="inlineStr">
        <is>
          <t>k €</t>
        </is>
      </c>
      <c r="E11" s="788">
        <f>$AJ11/E$3</f>
        <v/>
      </c>
      <c r="F11" s="788">
        <f>IFERROR(1/F$3,1)*SUMIFS(Data!$S$3:$S$305,Data!$O$3:$O$305,F$1,Data!$P$3:$P$305,IF(RIGHT(F$2,3)="YTD","&lt;="&amp;LEFT(F$2,2)*1,F$2),Data!$K$3:$K$305,$B11)</f>
        <v/>
      </c>
      <c r="G11" s="788">
        <f>AK11/12</f>
        <v/>
      </c>
      <c r="I11" s="788">
        <f>IFERROR(1/I$3,1)*SUMIFS(tbl_DCFC[C Montant € HT],tbl_DCFC[OI_Year],I$1,tbl_DCFC[OI_Month],IF(RIGHT(I$2,3)="YTD","&lt;="&amp;LEFT(I$2,2)*1,I$2),tbl_DCFC[BU_Key],$A11)</f>
        <v/>
      </c>
      <c r="J11" s="788">
        <f>IFERROR(1/J$3,1)*SUMIFS(tbl_DCFC[C Montant € HT],tbl_DCFC[OI_Year],J$1,tbl_DCFC[OI_Month],IF(RIGHT(J$2,3)="YTD","&lt;="&amp;LEFT(J$2,2)*1,J$2),tbl_DCFC[BU_Key],$A11)</f>
        <v/>
      </c>
      <c r="K11" s="788">
        <f>IFERROR(1/K$3,1)*SUMIFS(tbl_DCFC[C Montant € HT],tbl_DCFC[OI_Year],K$1,tbl_DCFC[OI_Month],IF(RIGHT(K$2,3)="YTD","&lt;="&amp;LEFT(K$2,2)*1,K$2),tbl_DCFC[BU_Key],$A11)</f>
        <v/>
      </c>
      <c r="L11" s="788">
        <f>IFERROR(1/L$3,1)*SUMIFS(tbl_DCFC[C Montant € HT],tbl_DCFC[OI_Year],L$1,tbl_DCFC[OI_Month],IF(RIGHT(L$2,3)="YTD","&lt;="&amp;LEFT(L$2,2)*1,L$2),tbl_DCFC[BU_Key],$A11)</f>
        <v/>
      </c>
      <c r="M11" s="788">
        <f>IFERROR(1/M$3,1)*SUMIFS(tbl_DCFC[C Montant € HT],tbl_DCFC[OI_Year],M$1,tbl_DCFC[OI_Month],IF(RIGHT(M$2,3)="YTD","&lt;="&amp;LEFT(M$2,2)*1,M$2),tbl_DCFC[BU_Key],$A11)</f>
        <v/>
      </c>
      <c r="N11" s="788">
        <f>IFERROR(1/N$3,1)*SUMIFS(tbl_DCFC[C Montant € HT],tbl_DCFC[OI_Year],N$1,tbl_DCFC[OI_Month],IF(RIGHT(N$2,3)="YTD","&lt;="&amp;LEFT(N$2,2)*1,N$2),tbl_DCFC[BU_Key],$A11)</f>
        <v/>
      </c>
      <c r="O11" s="788">
        <f>IFERROR(1/O$3,1)*SUMIFS(tbl_DCFC[C Montant € HT],tbl_DCFC[OI_Year],O$1,tbl_DCFC[OI_Month],IF(RIGHT(O$2,3)="YTD","&lt;="&amp;LEFT(O$2,2)*1,O$2),tbl_DCFC[BU_Key],$A11)</f>
        <v/>
      </c>
      <c r="P11" s="788">
        <f>IFERROR(1/P$3,1)*SUMIFS(tbl_DCFC[C Montant € HT],tbl_DCFC[OI_Year],P$1,tbl_DCFC[OI_Month],IF(RIGHT(P$2,3)="YTD","&lt;="&amp;LEFT(P$2,2)*1,P$2),tbl_DCFC[BU_Key],$A11)</f>
        <v/>
      </c>
      <c r="Q11" s="788">
        <f>IFERROR(1/Q$3,1)*SUMIFS(tbl_DCFC[C Montant € HT],tbl_DCFC[OI_Year],Q$1,tbl_DCFC[OI_Month],IF(RIGHT(Q$2,3)="YTD","&lt;="&amp;LEFT(Q$2,2)*1,Q$2),tbl_DCFC[BU_Key],$A11)</f>
        <v/>
      </c>
      <c r="R11" s="788">
        <f>IFERROR(1/R$3,1)*SUMIFS(tbl_DCFC[C Montant € HT],tbl_DCFC[OI_Year],R$1,tbl_DCFC[OI_Month],IF(RIGHT(R$2,3)="YTD","&lt;="&amp;LEFT(R$2,2)*1,R$2),tbl_DCFC[BU_Key],$A11)</f>
        <v/>
      </c>
      <c r="S11" s="788">
        <f>IFERROR(1/S$3,1)*SUMIFS(tbl_DCFC[C Montant € HT],tbl_DCFC[OI_Year],S$1,tbl_DCFC[OI_Month],IF(RIGHT(S$2,3)="YTD","&lt;="&amp;LEFT(S$2,2)*1,S$2),tbl_DCFC[BU_Key],$A11)</f>
        <v/>
      </c>
      <c r="T11" s="788">
        <f>IFERROR(1/T$3,1)*SUMIFS(tbl_DCFC[C Montant € HT],tbl_DCFC[OI_Year],T$1,tbl_DCFC[OI_Month],IF(RIGHT(T$2,3)="YTD","&lt;="&amp;LEFT(T$2,2)*1,T$2),tbl_DCFC[BU_Key],$A11)</f>
        <v/>
      </c>
      <c r="V11" s="788">
        <f>G11</f>
        <v/>
      </c>
      <c r="W11" s="788">
        <f>$G11</f>
        <v/>
      </c>
      <c r="X11" s="788">
        <f>$G11</f>
        <v/>
      </c>
      <c r="Y11" s="788">
        <f>$G11</f>
        <v/>
      </c>
      <c r="Z11" s="788">
        <f>$G11</f>
        <v/>
      </c>
      <c r="AA11" s="788">
        <f>$G11</f>
        <v/>
      </c>
      <c r="AB11" s="788">
        <f>$G11</f>
        <v/>
      </c>
      <c r="AC11" s="788">
        <f>$G11</f>
        <v/>
      </c>
      <c r="AD11" s="788">
        <f>$G11</f>
        <v/>
      </c>
      <c r="AE11" s="788" t="n"/>
      <c r="AF11" s="788">
        <f>IFERROR(1/AF$3,1)*SUMIFS(tbl_DCFC[C Montant € HT],tbl_DCFC[OI_Year],AF$1,tbl_DCFC[OI_Month],IF(RIGHT(AF$2,3)="YTD","&lt;="&amp;LEFT(AF$2,2)*1,AF$2),tbl_DCFC[BU_Key],$A11)</f>
        <v/>
      </c>
      <c r="AG11" s="788">
        <f>AK11/12*LEFT(AG$2,2)*1</f>
        <v/>
      </c>
      <c r="AH11" s="789">
        <f>AF11-AG11</f>
        <v/>
      </c>
      <c r="AJ11" s="788" t="n"/>
      <c r="AK11" s="788" t="n">
        <v>700000</v>
      </c>
    </row>
    <row r="12" customFormat="1" s="329">
      <c r="A12" s="329" t="inlineStr">
        <is>
          <t>INT</t>
        </is>
      </c>
      <c r="B12" s="267" t="inlineStr">
        <is>
          <t>Intercompany</t>
        </is>
      </c>
      <c r="C12" s="260" t="n"/>
      <c r="E12" s="788">
        <f>$AJ12/E$3</f>
        <v/>
      </c>
      <c r="F12" s="788">
        <f>IFERROR(1/F$3,1)*SUMIFS(Data!$S$3:$S$305,Data!$O$3:$O$305,F$1,Data!$P$3:$P$305,IF(RIGHT(F$2,3)="YTD","&lt;="&amp;LEFT(F$2,2)*1,F$2),Data!$K$3:$K$305,$B12)</f>
        <v/>
      </c>
      <c r="G12" s="788">
        <f>AK12/12</f>
        <v/>
      </c>
      <c r="I12" s="788">
        <f>IFERROR(1/I$3,1)*SUMIFS(tbl_DCFC[C Montant € HT],tbl_DCFC[OI_Year],I$1,tbl_DCFC[OI_Month],IF(RIGHT(I$2,3)="YTD","&lt;="&amp;LEFT(I$2,2)*1,I$2),tbl_DCFC[BU_Key],$A12)</f>
        <v/>
      </c>
      <c r="J12" s="788">
        <f>IFERROR(1/J$3,1)*SUMIFS(tbl_DCFC[C Montant € HT],tbl_DCFC[OI_Year],J$1,tbl_DCFC[OI_Month],IF(RIGHT(J$2,3)="YTD","&lt;="&amp;LEFT(J$2,2)*1,J$2),tbl_DCFC[BU_Key],$A12)</f>
        <v/>
      </c>
      <c r="K12" s="788">
        <f>IFERROR(1/K$3,1)*SUMIFS(tbl_DCFC[C Montant € HT],tbl_DCFC[OI_Year],K$1,tbl_DCFC[OI_Month],IF(RIGHT(K$2,3)="YTD","&lt;="&amp;LEFT(K$2,2)*1,K$2),tbl_DCFC[BU_Key],$A12)</f>
        <v/>
      </c>
      <c r="L12" s="788">
        <f>IFERROR(1/L$3,1)*SUMIFS(tbl_DCFC[C Montant € HT],tbl_DCFC[OI_Year],L$1,tbl_DCFC[OI_Month],IF(RIGHT(L$2,3)="YTD","&lt;="&amp;LEFT(L$2,2)*1,L$2),tbl_DCFC[BU_Key],$A12)</f>
        <v/>
      </c>
      <c r="M12" s="788">
        <f>IFERROR(1/M$3,1)*SUMIFS(tbl_DCFC[C Montant € HT],tbl_DCFC[OI_Year],M$1,tbl_DCFC[OI_Month],IF(RIGHT(M$2,3)="YTD","&lt;="&amp;LEFT(M$2,2)*1,M$2),tbl_DCFC[BU_Key],$A12)</f>
        <v/>
      </c>
      <c r="N12" s="788">
        <f>IFERROR(1/N$3,1)*SUMIFS(tbl_DCFC[C Montant € HT],tbl_DCFC[OI_Year],N$1,tbl_DCFC[OI_Month],IF(RIGHT(N$2,3)="YTD","&lt;="&amp;LEFT(N$2,2)*1,N$2),tbl_DCFC[BU_Key],$A12)</f>
        <v/>
      </c>
      <c r="O12" s="788">
        <f>IFERROR(1/O$3,1)*SUMIFS(tbl_DCFC[C Montant € HT],tbl_DCFC[OI_Year],O$1,tbl_DCFC[OI_Month],IF(RIGHT(O$2,3)="YTD","&lt;="&amp;LEFT(O$2,2)*1,O$2),tbl_DCFC[BU_Key],$A12)</f>
        <v/>
      </c>
      <c r="P12" s="788">
        <f>IFERROR(1/P$3,1)*SUMIFS(tbl_DCFC[C Montant € HT],tbl_DCFC[OI_Year],P$1,tbl_DCFC[OI_Month],IF(RIGHT(P$2,3)="YTD","&lt;="&amp;LEFT(P$2,2)*1,P$2),tbl_DCFC[BU_Key],$A12)</f>
        <v/>
      </c>
      <c r="Q12" s="788">
        <f>IFERROR(1/Q$3,1)*SUMIFS(tbl_DCFC[C Montant € HT],tbl_DCFC[OI_Year],Q$1,tbl_DCFC[OI_Month],IF(RIGHT(Q$2,3)="YTD","&lt;="&amp;LEFT(Q$2,2)*1,Q$2),tbl_DCFC[BU_Key],$A12)</f>
        <v/>
      </c>
      <c r="R12" s="788">
        <f>IFERROR(1/R$3,1)*SUMIFS(tbl_DCFC[C Montant € HT],tbl_DCFC[OI_Year],R$1,tbl_DCFC[OI_Month],IF(RIGHT(R$2,3)="YTD","&lt;="&amp;LEFT(R$2,2)*1,R$2),tbl_DCFC[BU_Key],$A12)</f>
        <v/>
      </c>
      <c r="S12" s="788">
        <f>IFERROR(1/S$3,1)*SUMIFS(tbl_DCFC[C Montant € HT],tbl_DCFC[OI_Year],S$1,tbl_DCFC[OI_Month],IF(RIGHT(S$2,3)="YTD","&lt;="&amp;LEFT(S$2,2)*1,S$2),tbl_DCFC[BU_Key],$A12)</f>
        <v/>
      </c>
      <c r="T12" s="788">
        <f>IFERROR(1/T$3,1)*SUMIFS(tbl_DCFC[C Montant € HT],tbl_DCFC[OI_Year],T$1,tbl_DCFC[OI_Month],IF(RIGHT(T$2,3)="YTD","&lt;="&amp;LEFT(T$2,2)*1,T$2),tbl_DCFC[BU_Key],$A12)</f>
        <v/>
      </c>
      <c r="V12" s="788">
        <f>G12</f>
        <v/>
      </c>
      <c r="W12" s="788">
        <f>$G12</f>
        <v/>
      </c>
      <c r="X12" s="788">
        <f>$G12</f>
        <v/>
      </c>
      <c r="Y12" s="788">
        <f>$G12</f>
        <v/>
      </c>
      <c r="Z12" s="788">
        <f>$G12</f>
        <v/>
      </c>
      <c r="AA12" s="788">
        <f>$G12</f>
        <v/>
      </c>
      <c r="AB12" s="788">
        <f>$G12</f>
        <v/>
      </c>
      <c r="AC12" s="788">
        <f>$G12</f>
        <v/>
      </c>
      <c r="AD12" s="788">
        <f>$G12</f>
        <v/>
      </c>
      <c r="AE12" s="788" t="n"/>
      <c r="AF12" s="788">
        <f>IFERROR(1/AF$3,1)*SUMIFS(tbl_DCFC[C Montant € HT],tbl_DCFC[OI_Year],AF$1,tbl_DCFC[OI_Month],IF(RIGHT(AF$2,3)="YTD","&lt;="&amp;LEFT(AF$2,2)*1,AF$2),tbl_DCFC[BU_Key],$A12)</f>
        <v/>
      </c>
      <c r="AG12" s="788">
        <f>AK12/12*LEFT(AG$2,2)*1</f>
        <v/>
      </c>
      <c r="AH12" s="789">
        <f>AF12-AG12</f>
        <v/>
      </c>
      <c r="AJ12" s="788" t="n"/>
      <c r="AK12" s="790" t="n">
        <v>0</v>
      </c>
    </row>
    <row r="13" customFormat="1" s="329">
      <c r="B13" s="271" t="n"/>
      <c r="C13" s="260" t="n"/>
      <c r="E13" s="784" t="n"/>
      <c r="F13" s="784" t="n"/>
      <c r="G13" s="785" t="n"/>
      <c r="I13" s="785" t="n"/>
      <c r="J13" s="785" t="n"/>
      <c r="K13" s="785" t="n"/>
      <c r="L13" s="785" t="n"/>
      <c r="M13" s="785" t="n"/>
      <c r="N13" s="784" t="n"/>
      <c r="O13" s="784" t="n"/>
      <c r="P13" s="784" t="n"/>
      <c r="Q13" s="784" t="n"/>
      <c r="R13" s="784" t="n"/>
      <c r="S13" s="784" t="n"/>
      <c r="T13" s="784" t="n"/>
      <c r="V13" s="786" t="n"/>
      <c r="W13" s="784" t="n"/>
      <c r="X13" s="784" t="n"/>
      <c r="Y13" s="784" t="n"/>
      <c r="Z13" s="784" t="n"/>
      <c r="AA13" s="784" t="n"/>
      <c r="AB13" s="784" t="n"/>
      <c r="AC13" s="784" t="n"/>
      <c r="AD13" s="787" t="n"/>
      <c r="AE13" s="787" t="n"/>
      <c r="AF13" s="256" t="n"/>
      <c r="AG13" s="257" t="n"/>
      <c r="AJ13" s="256" t="n"/>
      <c r="AK13" s="258" t="n"/>
    </row>
    <row r="14" hidden="1" outlineLevel="1" customFormat="1" s="329">
      <c r="B14" s="336" t="inlineStr">
        <is>
          <t>Order Intake by PSP HYFR Group</t>
        </is>
      </c>
      <c r="C14" s="260" t="n"/>
      <c r="E14" s="784" t="n"/>
      <c r="F14" s="784" t="n"/>
      <c r="G14" s="785" t="n"/>
      <c r="I14" s="785" t="n"/>
      <c r="J14" s="785" t="n"/>
      <c r="K14" s="785" t="n"/>
      <c r="L14" s="785" t="n"/>
      <c r="M14" s="785" t="n"/>
      <c r="N14" s="784" t="n"/>
      <c r="O14" s="784" t="n"/>
      <c r="P14" s="784" t="n"/>
      <c r="Q14" s="784" t="n"/>
      <c r="R14" s="784" t="n"/>
      <c r="S14" s="784" t="n"/>
      <c r="T14" s="784" t="n"/>
      <c r="V14" s="786" t="n"/>
      <c r="W14" s="784" t="n"/>
      <c r="X14" s="784" t="n"/>
      <c r="Y14" s="784" t="n"/>
      <c r="Z14" s="784" t="n"/>
      <c r="AA14" s="784" t="n"/>
      <c r="AB14" s="784" t="n"/>
      <c r="AC14" s="784" t="n"/>
      <c r="AD14" s="787" t="n"/>
      <c r="AE14" s="787" t="n"/>
      <c r="AF14" s="256" t="n"/>
      <c r="AG14" s="257" t="n"/>
      <c r="AJ14" s="256" t="n"/>
      <c r="AK14" s="258" t="n"/>
    </row>
    <row r="15" hidden="1" outlineLevel="1" s="701">
      <c r="A15" s="160" t="inlineStr">
        <is>
          <t>TT-CP-00107-20</t>
        </is>
      </c>
      <c r="B15" s="267" t="inlineStr">
        <is>
          <t>ENGINEERING AIA</t>
        </is>
      </c>
      <c r="C15" s="349" t="inlineStr">
        <is>
          <t>k €</t>
        </is>
      </c>
      <c r="E15" s="788">
        <f>$AJ15/E$3</f>
        <v/>
      </c>
      <c r="F15" s="788">
        <f>IFERROR(1/F$3,1)*SUMIFS(Data!$S$3:$S$305,Data!$O$3:$O$305,F$1,Data!$P$3:$P$305,IF(RIGHT(F$2,3)="YTD","&lt;="&amp;LEFT(F$2,2)*1,F$2),Data!$K$3:$K$305,$B15)</f>
        <v/>
      </c>
      <c r="G15" s="788">
        <f>AK15/12</f>
        <v/>
      </c>
      <c r="I15" s="788">
        <f>IFERROR(1/I$3,1)*SUMIFS(Data!$S$3:$S$305,Data!$O$3:$O$305,I$1,Data!$P$3:$P$305,IF(RIGHT(I$2,3)="YTD","&lt;="&amp;LEFT(I$2,2)*1,I$2),Data!$K$3:$K$305,$B15)</f>
        <v/>
      </c>
      <c r="J15" s="788">
        <f>IFERROR(1/J$3,1)*SUMIFS(Data!$S$3:$S$305,Data!$O$3:$O$305,J$1,Data!$P$3:$P$305,IF(RIGHT(J$2,3)="YTD","&lt;="&amp;LEFT(J$2,2)*1,J$2),Data!$K$3:$K$305,$B15)</f>
        <v/>
      </c>
      <c r="K15" s="788">
        <f>IFERROR(1/K$3,1)*SUMIFS(Data!$S$3:$S$305,Data!$O$3:$O$305,K$1,Data!$P$3:$P$305,IF(RIGHT(K$2,3)="YTD","&lt;="&amp;LEFT(K$2,2)*1,K$2),Data!$K$3:$K$305,$B15)</f>
        <v/>
      </c>
      <c r="L15" s="788">
        <f>IFERROR(1/L$3,1)*SUMIFS(Data!$S$3:$S$305,Data!$O$3:$O$305,L$1,Data!$P$3:$P$305,IF(RIGHT(L$2,3)="YTD","&lt;="&amp;LEFT(L$2,2)*1,L$2),Data!$K$3:$K$305,$B15)</f>
        <v/>
      </c>
      <c r="M15" s="788">
        <f>IFERROR(1/M$3,1)*SUMIFS(Data!$S$3:$S$305,Data!$O$3:$O$305,M$1,Data!$P$3:$P$305,IF(RIGHT(M$2,3)="YTD","&lt;="&amp;LEFT(M$2,2)*1,M$2),Data!$K$3:$K$305,$B15)</f>
        <v/>
      </c>
      <c r="N15" s="788">
        <f>SUMIFS(Data!$S$3:$S$305,Data!$O$3:$O$305,N$1,Data!$P$3:$P$305,N$2,Data!$K$3:$K$305,$B15)</f>
        <v/>
      </c>
      <c r="O15" s="788">
        <f>SUMIFS(Data!$S$3:$S$305,Data!$O$3:$O$305,O$1,Data!$P$3:$P$305,O$2,Data!$K$3:$K$305,$B15)</f>
        <v/>
      </c>
      <c r="P15" s="788">
        <f>SUMIFS(Data!$S$3:$S$305,Data!$O$3:$O$305,P$1,Data!$P$3:$P$305,P$2,Data!$K$3:$K$305,$B15)</f>
        <v/>
      </c>
      <c r="Q15" s="788">
        <f>SUMIFS(Data!$S$3:$S$305,Data!$O$3:$O$305,Q$1,Data!$P$3:$P$305,Q$2,Data!$K$3:$K$305,$B15)</f>
        <v/>
      </c>
      <c r="R15" s="788">
        <f>SUMIFS(Data!$S$3:$S$305,Data!$O$3:$O$305,R$1,Data!$P$3:$P$305,R$2,Data!$K$3:$K$305,$B15)</f>
        <v/>
      </c>
      <c r="S15" s="791">
        <f>SUMIFS(Data!$S$3:$S$305,Data!$O$3:$O$305,S$1,Data!$P$3:$P$305,S$2,Data!$K$3:$K$305,$B15)</f>
        <v/>
      </c>
      <c r="T15" s="791">
        <f>SUMIFS(Data!$S$3:$S$305,Data!$O$3:$O$305,T$1,Data!$P$3:$P$305,T$2,Data!$K$3:$K$305,$B15)</f>
        <v/>
      </c>
      <c r="V15" s="788">
        <f>G15</f>
        <v/>
      </c>
      <c r="W15" s="788">
        <f>$G15</f>
        <v/>
      </c>
      <c r="X15" s="788">
        <f>$G15</f>
        <v/>
      </c>
      <c r="Y15" s="788">
        <f>$G15</f>
        <v/>
      </c>
      <c r="Z15" s="788">
        <f>$G15</f>
        <v/>
      </c>
      <c r="AA15" s="788">
        <f>$G15</f>
        <v/>
      </c>
      <c r="AB15" s="788">
        <f>$G15</f>
        <v/>
      </c>
      <c r="AC15" s="788">
        <f>$G15</f>
        <v/>
      </c>
      <c r="AD15" s="788">
        <f>$G15</f>
        <v/>
      </c>
      <c r="AE15" s="788" t="n"/>
      <c r="AF15" s="788">
        <f>IFERROR(1/AF$3,1)*SUMIFS(Data!$S$3:$S$305,Data!$O$3:$O$305,AF$1,Data!$P$3:$P$305,IF(RIGHT(AF$2,3)="YTD","&lt;="&amp;LEFT(AF$2,2)*1,AF$2),Data!$K$3:$K$305,$B15)</f>
        <v/>
      </c>
      <c r="AG15" s="788">
        <f>AK15/12*LEFT(AG$2,2)*1</f>
        <v/>
      </c>
      <c r="AH15" s="789">
        <f>AF15-AG15</f>
        <v/>
      </c>
      <c r="AJ15" s="788" t="n">
        <v>5075</v>
      </c>
      <c r="AK15" s="788" t="n">
        <v>370000</v>
      </c>
    </row>
    <row r="16" hidden="1" outlineLevel="1" s="701">
      <c r="A16" t="inlineStr">
        <is>
          <t>TT-CP-00108-20</t>
        </is>
      </c>
      <c r="B16" s="267" t="inlineStr">
        <is>
          <t>ENGINEERING IC</t>
        </is>
      </c>
      <c r="C16" s="349" t="inlineStr">
        <is>
          <t>k €</t>
        </is>
      </c>
      <c r="E16" s="788">
        <f>$AJ16/E$3</f>
        <v/>
      </c>
      <c r="F16" s="788">
        <f>IFERROR(1/F$3,1)*SUMIFS(Data!$S$3:$S$305,Data!$O$3:$O$305,F$1,Data!$P$3:$P$305,IF(RIGHT(F$2,3)="YTD","&lt;="&amp;LEFT(F$2,2)*1,F$2),Data!$K$3:$K$305,$B16)</f>
        <v/>
      </c>
      <c r="G16" s="788">
        <f>AK16/12</f>
        <v/>
      </c>
      <c r="I16" s="788">
        <f>IFERROR(1/I$3,1)*SUMIFS(Data!$S$3:$S$305,Data!$O$3:$O$305,I$1,Data!$P$3:$P$305,IF(RIGHT(I$2,3)="YTD","&lt;="&amp;LEFT(I$2,2)*1,I$2),Data!$K$3:$K$305,$B16)</f>
        <v/>
      </c>
      <c r="J16" s="788">
        <f>IFERROR(1/J$3,1)*SUMIFS(Data!$S$3:$S$305,Data!$O$3:$O$305,J$1,Data!$P$3:$P$305,IF(RIGHT(J$2,3)="YTD","&lt;="&amp;LEFT(J$2,2)*1,J$2),Data!$K$3:$K$305,$B16)</f>
        <v/>
      </c>
      <c r="K16" s="788">
        <f>IFERROR(1/K$3,1)*SUMIFS(Data!$S$3:$S$305,Data!$O$3:$O$305,K$1,Data!$P$3:$P$305,IF(RIGHT(K$2,3)="YTD","&lt;="&amp;LEFT(K$2,2)*1,K$2),Data!$K$3:$K$305,$B16)</f>
        <v/>
      </c>
      <c r="L16" s="788">
        <f>IFERROR(1/L$3,1)*SUMIFS(Data!$S$3:$S$305,Data!$O$3:$O$305,L$1,Data!$P$3:$P$305,IF(RIGHT(L$2,3)="YTD","&lt;="&amp;LEFT(L$2,2)*1,L$2),Data!$K$3:$K$305,$B16)</f>
        <v/>
      </c>
      <c r="M16" s="788">
        <f>IFERROR(1/M$3,1)*SUMIFS(Data!$S$3:$S$305,Data!$O$3:$O$305,M$1,Data!$P$3:$P$305,IF(RIGHT(M$2,3)="YTD","&lt;="&amp;LEFT(M$2,2)*1,M$2),Data!$K$3:$K$305,$B16)</f>
        <v/>
      </c>
      <c r="N16" s="788">
        <f>SUMIFS(Data!$S$3:$S$305,Data!$O$3:$O$305,N$1,Data!$P$3:$P$305,N$2,Data!$K$3:$K$305,$B16)</f>
        <v/>
      </c>
      <c r="O16" s="788">
        <f>SUMIFS(Data!$S$3:$S$305,Data!$O$3:$O$305,O$1,Data!$P$3:$P$305,O$2,Data!$K$3:$K$305,$B16)</f>
        <v/>
      </c>
      <c r="P16" s="788">
        <f>SUMIFS(Data!$S$3:$S$305,Data!$O$3:$O$305,P$1,Data!$P$3:$P$305,P$2,Data!$K$3:$K$305,$B16)</f>
        <v/>
      </c>
      <c r="Q16" s="788">
        <f>SUMIFS(Data!$S$3:$S$305,Data!$O$3:$O$305,Q$1,Data!$P$3:$P$305,Q$2,Data!$K$3:$K$305,$B16)</f>
        <v/>
      </c>
      <c r="R16" s="788">
        <f>SUMIFS(Data!$S$3:$S$305,Data!$O$3:$O$305,R$1,Data!$P$3:$P$305,R$2,Data!$K$3:$K$305,$B16)</f>
        <v/>
      </c>
      <c r="S16" s="791">
        <f>SUMIFS(Data!$S$3:$S$305,Data!$O$3:$O$305,S$1,Data!$P$3:$P$305,S$2,Data!$K$3:$K$305,$B16)</f>
        <v/>
      </c>
      <c r="T16" s="791">
        <f>SUMIFS(Data!$S$3:$S$305,Data!$O$3:$O$305,T$1,Data!$P$3:$P$305,T$2,Data!$K$3:$K$305,$B16)</f>
        <v/>
      </c>
      <c r="V16" s="788">
        <f>G16</f>
        <v/>
      </c>
      <c r="W16" s="788">
        <f>$G16</f>
        <v/>
      </c>
      <c r="X16" s="788">
        <f>$G16</f>
        <v/>
      </c>
      <c r="Y16" s="788">
        <f>$G16</f>
        <v/>
      </c>
      <c r="Z16" s="788">
        <f>$G16</f>
        <v/>
      </c>
      <c r="AA16" s="788">
        <f>$G16</f>
        <v/>
      </c>
      <c r="AB16" s="788">
        <f>$G16</f>
        <v/>
      </c>
      <c r="AC16" s="788">
        <f>$G16</f>
        <v/>
      </c>
      <c r="AD16" s="788">
        <f>$G16</f>
        <v/>
      </c>
      <c r="AE16" s="788" t="n"/>
      <c r="AF16" s="788">
        <f>IFERROR(1/AF$3,1)*SUMIFS(Data!$S$3:$S$305,Data!$O$3:$O$305,AF$1,Data!$P$3:$P$305,IF(RIGHT(AF$2,3)="YTD","&lt;="&amp;LEFT(AF$2,2)*1,AF$2),Data!$K$3:$K$305,$B16)</f>
        <v/>
      </c>
      <c r="AG16" s="788">
        <f>AK16/12*LEFT(AG$2,2)*1</f>
        <v/>
      </c>
      <c r="AH16" s="789">
        <f>AF16-AG16</f>
        <v/>
      </c>
      <c r="AJ16" s="788" t="n">
        <v>11490</v>
      </c>
      <c r="AK16" s="788" t="n">
        <v>0</v>
      </c>
    </row>
    <row r="17" hidden="1" outlineLevel="1" s="701">
      <c r="B17" s="267" t="inlineStr">
        <is>
          <t>FCP AIA</t>
        </is>
      </c>
      <c r="C17" s="349" t="inlineStr">
        <is>
          <t>k €</t>
        </is>
      </c>
      <c r="E17" s="788">
        <f>$AJ17/E$3</f>
        <v/>
      </c>
      <c r="F17" s="788">
        <f>IFERROR(1/F$3,1)*SUMIFS(Data!$S$3:$S$305,Data!$O$3:$O$305,F$1,Data!$P$3:$P$305,IF(RIGHT(F$2,3)="YTD","&lt;="&amp;LEFT(F$2,2)*1,F$2),Data!$K$3:$K$305,$B17)</f>
        <v/>
      </c>
      <c r="G17" s="788">
        <f>AK17/12</f>
        <v/>
      </c>
      <c r="I17" s="788">
        <f>IFERROR(1/I$3,1)*SUMIFS(Data!$S$3:$S$305,Data!$O$3:$O$305,I$1,Data!$P$3:$P$305,IF(RIGHT(I$2,3)="YTD","&lt;="&amp;LEFT(I$2,2)*1,I$2),Data!$K$3:$K$305,$B17)</f>
        <v/>
      </c>
      <c r="J17" s="788">
        <f>IFERROR(1/J$3,1)*SUMIFS(Data!$S$3:$S$305,Data!$O$3:$O$305,J$1,Data!$P$3:$P$305,IF(RIGHT(J$2,3)="YTD","&lt;="&amp;LEFT(J$2,2)*1,J$2),Data!$K$3:$K$305,$B17)</f>
        <v/>
      </c>
      <c r="K17" s="788">
        <f>IFERROR(1/K$3,1)*SUMIFS(Data!$S$3:$S$305,Data!$O$3:$O$305,K$1,Data!$P$3:$P$305,IF(RIGHT(K$2,3)="YTD","&lt;="&amp;LEFT(K$2,2)*1,K$2),Data!$K$3:$K$305,$B17)</f>
        <v/>
      </c>
      <c r="L17" s="788">
        <f>IFERROR(1/L$3,1)*SUMIFS(Data!$S$3:$S$305,Data!$O$3:$O$305,L$1,Data!$P$3:$P$305,IF(RIGHT(L$2,3)="YTD","&lt;="&amp;LEFT(L$2,2)*1,L$2),Data!$K$3:$K$305,$B17)</f>
        <v/>
      </c>
      <c r="M17" s="788">
        <f>IFERROR(1/M$3,1)*SUMIFS(Data!$S$3:$S$305,Data!$O$3:$O$305,M$1,Data!$P$3:$P$305,IF(RIGHT(M$2,3)="YTD","&lt;="&amp;LEFT(M$2,2)*1,M$2),Data!$K$3:$K$305,$B17)</f>
        <v/>
      </c>
      <c r="N17" s="788">
        <f>SUMIFS(Data!$S$3:$S$305,Data!$O$3:$O$305,N$1,Data!$P$3:$P$305,N$2,Data!$K$3:$K$305,$B17)</f>
        <v/>
      </c>
      <c r="O17" s="788">
        <f>SUMIFS(Data!$S$3:$S$305,Data!$O$3:$O$305,O$1,Data!$P$3:$P$305,O$2,Data!$K$3:$K$305,$B17)</f>
        <v/>
      </c>
      <c r="P17" s="788">
        <f>SUMIFS(Data!$S$3:$S$305,Data!$O$3:$O$305,P$1,Data!$P$3:$P$305,P$2,Data!$K$3:$K$305,$B17)</f>
        <v/>
      </c>
      <c r="Q17" s="788">
        <f>SUMIFS(Data!$S$3:$S$305,Data!$O$3:$O$305,Q$1,Data!$P$3:$P$305,Q$2,Data!$K$3:$K$305,$B17)</f>
        <v/>
      </c>
      <c r="R17" s="788">
        <f>SUMIFS(Data!$S$3:$S$305,Data!$O$3:$O$305,R$1,Data!$P$3:$P$305,R$2,Data!$K$3:$K$305,$B17)</f>
        <v/>
      </c>
      <c r="S17" s="791">
        <f>SUMIFS(Data!$S$3:$S$305,Data!$O$3:$O$305,S$1,Data!$P$3:$P$305,S$2,Data!$K$3:$K$305,$B17)</f>
        <v/>
      </c>
      <c r="T17" s="791">
        <f>SUMIFS(Data!$S$3:$S$305,Data!$O$3:$O$305,T$1,Data!$P$3:$P$305,T$2,Data!$K$3:$K$305,$B17)</f>
        <v/>
      </c>
      <c r="V17" s="788">
        <f>G17</f>
        <v/>
      </c>
      <c r="W17" s="788">
        <f>$G17</f>
        <v/>
      </c>
      <c r="X17" s="788">
        <f>$G17</f>
        <v/>
      </c>
      <c r="Y17" s="788">
        <f>$G17</f>
        <v/>
      </c>
      <c r="Z17" s="788">
        <f>$G17</f>
        <v/>
      </c>
      <c r="AA17" s="788">
        <f>$G17</f>
        <v/>
      </c>
      <c r="AB17" s="788">
        <f>$G17</f>
        <v/>
      </c>
      <c r="AC17" s="788">
        <f>$G17</f>
        <v/>
      </c>
      <c r="AD17" s="788">
        <f>$G17</f>
        <v/>
      </c>
      <c r="AE17" s="788" t="n"/>
      <c r="AF17" s="788">
        <f>IFERROR(1/AF$3,1)*SUMIFS(Data!$S$3:$S$305,Data!$O$3:$O$305,AF$1,Data!$P$3:$P$305,IF(RIGHT(AF$2,3)="YTD","&lt;="&amp;LEFT(AF$2,2)*1,AF$2),Data!$K$3:$K$305,$B17)</f>
        <v/>
      </c>
      <c r="AG17" s="788">
        <f>AK17/12*LEFT(AG$2,2)*1</f>
        <v/>
      </c>
      <c r="AH17" s="789">
        <f>AF17-AG17</f>
        <v/>
      </c>
      <c r="AJ17" s="788" t="n">
        <v>534520</v>
      </c>
      <c r="AK17" s="788" t="n">
        <v>0</v>
      </c>
    </row>
    <row r="18" hidden="1" outlineLevel="1" s="701">
      <c r="A18" t="inlineStr">
        <is>
          <t>TT-CP-00103-20</t>
        </is>
      </c>
      <c r="B18" s="267" t="inlineStr">
        <is>
          <t>FCP OTHER AIA</t>
        </is>
      </c>
      <c r="C18" s="349" t="inlineStr">
        <is>
          <t>k €</t>
        </is>
      </c>
      <c r="E18" s="788">
        <f>$AJ18/E$3</f>
        <v/>
      </c>
      <c r="F18" s="788">
        <f>IFERROR(1/F$3,1)*SUMIFS(Data!$S$3:$S$305,Data!$O$3:$O$305,F$1,Data!$P$3:$P$305,IF(RIGHT(F$2,3)="YTD","&lt;="&amp;LEFT(F$2,2)*1,F$2),Data!$K$3:$K$305,$B18)</f>
        <v/>
      </c>
      <c r="G18" s="788">
        <f>AK18/12</f>
        <v/>
      </c>
      <c r="I18" s="788">
        <f>IFERROR(1/I$3,1)*SUMIFS(Data!$S$3:$S$305,Data!$O$3:$O$305,I$1,Data!$P$3:$P$305,IF(RIGHT(I$2,3)="YTD","&lt;="&amp;LEFT(I$2,2)*1,I$2),Data!$K$3:$K$305,$B18)</f>
        <v/>
      </c>
      <c r="J18" s="788">
        <f>IFERROR(1/J$3,1)*SUMIFS(Data!$S$3:$S$305,Data!$O$3:$O$305,J$1,Data!$P$3:$P$305,IF(RIGHT(J$2,3)="YTD","&lt;="&amp;LEFT(J$2,2)*1,J$2),Data!$K$3:$K$305,$B18)</f>
        <v/>
      </c>
      <c r="K18" s="788">
        <f>IFERROR(1/K$3,1)*SUMIFS(Data!$S$3:$S$305,Data!$O$3:$O$305,K$1,Data!$P$3:$P$305,IF(RIGHT(K$2,3)="YTD","&lt;="&amp;LEFT(K$2,2)*1,K$2),Data!$K$3:$K$305,$B18)</f>
        <v/>
      </c>
      <c r="L18" s="788">
        <f>IFERROR(1/L$3,1)*SUMIFS(Data!$S$3:$S$305,Data!$O$3:$O$305,L$1,Data!$P$3:$P$305,IF(RIGHT(L$2,3)="YTD","&lt;="&amp;LEFT(L$2,2)*1,L$2),Data!$K$3:$K$305,$B18)</f>
        <v/>
      </c>
      <c r="M18" s="788">
        <f>IFERROR(1/M$3,1)*SUMIFS(Data!$S$3:$S$305,Data!$O$3:$O$305,M$1,Data!$P$3:$P$305,IF(RIGHT(M$2,3)="YTD","&lt;="&amp;LEFT(M$2,2)*1,M$2),Data!$K$3:$K$305,$B18)</f>
        <v/>
      </c>
      <c r="N18" s="788">
        <f>SUMIFS(Data!$S$3:$S$305,Data!$O$3:$O$305,N$1,Data!$P$3:$P$305,N$2,Data!$K$3:$K$305,$B18)</f>
        <v/>
      </c>
      <c r="O18" s="788">
        <f>SUMIFS(Data!$S$3:$S$305,Data!$O$3:$O$305,O$1,Data!$P$3:$P$305,O$2,Data!$K$3:$K$305,$B18)</f>
        <v/>
      </c>
      <c r="P18" s="788">
        <f>SUMIFS(Data!$S$3:$S$305,Data!$O$3:$O$305,P$1,Data!$P$3:$P$305,P$2,Data!$K$3:$K$305,$B18)</f>
        <v/>
      </c>
      <c r="Q18" s="788">
        <f>SUMIFS(Data!$S$3:$S$305,Data!$O$3:$O$305,Q$1,Data!$P$3:$P$305,Q$2,Data!$K$3:$K$305,$B18)</f>
        <v/>
      </c>
      <c r="R18" s="788">
        <f>SUMIFS(Data!$S$3:$S$305,Data!$O$3:$O$305,R$1,Data!$P$3:$P$305,R$2,Data!$K$3:$K$305,$B18)</f>
        <v/>
      </c>
      <c r="S18" s="791">
        <f>SUMIFS(Data!$S$3:$S$305,Data!$O$3:$O$305,S$1,Data!$P$3:$P$305,S$2,Data!$K$3:$K$305,$B18)</f>
        <v/>
      </c>
      <c r="T18" s="791">
        <f>SUMIFS(Data!$S$3:$S$305,Data!$O$3:$O$305,T$1,Data!$P$3:$P$305,T$2,Data!$K$3:$K$305,$B18)</f>
        <v/>
      </c>
      <c r="V18" s="788">
        <f>G18</f>
        <v/>
      </c>
      <c r="W18" s="788">
        <f>$G18</f>
        <v/>
      </c>
      <c r="X18" s="788">
        <f>$G18</f>
        <v/>
      </c>
      <c r="Y18" s="788">
        <f>$G18</f>
        <v/>
      </c>
      <c r="Z18" s="788">
        <f>$G18</f>
        <v/>
      </c>
      <c r="AA18" s="788">
        <f>$G18</f>
        <v/>
      </c>
      <c r="AB18" s="788">
        <f>$G18</f>
        <v/>
      </c>
      <c r="AC18" s="788">
        <f>$G18</f>
        <v/>
      </c>
      <c r="AD18" s="788">
        <f>$G18</f>
        <v/>
      </c>
      <c r="AE18" s="788" t="n"/>
      <c r="AF18" s="788">
        <f>IFERROR(1/AF$3,1)*SUMIFS(Data!$S$3:$S$305,Data!$O$3:$O$305,AF$1,Data!$P$3:$P$305,IF(RIGHT(AF$2,3)="YTD","&lt;="&amp;LEFT(AF$2,2)*1,AF$2),Data!$K$3:$K$305,$B18)</f>
        <v/>
      </c>
      <c r="AG18" s="788">
        <f>AK18/12*LEFT(AG$2,2)*1</f>
        <v/>
      </c>
      <c r="AH18" s="789">
        <f>AF18-AG18</f>
        <v/>
      </c>
      <c r="AJ18" s="788" t="n">
        <v>13410</v>
      </c>
      <c r="AK18" s="788" t="n">
        <v>0</v>
      </c>
    </row>
    <row r="19" hidden="1" outlineLevel="1" s="701">
      <c r="A19" t="inlineStr">
        <is>
          <t>TT-CP-00109-20</t>
        </is>
      </c>
      <c r="B19" s="267" t="inlineStr">
        <is>
          <t>GSE to AIA</t>
        </is>
      </c>
      <c r="C19" s="349" t="inlineStr">
        <is>
          <t>k €</t>
        </is>
      </c>
      <c r="E19" s="788">
        <f>$AJ19/E$3</f>
        <v/>
      </c>
      <c r="F19" s="788">
        <f>IFERROR(1/F$3,1)*SUMIFS(Data!$S$3:$S$305,Data!$O$3:$O$305,F$1,Data!$P$3:$P$305,IF(RIGHT(F$2,3)="YTD","&lt;="&amp;LEFT(F$2,2)*1,F$2),Data!$K$3:$K$305,$B19)</f>
        <v/>
      </c>
      <c r="G19" s="788">
        <f>AK19/12</f>
        <v/>
      </c>
      <c r="I19" s="788">
        <f>IFERROR(1/I$3,1)*SUMIFS(Data!$S$3:$S$305,Data!$O$3:$O$305,I$1,Data!$P$3:$P$305,IF(RIGHT(I$2,3)="YTD","&lt;="&amp;LEFT(I$2,2)*1,I$2),Data!$K$3:$K$305,$B19)</f>
        <v/>
      </c>
      <c r="J19" s="788">
        <f>IFERROR(1/J$3,1)*SUMIFS(Data!$S$3:$S$305,Data!$O$3:$O$305,J$1,Data!$P$3:$P$305,IF(RIGHT(J$2,3)="YTD","&lt;="&amp;LEFT(J$2,2)*1,J$2),Data!$K$3:$K$305,$B19)</f>
        <v/>
      </c>
      <c r="K19" s="788">
        <f>IFERROR(1/K$3,1)*SUMIFS(Data!$S$3:$S$305,Data!$O$3:$O$305,K$1,Data!$P$3:$P$305,IF(RIGHT(K$2,3)="YTD","&lt;="&amp;LEFT(K$2,2)*1,K$2),Data!$K$3:$K$305,$B19)</f>
        <v/>
      </c>
      <c r="L19" s="788">
        <f>IFERROR(1/L$3,1)*SUMIFS(Data!$S$3:$S$305,Data!$O$3:$O$305,L$1,Data!$P$3:$P$305,IF(RIGHT(L$2,3)="YTD","&lt;="&amp;LEFT(L$2,2)*1,L$2),Data!$K$3:$K$305,$B19)</f>
        <v/>
      </c>
      <c r="M19" s="788">
        <f>IFERROR(1/M$3,1)*SUMIFS(Data!$S$3:$S$305,Data!$O$3:$O$305,M$1,Data!$P$3:$P$305,IF(RIGHT(M$2,3)="YTD","&lt;="&amp;LEFT(M$2,2)*1,M$2),Data!$K$3:$K$305,$B19)</f>
        <v/>
      </c>
      <c r="N19" s="788">
        <f>SUMIFS(Data!$S$3:$S$305,Data!$O$3:$O$305,N$1,Data!$P$3:$P$305,N$2,Data!$K$3:$K$305,$B19)</f>
        <v/>
      </c>
      <c r="O19" s="788">
        <f>SUMIFS(Data!$S$3:$S$305,Data!$O$3:$O$305,O$1,Data!$P$3:$P$305,O$2,Data!$K$3:$K$305,$B19)</f>
        <v/>
      </c>
      <c r="P19" s="788">
        <f>SUMIFS(Data!$S$3:$S$305,Data!$O$3:$O$305,P$1,Data!$P$3:$P$305,P$2,Data!$K$3:$K$305,$B19)</f>
        <v/>
      </c>
      <c r="Q19" s="788">
        <f>SUMIFS(Data!$S$3:$S$305,Data!$O$3:$O$305,Q$1,Data!$P$3:$P$305,Q$2,Data!$K$3:$K$305,$B19)</f>
        <v/>
      </c>
      <c r="R19" s="788">
        <f>SUMIFS(Data!$S$3:$S$305,Data!$O$3:$O$305,R$1,Data!$P$3:$P$305,R$2,Data!$K$3:$K$305,$B19)</f>
        <v/>
      </c>
      <c r="S19" s="791">
        <f>SUMIFS(Data!$S$3:$S$305,Data!$O$3:$O$305,S$1,Data!$P$3:$P$305,S$2,Data!$K$3:$K$305,$B19)</f>
        <v/>
      </c>
      <c r="T19" s="791">
        <f>SUMIFS(Data!$S$3:$S$305,Data!$O$3:$O$305,T$1,Data!$P$3:$P$305,T$2,Data!$K$3:$K$305,$B19)</f>
        <v/>
      </c>
      <c r="V19" s="788">
        <f>G19</f>
        <v/>
      </c>
      <c r="W19" s="788">
        <f>$G19</f>
        <v/>
      </c>
      <c r="X19" s="788">
        <f>$G19</f>
        <v/>
      </c>
      <c r="Y19" s="788">
        <f>$G19</f>
        <v/>
      </c>
      <c r="Z19" s="788">
        <f>$G19</f>
        <v/>
      </c>
      <c r="AA19" s="788">
        <f>$G19</f>
        <v/>
      </c>
      <c r="AB19" s="788">
        <f>$G19</f>
        <v/>
      </c>
      <c r="AC19" s="788">
        <f>$G19</f>
        <v/>
      </c>
      <c r="AD19" s="788">
        <f>$G19</f>
        <v/>
      </c>
      <c r="AE19" s="788" t="n"/>
      <c r="AF19" s="788">
        <f>IFERROR(1/AF$3,1)*SUMIFS(Data!$S$3:$S$305,Data!$O$3:$O$305,AF$1,Data!$P$3:$P$305,IF(RIGHT(AF$2,3)="YTD","&lt;="&amp;LEFT(AF$2,2)*1,AF$2),Data!$K$3:$K$305,$B19)</f>
        <v/>
      </c>
      <c r="AG19" s="788">
        <f>AK19/12*LEFT(AG$2,2)*1</f>
        <v/>
      </c>
      <c r="AH19" s="789">
        <f>AF19-AG19</f>
        <v/>
      </c>
      <c r="AJ19" s="788" t="n">
        <v>103515</v>
      </c>
      <c r="AK19" s="790" t="n">
        <v>0</v>
      </c>
    </row>
    <row r="20" hidden="1" outlineLevel="1" s="701">
      <c r="A20" s="160" t="inlineStr">
        <is>
          <t>TT-CP-00101-20</t>
        </is>
      </c>
      <c r="B20" s="267" t="inlineStr">
        <is>
          <t>SERVICE AIA</t>
        </is>
      </c>
      <c r="C20" s="349" t="inlineStr">
        <is>
          <t>k €</t>
        </is>
      </c>
      <c r="E20" s="788">
        <f>$AJ20/E$3</f>
        <v/>
      </c>
      <c r="F20" s="788">
        <f>IFERROR(1/F$3,1)*SUMIFS(Data!$S$3:$S$305,Data!$O$3:$O$305,F$1,Data!$P$3:$P$305,IF(RIGHT(F$2,3)="YTD","&lt;="&amp;LEFT(F$2,2)*1,F$2),Data!$K$3:$K$305,$B20)</f>
        <v/>
      </c>
      <c r="G20" s="788">
        <f>AK20/12</f>
        <v/>
      </c>
      <c r="I20" s="788">
        <f>IFERROR(1/I$3,1)*SUMIFS(Data!$S$3:$S$305,Data!$O$3:$O$305,I$1,Data!$P$3:$P$305,IF(RIGHT(I$2,3)="YTD","&lt;="&amp;LEFT(I$2,2)*1,I$2),Data!$K$3:$K$305,$B20)</f>
        <v/>
      </c>
      <c r="J20" s="788">
        <f>IFERROR(1/J$3,1)*SUMIFS(Data!$S$3:$S$305,Data!$O$3:$O$305,J$1,Data!$P$3:$P$305,IF(RIGHT(J$2,3)="YTD","&lt;="&amp;LEFT(J$2,2)*1,J$2),Data!$K$3:$K$305,$B20)</f>
        <v/>
      </c>
      <c r="K20" s="788">
        <f>IFERROR(1/K$3,1)*SUMIFS(Data!$S$3:$S$305,Data!$O$3:$O$305,K$1,Data!$P$3:$P$305,IF(RIGHT(K$2,3)="YTD","&lt;="&amp;LEFT(K$2,2)*1,K$2),Data!$K$3:$K$305,$B20)</f>
        <v/>
      </c>
      <c r="L20" s="788">
        <f>IFERROR(1/L$3,1)*SUMIFS(Data!$S$3:$S$305,Data!$O$3:$O$305,L$1,Data!$P$3:$P$305,IF(RIGHT(L$2,3)="YTD","&lt;="&amp;LEFT(L$2,2)*1,L$2),Data!$K$3:$K$305,$B20)</f>
        <v/>
      </c>
      <c r="M20" s="788">
        <f>IFERROR(1/M$3,1)*SUMIFS(Data!$S$3:$S$305,Data!$O$3:$O$305,M$1,Data!$P$3:$P$305,IF(RIGHT(M$2,3)="YTD","&lt;="&amp;LEFT(M$2,2)*1,M$2),Data!$K$3:$K$305,$B20)</f>
        <v/>
      </c>
      <c r="N20" s="788">
        <f>SUMIFS(Data!$S$3:$S$305,Data!$O$3:$O$305,N$1,Data!$P$3:$P$305,N$2,Data!$K$3:$K$305,$B20)</f>
        <v/>
      </c>
      <c r="O20" s="788">
        <f>SUMIFS(Data!$S$3:$S$305,Data!$O$3:$O$305,O$1,Data!$P$3:$P$305,O$2,Data!$K$3:$K$305,$B20)</f>
        <v/>
      </c>
      <c r="P20" s="788">
        <f>SUMIFS(Data!$S$3:$S$305,Data!$O$3:$O$305,P$1,Data!$P$3:$P$305,P$2,Data!$K$3:$K$305,$B20)</f>
        <v/>
      </c>
      <c r="Q20" s="788">
        <f>SUMIFS(Data!$S$3:$S$305,Data!$O$3:$O$305,Q$1,Data!$P$3:$P$305,Q$2,Data!$K$3:$K$305,$B20)</f>
        <v/>
      </c>
      <c r="R20" s="788">
        <f>SUMIFS(Data!$S$3:$S$305,Data!$O$3:$O$305,R$1,Data!$P$3:$P$305,R$2,Data!$K$3:$K$305,$B20)</f>
        <v/>
      </c>
      <c r="S20" s="791">
        <f>SUMIFS(Data!$S$3:$S$305,Data!$O$3:$O$305,S$1,Data!$P$3:$P$305,S$2,Data!$K$3:$K$305,$B20)</f>
        <v/>
      </c>
      <c r="T20" s="791">
        <f>SUMIFS(Data!$S$3:$S$305,Data!$O$3:$O$305,T$1,Data!$P$3:$P$305,T$2,Data!$K$3:$K$305,$B20)</f>
        <v/>
      </c>
      <c r="V20" s="788">
        <f>G20</f>
        <v/>
      </c>
      <c r="W20" s="788">
        <f>$G20</f>
        <v/>
      </c>
      <c r="X20" s="788">
        <f>$G20</f>
        <v/>
      </c>
      <c r="Y20" s="788">
        <f>$G20</f>
        <v/>
      </c>
      <c r="Z20" s="788">
        <f>$G20</f>
        <v/>
      </c>
      <c r="AA20" s="788">
        <f>$G20</f>
        <v/>
      </c>
      <c r="AB20" s="788">
        <f>$G20</f>
        <v/>
      </c>
      <c r="AC20" s="788">
        <f>$G20</f>
        <v/>
      </c>
      <c r="AD20" s="788">
        <f>$G20</f>
        <v/>
      </c>
      <c r="AE20" s="788" t="n"/>
      <c r="AF20" s="788">
        <f>IFERROR(1/AF$3,1)*SUMIFS(Data!$S$3:$S$305,Data!$O$3:$O$305,AF$1,Data!$P$3:$P$305,IF(RIGHT(AF$2,3)="YTD","&lt;="&amp;LEFT(AF$2,2)*1,AF$2),Data!$K$3:$K$305,$B20)</f>
        <v/>
      </c>
      <c r="AG20" s="788">
        <f>AK20/12*LEFT(AG$2,2)*1</f>
        <v/>
      </c>
      <c r="AH20" s="789">
        <f>AF20-AG20</f>
        <v/>
      </c>
      <c r="AJ20" s="788" t="n">
        <v>113419</v>
      </c>
      <c r="AK20" s="790" t="n">
        <v>250000</v>
      </c>
    </row>
    <row r="21" hidden="1" outlineLevel="1" s="701">
      <c r="A21" s="160" t="inlineStr">
        <is>
          <t>TT-CP-00102-20</t>
        </is>
      </c>
      <c r="B21" s="267" t="inlineStr">
        <is>
          <t>SERVICE IC</t>
        </is>
      </c>
      <c r="C21" s="349" t="inlineStr">
        <is>
          <t>k €</t>
        </is>
      </c>
      <c r="E21" s="788">
        <f>$AJ21/E$3</f>
        <v/>
      </c>
      <c r="F21" s="788">
        <f>IFERROR(1/F$3,1)*SUMIFS(Data!$S$3:$S$305,Data!$O$3:$O$305,F$1,Data!$P$3:$P$305,IF(RIGHT(F$2,3)="YTD","&lt;="&amp;LEFT(F$2,2)*1,F$2),Data!$K$3:$K$305,$B21)</f>
        <v/>
      </c>
      <c r="G21" s="788">
        <f>AK21/12</f>
        <v/>
      </c>
      <c r="I21" s="788">
        <f>IFERROR(1/I$3,1)*SUMIFS(Data!$S$3:$S$305,Data!$O$3:$O$305,I$1,Data!$P$3:$P$305,IF(RIGHT(I$2,3)="YTD","&lt;="&amp;LEFT(I$2,2)*1,I$2),Data!$K$3:$K$305,$B21)</f>
        <v/>
      </c>
      <c r="J21" s="788">
        <f>IFERROR(1/J$3,1)*SUMIFS(Data!$S$3:$S$305,Data!$O$3:$O$305,J$1,Data!$P$3:$P$305,IF(RIGHT(J$2,3)="YTD","&lt;="&amp;LEFT(J$2,2)*1,J$2),Data!$K$3:$K$305,$B21)</f>
        <v/>
      </c>
      <c r="K21" s="788">
        <f>IFERROR(1/K$3,1)*SUMIFS(Data!$S$3:$S$305,Data!$O$3:$O$305,K$1,Data!$P$3:$P$305,IF(RIGHT(K$2,3)="YTD","&lt;="&amp;LEFT(K$2,2)*1,K$2),Data!$K$3:$K$305,$B21)</f>
        <v/>
      </c>
      <c r="L21" s="788">
        <f>IFERROR(1/L$3,1)*SUMIFS(Data!$S$3:$S$305,Data!$O$3:$O$305,L$1,Data!$P$3:$P$305,IF(RIGHT(L$2,3)="YTD","&lt;="&amp;LEFT(L$2,2)*1,L$2),Data!$K$3:$K$305,$B21)</f>
        <v/>
      </c>
      <c r="M21" s="788">
        <f>IFERROR(1/M$3,1)*SUMIFS(Data!$S$3:$S$305,Data!$O$3:$O$305,M$1,Data!$P$3:$P$305,IF(RIGHT(M$2,3)="YTD","&lt;="&amp;LEFT(M$2,2)*1,M$2),Data!$K$3:$K$305,$B21)</f>
        <v/>
      </c>
      <c r="N21" s="788">
        <f>SUMIFS(Data!$S$3:$S$305,Data!$O$3:$O$305,N$1,Data!$P$3:$P$305,N$2,Data!$K$3:$K$305,$B21)</f>
        <v/>
      </c>
      <c r="O21" s="788">
        <f>SUMIFS(Data!$S$3:$S$305,Data!$O$3:$O$305,O$1,Data!$P$3:$P$305,O$2,Data!$K$3:$K$305,$B21)</f>
        <v/>
      </c>
      <c r="P21" s="788">
        <f>SUMIFS(Data!$S$3:$S$305,Data!$O$3:$O$305,P$1,Data!$P$3:$P$305,P$2,Data!$K$3:$K$305,$B21)</f>
        <v/>
      </c>
      <c r="Q21" s="788">
        <f>SUMIFS(Data!$S$3:$S$305,Data!$O$3:$O$305,Q$1,Data!$P$3:$P$305,Q$2,Data!$K$3:$K$305,$B21)</f>
        <v/>
      </c>
      <c r="R21" s="788">
        <f>SUMIFS(Data!$S$3:$S$305,Data!$O$3:$O$305,R$1,Data!$P$3:$P$305,R$2,Data!$K$3:$K$305,$B21)</f>
        <v/>
      </c>
      <c r="S21" s="791">
        <f>SUMIFS(Data!$S$3:$S$305,Data!$O$3:$O$305,S$1,Data!$P$3:$P$305,S$2,Data!$K$3:$K$305,$B21)</f>
        <v/>
      </c>
      <c r="T21" s="791">
        <f>SUMIFS(Data!$S$3:$S$305,Data!$O$3:$O$305,T$1,Data!$P$3:$P$305,T$2,Data!$K$3:$K$305,$B21)</f>
        <v/>
      </c>
      <c r="V21" s="788">
        <f>G21</f>
        <v/>
      </c>
      <c r="W21" s="788">
        <f>$G21</f>
        <v/>
      </c>
      <c r="X21" s="788">
        <f>$G21</f>
        <v/>
      </c>
      <c r="Y21" s="788">
        <f>$G21</f>
        <v/>
      </c>
      <c r="Z21" s="788">
        <f>$G21</f>
        <v/>
      </c>
      <c r="AA21" s="788">
        <f>$G21</f>
        <v/>
      </c>
      <c r="AB21" s="788">
        <f>$G21</f>
        <v/>
      </c>
      <c r="AC21" s="788">
        <f>$G21</f>
        <v/>
      </c>
      <c r="AD21" s="788">
        <f>$G21</f>
        <v/>
      </c>
      <c r="AE21" s="788" t="n"/>
      <c r="AF21" s="788">
        <f>IFERROR(1/AF$3,1)*SUMIFS(Data!$S$3:$S$305,Data!$O$3:$O$305,AF$1,Data!$P$3:$P$305,IF(RIGHT(AF$2,3)="YTD","&lt;="&amp;LEFT(AF$2,2)*1,AF$2),Data!$K$3:$K$305,$B21)</f>
        <v/>
      </c>
      <c r="AG21" s="788">
        <f>AK21/12*LEFT(AG$2,2)*1</f>
        <v/>
      </c>
      <c r="AH21" s="789">
        <f>AF21-AG21</f>
        <v/>
      </c>
      <c r="AJ21" s="788" t="n">
        <v>66513</v>
      </c>
      <c r="AK21" s="790" t="n">
        <v>45000</v>
      </c>
    </row>
    <row r="22" hidden="1" outlineLevel="1" s="701">
      <c r="A22" s="160" t="inlineStr">
        <is>
          <t>TT-CP-00100-20</t>
        </is>
      </c>
      <c r="B22" s="267" t="inlineStr">
        <is>
          <t>SERVICE OTHER AIA</t>
        </is>
      </c>
      <c r="C22" s="349" t="inlineStr">
        <is>
          <t>k €</t>
        </is>
      </c>
      <c r="E22" s="788">
        <f>$AJ22/E$3</f>
        <v/>
      </c>
      <c r="F22" s="788">
        <f>IFERROR(1/F$3,1)*SUMIFS(Data!$S$3:$S$305,Data!$O$3:$O$305,F$1,Data!$P$3:$P$305,IF(RIGHT(F$2,3)="YTD","&lt;="&amp;LEFT(F$2,2)*1,F$2),Data!$K$3:$K$305,$B22)</f>
        <v/>
      </c>
      <c r="G22" s="788">
        <f>AK22/12</f>
        <v/>
      </c>
      <c r="I22" s="788">
        <f>IFERROR(1/I$3,1)*SUMIFS(Data!$S$3:$S$305,Data!$O$3:$O$305,I$1,Data!$P$3:$P$305,IF(RIGHT(I$2,3)="YTD","&lt;="&amp;LEFT(I$2,2)*1,I$2),Data!$K$3:$K$305,$B22)</f>
        <v/>
      </c>
      <c r="J22" s="788">
        <f>IFERROR(1/J$3,1)*SUMIFS(Data!$S$3:$S$305,Data!$O$3:$O$305,J$1,Data!$P$3:$P$305,IF(RIGHT(J$2,3)="YTD","&lt;="&amp;LEFT(J$2,2)*1,J$2),Data!$K$3:$K$305,$B22)</f>
        <v/>
      </c>
      <c r="K22" s="788">
        <f>IFERROR(1/K$3,1)*SUMIFS(Data!$S$3:$S$305,Data!$O$3:$O$305,K$1,Data!$P$3:$P$305,IF(RIGHT(K$2,3)="YTD","&lt;="&amp;LEFT(K$2,2)*1,K$2),Data!$K$3:$K$305,$B22)</f>
        <v/>
      </c>
      <c r="L22" s="788">
        <f>IFERROR(1/L$3,1)*SUMIFS(Data!$S$3:$S$305,Data!$O$3:$O$305,L$1,Data!$P$3:$P$305,IF(RIGHT(L$2,3)="YTD","&lt;="&amp;LEFT(L$2,2)*1,L$2),Data!$K$3:$K$305,$B22)</f>
        <v/>
      </c>
      <c r="M22" s="788">
        <f>IFERROR(1/M$3,1)*SUMIFS(Data!$S$3:$S$305,Data!$O$3:$O$305,M$1,Data!$P$3:$P$305,IF(RIGHT(M$2,3)="YTD","&lt;="&amp;LEFT(M$2,2)*1,M$2),Data!$K$3:$K$305,$B22)</f>
        <v/>
      </c>
      <c r="N22" s="788">
        <f>SUMIFS(Data!$S$3:$S$305,Data!$O$3:$O$305,N$1,Data!$P$3:$P$305,N$2,Data!$K$3:$K$305,$B22)</f>
        <v/>
      </c>
      <c r="O22" s="788">
        <f>SUMIFS(Data!$S$3:$S$305,Data!$O$3:$O$305,O$1,Data!$P$3:$P$305,O$2,Data!$K$3:$K$305,$B22)</f>
        <v/>
      </c>
      <c r="P22" s="788">
        <f>SUMIFS(Data!$S$3:$S$305,Data!$O$3:$O$305,P$1,Data!$P$3:$P$305,P$2,Data!$K$3:$K$305,$B22)</f>
        <v/>
      </c>
      <c r="Q22" s="788">
        <f>SUMIFS(Data!$S$3:$S$305,Data!$O$3:$O$305,Q$1,Data!$P$3:$P$305,Q$2,Data!$K$3:$K$305,$B22)</f>
        <v/>
      </c>
      <c r="R22" s="788">
        <f>SUMIFS(Data!$S$3:$S$305,Data!$O$3:$O$305,R$1,Data!$P$3:$P$305,R$2,Data!$K$3:$K$305,$B22)</f>
        <v/>
      </c>
      <c r="S22" s="791">
        <f>SUMIFS(Data!$S$3:$S$305,Data!$O$3:$O$305,S$1,Data!$P$3:$P$305,S$2,Data!$K$3:$K$305,$B22)</f>
        <v/>
      </c>
      <c r="T22" s="791">
        <f>SUMIFS(Data!$S$3:$S$305,Data!$O$3:$O$305,T$1,Data!$P$3:$P$305,T$2,Data!$K$3:$K$305,$B22)</f>
        <v/>
      </c>
      <c r="V22" s="788">
        <f>G22</f>
        <v/>
      </c>
      <c r="W22" s="788">
        <f>$G22</f>
        <v/>
      </c>
      <c r="X22" s="788">
        <f>$G22</f>
        <v/>
      </c>
      <c r="Y22" s="788">
        <f>$G22</f>
        <v/>
      </c>
      <c r="Z22" s="788">
        <f>$G22</f>
        <v/>
      </c>
      <c r="AA22" s="788">
        <f>$G22</f>
        <v/>
      </c>
      <c r="AB22" s="788">
        <f>$G22</f>
        <v/>
      </c>
      <c r="AC22" s="788">
        <f>$G22</f>
        <v/>
      </c>
      <c r="AD22" s="788">
        <f>$G22</f>
        <v/>
      </c>
      <c r="AE22" s="788" t="n"/>
      <c r="AF22" s="788">
        <f>IFERROR(1/AF$3,1)*SUMIFS(Data!$S$3:$S$305,Data!$O$3:$O$305,AF$1,Data!$P$3:$P$305,IF(RIGHT(AF$2,3)="YTD","&lt;="&amp;LEFT(AF$2,2)*1,AF$2),Data!$K$3:$K$305,$B22)</f>
        <v/>
      </c>
      <c r="AG22" s="788">
        <f>AK22/12*LEFT(AG$2,2)*1</f>
        <v/>
      </c>
      <c r="AH22" s="789">
        <f>AF22-AG22</f>
        <v/>
      </c>
      <c r="AJ22" s="788" t="n">
        <v>3650</v>
      </c>
      <c r="AK22" s="788" t="n">
        <v>250000</v>
      </c>
    </row>
    <row r="23" hidden="1" outlineLevel="1" s="701">
      <c r="A23" t="inlineStr">
        <is>
          <t>TT-CP-00110-20</t>
        </is>
      </c>
      <c r="B23" s="267" t="inlineStr">
        <is>
          <t>TRADING OTHER AIA</t>
        </is>
      </c>
      <c r="C23" s="349" t="inlineStr">
        <is>
          <t>k €</t>
        </is>
      </c>
      <c r="E23" s="788">
        <f>$AJ23/E$3</f>
        <v/>
      </c>
      <c r="F23" s="788">
        <f>IFERROR(1/F$3,1)*SUMIFS(Data!$S$3:$S$305,Data!$O$3:$O$305,F$1,Data!$P$3:$P$305,IF(RIGHT(F$2,3)="YTD","&lt;="&amp;LEFT(F$2,2)*1,F$2),Data!$K$3:$K$305,$B23)</f>
        <v/>
      </c>
      <c r="G23" s="788">
        <f>AK23/12</f>
        <v/>
      </c>
      <c r="I23" s="788">
        <f>IFERROR(1/I$3,1)*SUMIFS(Data!$S$3:$S$305,Data!$O$3:$O$305,I$1,Data!$P$3:$P$305,IF(RIGHT(I$2,3)="YTD","&lt;="&amp;LEFT(I$2,2)*1,I$2),Data!$K$3:$K$305,$B23)</f>
        <v/>
      </c>
      <c r="J23" s="788">
        <f>IFERROR(1/J$3,1)*SUMIFS(Data!$S$3:$S$305,Data!$O$3:$O$305,J$1,Data!$P$3:$P$305,IF(RIGHT(J$2,3)="YTD","&lt;="&amp;LEFT(J$2,2)*1,J$2),Data!$K$3:$K$305,$B23)</f>
        <v/>
      </c>
      <c r="K23" s="788">
        <f>IFERROR(1/K$3,1)*SUMIFS(Data!$S$3:$S$305,Data!$O$3:$O$305,K$1,Data!$P$3:$P$305,IF(RIGHT(K$2,3)="YTD","&lt;="&amp;LEFT(K$2,2)*1,K$2),Data!$K$3:$K$305,$B23)</f>
        <v/>
      </c>
      <c r="L23" s="788">
        <f>IFERROR(1/L$3,1)*SUMIFS(Data!$S$3:$S$305,Data!$O$3:$O$305,L$1,Data!$P$3:$P$305,IF(RIGHT(L$2,3)="YTD","&lt;="&amp;LEFT(L$2,2)*1,L$2),Data!$K$3:$K$305,$B23)</f>
        <v/>
      </c>
      <c r="M23" s="788">
        <f>IFERROR(1/M$3,1)*SUMIFS(Data!$S$3:$S$305,Data!$O$3:$O$305,M$1,Data!$P$3:$P$305,IF(RIGHT(M$2,3)="YTD","&lt;="&amp;LEFT(M$2,2)*1,M$2),Data!$K$3:$K$305,$B23)</f>
        <v/>
      </c>
      <c r="N23" s="788">
        <f>SUMIFS(Data!$S$3:$S$305,Data!$O$3:$O$305,N$1,Data!$P$3:$P$305,N$2,Data!$K$3:$K$305,$B23)</f>
        <v/>
      </c>
      <c r="O23" s="788">
        <f>SUMIFS(Data!$S$3:$S$305,Data!$O$3:$O$305,O$1,Data!$P$3:$P$305,O$2,Data!$K$3:$K$305,$B23)</f>
        <v/>
      </c>
      <c r="P23" s="788">
        <f>SUMIFS(Data!$S$3:$S$305,Data!$O$3:$O$305,P$1,Data!$P$3:$P$305,P$2,Data!$K$3:$K$305,$B23)</f>
        <v/>
      </c>
      <c r="Q23" s="788">
        <f>SUMIFS(Data!$S$3:$S$305,Data!$O$3:$O$305,Q$1,Data!$P$3:$P$305,Q$2,Data!$K$3:$K$305,$B23)</f>
        <v/>
      </c>
      <c r="R23" s="788">
        <f>SUMIFS(Data!$S$3:$S$305,Data!$O$3:$O$305,R$1,Data!$P$3:$P$305,R$2,Data!$K$3:$K$305,$B23)</f>
        <v/>
      </c>
      <c r="S23" s="791">
        <f>SUMIFS(Data!$S$3:$S$305,Data!$O$3:$O$305,S$1,Data!$P$3:$P$305,S$2,Data!$K$3:$K$305,$B23)</f>
        <v/>
      </c>
      <c r="T23" s="791">
        <f>SUMIFS(Data!$S$3:$S$305,Data!$O$3:$O$305,T$1,Data!$P$3:$P$305,T$2,Data!$K$3:$K$305,$B23)</f>
        <v/>
      </c>
      <c r="V23" s="788">
        <f>G23</f>
        <v/>
      </c>
      <c r="W23" s="788">
        <f>$G23</f>
        <v/>
      </c>
      <c r="X23" s="788">
        <f>$G23</f>
        <v/>
      </c>
      <c r="Y23" s="788">
        <f>$G23</f>
        <v/>
      </c>
      <c r="Z23" s="788">
        <f>$G23</f>
        <v/>
      </c>
      <c r="AA23" s="788">
        <f>$G23</f>
        <v/>
      </c>
      <c r="AB23" s="788">
        <f>$G23</f>
        <v/>
      </c>
      <c r="AC23" s="788">
        <f>$G23</f>
        <v/>
      </c>
      <c r="AD23" s="788">
        <f>$G23</f>
        <v/>
      </c>
      <c r="AE23" s="788" t="n"/>
      <c r="AF23" s="788">
        <f>IFERROR(1/AF$3,1)*SUMIFS(Data!$S$3:$S$305,Data!$O$3:$O$305,AF$1,Data!$P$3:$P$305,IF(RIGHT(AF$2,3)="YTD","&lt;="&amp;LEFT(AF$2,2)*1,AF$2),Data!$K$3:$K$305,$B23)</f>
        <v/>
      </c>
      <c r="AG23" s="788">
        <f>AK23/12*LEFT(AG$2,2)*1</f>
        <v/>
      </c>
      <c r="AH23" s="789">
        <f>AF23-AG23</f>
        <v/>
      </c>
      <c r="AJ23" s="788" t="n">
        <v>851592</v>
      </c>
      <c r="AK23" s="788" t="n">
        <v>0</v>
      </c>
    </row>
    <row r="24" hidden="1" outlineLevel="1" s="701">
      <c r="B24" s="267" t="inlineStr">
        <is>
          <t>TRADING AIA</t>
        </is>
      </c>
      <c r="C24" s="349" t="inlineStr">
        <is>
          <t>k €</t>
        </is>
      </c>
      <c r="E24" s="788">
        <f>$AJ24/E$3</f>
        <v/>
      </c>
      <c r="F24" s="788">
        <f>IFERROR(1/F$3,1)*SUMIFS(Data!$S$3:$S$305,Data!$O$3:$O$305,F$1,Data!$P$3:$P$305,IF(RIGHT(F$2,3)="YTD","&lt;="&amp;LEFT(F$2,2)*1,F$2),Data!$K$3:$K$305,$B24)</f>
        <v/>
      </c>
      <c r="G24" s="788">
        <f>AK24/12</f>
        <v/>
      </c>
      <c r="I24" s="788">
        <f>IFERROR(1/I$3,1)*SUMIFS(Data!$S$3:$S$305,Data!$O$3:$O$305,I$1,Data!$P$3:$P$305,IF(RIGHT(I$2,3)="YTD","&lt;="&amp;LEFT(I$2,2)*1,I$2),Data!$K$3:$K$305,$B24)</f>
        <v/>
      </c>
      <c r="J24" s="788">
        <f>IFERROR(1/J$3,1)*SUMIFS(Data!$S$3:$S$305,Data!$O$3:$O$305,J$1,Data!$P$3:$P$305,IF(RIGHT(J$2,3)="YTD","&lt;="&amp;LEFT(J$2,2)*1,J$2),Data!$K$3:$K$305,$B24)</f>
        <v/>
      </c>
      <c r="K24" s="788">
        <f>IFERROR(1/K$3,1)*SUMIFS(Data!$S$3:$S$305,Data!$O$3:$O$305,K$1,Data!$P$3:$P$305,IF(RIGHT(K$2,3)="YTD","&lt;="&amp;LEFT(K$2,2)*1,K$2),Data!$K$3:$K$305,$B24)</f>
        <v/>
      </c>
      <c r="L24" s="788">
        <f>IFERROR(1/L$3,1)*SUMIFS(Data!$S$3:$S$305,Data!$O$3:$O$305,L$1,Data!$P$3:$P$305,IF(RIGHT(L$2,3)="YTD","&lt;="&amp;LEFT(L$2,2)*1,L$2),Data!$K$3:$K$305,$B24)</f>
        <v/>
      </c>
      <c r="M24" s="788">
        <f>IFERROR(1/M$3,1)*SUMIFS(Data!$S$3:$S$305,Data!$O$3:$O$305,M$1,Data!$P$3:$P$305,IF(RIGHT(M$2,3)="YTD","&lt;="&amp;LEFT(M$2,2)*1,M$2),Data!$K$3:$K$305,$B24)</f>
        <v/>
      </c>
      <c r="N24" s="788">
        <f>SUMIFS(Data!$S$3:$S$305,Data!$O$3:$O$305,N$1,Data!$P$3:$P$305,N$2,Data!$K$3:$K$305,$B24)</f>
        <v/>
      </c>
      <c r="O24" s="788">
        <f>SUMIFS(Data!$S$3:$S$305,Data!$O$3:$O$305,O$1,Data!$P$3:$P$305,O$2,Data!$K$3:$K$305,$B24)</f>
        <v/>
      </c>
      <c r="P24" s="788">
        <f>SUMIFS(Data!$S$3:$S$305,Data!$O$3:$O$305,P$1,Data!$P$3:$P$305,P$2,Data!$K$3:$K$305,$B24)</f>
        <v/>
      </c>
      <c r="Q24" s="788">
        <f>SUMIFS(Data!$S$3:$S$305,Data!$O$3:$O$305,Q$1,Data!$P$3:$P$305,Q$2,Data!$K$3:$K$305,$B24)</f>
        <v/>
      </c>
      <c r="R24" s="788">
        <f>SUMIFS(Data!$S$3:$S$305,Data!$O$3:$O$305,R$1,Data!$P$3:$P$305,R$2,Data!$K$3:$K$305,$B24)</f>
        <v/>
      </c>
      <c r="S24" s="791">
        <f>SUMIFS(Data!$S$3:$S$305,Data!$O$3:$O$305,S$1,Data!$P$3:$P$305,S$2,Data!$K$3:$K$305,$B24)</f>
        <v/>
      </c>
      <c r="T24" s="791">
        <f>SUMIFS(Data!$S$3:$S$305,Data!$O$3:$O$305,T$1,Data!$P$3:$P$305,T$2,Data!$K$3:$K$305,$B24)</f>
        <v/>
      </c>
      <c r="V24" s="788">
        <f>G24</f>
        <v/>
      </c>
      <c r="W24" s="788">
        <f>$G24</f>
        <v/>
      </c>
      <c r="X24" s="788">
        <f>$G24</f>
        <v/>
      </c>
      <c r="Y24" s="788">
        <f>$G24</f>
        <v/>
      </c>
      <c r="Z24" s="788">
        <f>$G24</f>
        <v/>
      </c>
      <c r="AA24" s="788">
        <f>$G24</f>
        <v/>
      </c>
      <c r="AB24" s="788">
        <f>$G24</f>
        <v/>
      </c>
      <c r="AC24" s="788">
        <f>$G24</f>
        <v/>
      </c>
      <c r="AD24" s="788">
        <f>$G24</f>
        <v/>
      </c>
      <c r="AE24" s="788" t="n"/>
      <c r="AF24" s="788">
        <f>IFERROR(1/AF$3,1)*SUMIFS(Data!$S$3:$S$305,Data!$O$3:$O$305,AF$1,Data!$P$3:$P$305,IF(RIGHT(AF$2,3)="YTD","&lt;="&amp;LEFT(AF$2,2)*1,AF$2),Data!$K$3:$K$305,$B24)</f>
        <v/>
      </c>
      <c r="AG24" s="788">
        <f>AK24/12*LEFT(AG$2,2)*1</f>
        <v/>
      </c>
      <c r="AH24" s="789">
        <f>AF24-AG24</f>
        <v/>
      </c>
      <c r="AJ24" s="788" t="n">
        <v>2741614</v>
      </c>
      <c r="AK24" s="788" t="n">
        <v>0</v>
      </c>
    </row>
    <row r="25" hidden="1" outlineLevel="1" customFormat="1" s="329">
      <c r="B25" s="265" t="inlineStr">
        <is>
          <t>TOTAL HYFR</t>
        </is>
      </c>
      <c r="C25" s="246" t="n"/>
      <c r="E25" s="790" t="n"/>
      <c r="F25" s="790" t="n"/>
      <c r="G25" s="790" t="n"/>
      <c r="I25" s="792">
        <f>SUM(I15:I24)</f>
        <v/>
      </c>
      <c r="J25" s="792">
        <f>SUM(J15:J24)</f>
        <v/>
      </c>
      <c r="K25" s="792">
        <f>SUM(K15:K24)</f>
        <v/>
      </c>
      <c r="L25" s="792">
        <f>SUM(L15:L24)</f>
        <v/>
      </c>
      <c r="M25" s="792">
        <f>SUM(M15:M24)</f>
        <v/>
      </c>
      <c r="N25" s="792">
        <f>SUM(N15:N24)</f>
        <v/>
      </c>
      <c r="O25" s="792">
        <f>SUM(O15:O24)</f>
        <v/>
      </c>
      <c r="P25" s="792">
        <f>SUM(P15:P24)</f>
        <v/>
      </c>
      <c r="Q25" s="792">
        <f>SUM(Q15:Q24)</f>
        <v/>
      </c>
      <c r="R25" s="792">
        <f>SUM(R15:R24)</f>
        <v/>
      </c>
      <c r="S25" s="792">
        <f>SUM(S15:S24)</f>
        <v/>
      </c>
      <c r="T25" s="792">
        <f>SUM(T15:T24)</f>
        <v/>
      </c>
      <c r="U25" s="792" t="n"/>
      <c r="V25" s="792">
        <f>SUM(V15:V24)</f>
        <v/>
      </c>
      <c r="W25" s="792">
        <f>SUM(W15:W24)</f>
        <v/>
      </c>
      <c r="X25" s="792">
        <f>SUM(X15:X24)</f>
        <v/>
      </c>
      <c r="Y25" s="792">
        <f>SUM(Y15:Y24)</f>
        <v/>
      </c>
      <c r="Z25" s="790" t="n"/>
      <c r="AA25" s="790" t="n"/>
      <c r="AB25" s="790" t="n"/>
      <c r="AC25" s="788">
        <f>$G25</f>
        <v/>
      </c>
      <c r="AD25" s="788">
        <f>$G25</f>
        <v/>
      </c>
      <c r="AE25" s="790" t="n"/>
      <c r="AF25" s="788">
        <f>SUM(AF15:AF24)</f>
        <v/>
      </c>
      <c r="AG25" s="788">
        <f>SUM(AG15:AG24)</f>
        <v/>
      </c>
      <c r="AH25" s="789">
        <f>SUM(AH15:AH24)</f>
        <v/>
      </c>
      <c r="AJ25" s="790">
        <f>SUM(AJ15:AJ24)</f>
        <v/>
      </c>
      <c r="AK25" s="790">
        <f>SUM(AK15:AK24)</f>
        <v/>
      </c>
    </row>
    <row r="26" hidden="1" outlineLevel="1" s="701">
      <c r="B26" s="266" t="inlineStr">
        <is>
          <t>GSE (HYKG)</t>
        </is>
      </c>
      <c r="C26" s="266" t="inlineStr">
        <is>
          <t>k €</t>
        </is>
      </c>
      <c r="E26" s="793">
        <f>AJ26/12*LEFT($F$2,2)</f>
        <v/>
      </c>
      <c r="F26" s="793">
        <f>SUM(I26:T26)/LEFT($F$2,2)</f>
        <v/>
      </c>
      <c r="G26" s="793">
        <f>AJ26/12</f>
        <v/>
      </c>
      <c r="I26" s="794">
        <f>Reporting!C65</f>
        <v/>
      </c>
      <c r="J26" s="794">
        <f>Reporting!D65</f>
        <v/>
      </c>
      <c r="K26" s="794">
        <f>Reporting!E65</f>
        <v/>
      </c>
      <c r="L26" s="794">
        <f>Reporting!F65</f>
        <v/>
      </c>
      <c r="M26" s="794">
        <f>Reporting!G65</f>
        <v/>
      </c>
      <c r="N26" s="794">
        <f>Reporting!H65</f>
        <v/>
      </c>
      <c r="O26" s="794">
        <f>Reporting!I65</f>
        <v/>
      </c>
      <c r="P26" s="794">
        <f>Reporting!J65</f>
        <v/>
      </c>
      <c r="Q26" s="794">
        <f>Reporting!K65</f>
        <v/>
      </c>
      <c r="R26" s="794">
        <f>Reporting!L65</f>
        <v/>
      </c>
      <c r="S26" s="794">
        <f>Reporting!M65</f>
        <v/>
      </c>
      <c r="T26" s="794">
        <f>Reporting!N65</f>
        <v/>
      </c>
      <c r="V26" s="793">
        <f>G27</f>
        <v/>
      </c>
      <c r="W26" s="793">
        <f>$G$26</f>
        <v/>
      </c>
      <c r="X26" s="793">
        <f>$G$26</f>
        <v/>
      </c>
      <c r="Y26" s="793">
        <f>$G$26</f>
        <v/>
      </c>
      <c r="Z26" s="793">
        <f>$G$26</f>
        <v/>
      </c>
      <c r="AA26" s="793">
        <f>$G$26</f>
        <v/>
      </c>
      <c r="AB26" s="793">
        <f>$G$26</f>
        <v/>
      </c>
      <c r="AC26" s="793">
        <f>$G$26</f>
        <v/>
      </c>
      <c r="AD26" s="793">
        <f>$G$26</f>
        <v/>
      </c>
      <c r="AE26" s="793" t="n"/>
      <c r="AF26" s="793">
        <f>SUM(I26:T26)</f>
        <v/>
      </c>
      <c r="AG26" s="793">
        <f>AK26/12*$C$5</f>
        <v/>
      </c>
      <c r="AH26" s="795">
        <f>AF26-AG26</f>
        <v/>
      </c>
      <c r="AJ26" s="793" t="n">
        <v>2741614</v>
      </c>
      <c r="AK26" s="796" t="n">
        <v>6630000</v>
      </c>
    </row>
    <row r="27" hidden="1" outlineLevel="1" customFormat="1" s="329">
      <c r="B27" s="265" t="n"/>
      <c r="C27" s="265" t="inlineStr">
        <is>
          <t>k €</t>
        </is>
      </c>
      <c r="E27" s="790" t="n"/>
      <c r="F27" s="790" t="n"/>
      <c r="G27" s="790" t="n"/>
      <c r="I27" s="792">
        <f>I25+I26</f>
        <v/>
      </c>
      <c r="J27" s="792">
        <f>J25+J26</f>
        <v/>
      </c>
      <c r="K27" s="792">
        <f>K25+K26</f>
        <v/>
      </c>
      <c r="L27" s="792">
        <f>L25+L26</f>
        <v/>
      </c>
      <c r="M27" s="792">
        <f>M25+M26</f>
        <v/>
      </c>
      <c r="N27" s="792">
        <f>N25+N26</f>
        <v/>
      </c>
      <c r="O27" s="792">
        <f>O25+O26</f>
        <v/>
      </c>
      <c r="P27" s="792">
        <f>P25+P26</f>
        <v/>
      </c>
      <c r="Q27" s="792">
        <f>Q25+Q26</f>
        <v/>
      </c>
      <c r="R27" s="792">
        <f>R25+R26</f>
        <v/>
      </c>
      <c r="S27" s="792">
        <f>S25+S26</f>
        <v/>
      </c>
      <c r="T27" s="792">
        <f>T25+T26</f>
        <v/>
      </c>
      <c r="U27" s="792" t="n"/>
      <c r="V27" s="792">
        <f>V25+V26</f>
        <v/>
      </c>
      <c r="W27" s="792">
        <f>W25+W26</f>
        <v/>
      </c>
      <c r="X27" s="792">
        <f>X25+X26</f>
        <v/>
      </c>
      <c r="Y27" s="792">
        <f>Y25+Y26</f>
        <v/>
      </c>
      <c r="Z27" s="797" t="n"/>
      <c r="AA27" s="797" t="n"/>
      <c r="AB27" s="797" t="n"/>
      <c r="AC27" s="797" t="n"/>
      <c r="AD27" s="797" t="n"/>
      <c r="AE27" s="797" t="n"/>
      <c r="AF27" s="790">
        <f>SUM(I27:K27)</f>
        <v/>
      </c>
      <c r="AG27" s="790" t="n"/>
      <c r="AH27" s="797" t="n"/>
      <c r="AJ27" s="790">
        <f>SUM(M27:O27)</f>
        <v/>
      </c>
      <c r="AK27" s="797" t="n"/>
    </row>
    <row r="28" collapsed="1" customFormat="1" s="329">
      <c r="B28" s="265" t="n"/>
      <c r="C28" s="265" t="n"/>
      <c r="E28" s="790" t="n"/>
      <c r="F28" s="790" t="n"/>
      <c r="G28" s="790" t="n"/>
      <c r="I28" s="792" t="n"/>
      <c r="J28" s="792" t="n"/>
      <c r="K28" s="792" t="n"/>
      <c r="L28" s="792" t="n"/>
      <c r="M28" s="792" t="n"/>
      <c r="N28" s="792" t="n"/>
      <c r="O28" s="792" t="n"/>
      <c r="P28" s="792" t="n"/>
      <c r="Q28" s="792" t="n"/>
      <c r="R28" s="792" t="n"/>
      <c r="S28" s="792" t="n"/>
      <c r="T28" s="792" t="n"/>
      <c r="V28" s="797" t="n"/>
      <c r="W28" s="797" t="n"/>
      <c r="X28" s="797" t="n"/>
      <c r="Y28" s="797" t="n"/>
      <c r="Z28" s="797" t="n"/>
      <c r="AA28" s="797" t="n"/>
      <c r="AB28" s="797" t="n"/>
      <c r="AC28" s="797" t="n"/>
      <c r="AD28" s="797" t="n"/>
      <c r="AE28" s="797" t="n"/>
      <c r="AF28" s="790" t="n"/>
      <c r="AG28" s="790" t="n"/>
      <c r="AH28" s="797" t="n"/>
      <c r="AJ28" s="790" t="n"/>
      <c r="AK28" s="797" t="n"/>
    </row>
    <row r="29">
      <c r="B29" s="267" t="n"/>
      <c r="E29" s="798" t="n"/>
      <c r="F29" s="798" t="n"/>
      <c r="G29" s="799" t="n"/>
      <c r="I29" s="799" t="n"/>
      <c r="J29" s="799" t="n"/>
      <c r="K29" s="799" t="n"/>
      <c r="L29" s="799" t="n"/>
      <c r="M29" s="799" t="n"/>
      <c r="N29" s="799" t="n"/>
      <c r="O29" s="799" t="n"/>
      <c r="P29" s="799" t="n"/>
      <c r="Q29" s="799" t="n"/>
      <c r="R29" s="799" t="n"/>
      <c r="S29" s="799" t="n"/>
      <c r="T29" s="799" t="n"/>
      <c r="V29" s="799" t="n"/>
      <c r="W29" s="800" t="n"/>
      <c r="X29" s="800" t="n"/>
      <c r="Y29" s="800" t="n"/>
      <c r="Z29" s="800" t="n"/>
      <c r="AA29" s="800" t="n"/>
      <c r="AB29" s="800" t="n"/>
      <c r="AC29" s="800" t="n"/>
      <c r="AD29" s="800" t="n"/>
      <c r="AE29" s="788" t="n"/>
      <c r="AF29" s="800" t="n"/>
      <c r="AG29" s="800" t="n"/>
      <c r="AH29" s="801" t="n"/>
      <c r="AJ29" s="800" t="n"/>
      <c r="AK29" s="800" t="n"/>
    </row>
    <row r="30" customFormat="1" s="160">
      <c r="C30" s="246" t="n"/>
      <c r="E30" s="802" t="inlineStr">
        <is>
          <t>Ø 2020</t>
        </is>
      </c>
      <c r="F30" s="269" t="inlineStr">
        <is>
          <t>Ø 2021</t>
        </is>
      </c>
      <c r="G30" s="803" t="inlineStr">
        <is>
          <t>Ø 2022</t>
        </is>
      </c>
      <c r="I30" s="269" t="inlineStr">
        <is>
          <t>01 2021</t>
        </is>
      </c>
      <c r="J30" s="269" t="inlineStr">
        <is>
          <t>02 2021</t>
        </is>
      </c>
      <c r="K30" s="269" t="inlineStr">
        <is>
          <t>03 2021</t>
        </is>
      </c>
      <c r="L30" s="269" t="inlineStr">
        <is>
          <t>4 2021</t>
        </is>
      </c>
      <c r="M30" s="269" t="inlineStr">
        <is>
          <t>5 2021</t>
        </is>
      </c>
      <c r="N30" s="269" t="inlineStr">
        <is>
          <t>6 2021</t>
        </is>
      </c>
      <c r="O30" s="269" t="inlineStr">
        <is>
          <t>7 2021</t>
        </is>
      </c>
      <c r="P30" s="269" t="inlineStr">
        <is>
          <t>8 2021</t>
        </is>
      </c>
      <c r="Q30" s="269" t="inlineStr">
        <is>
          <t>9 2021</t>
        </is>
      </c>
      <c r="R30" s="269" t="inlineStr">
        <is>
          <t>10 2021</t>
        </is>
      </c>
      <c r="S30" s="269" t="inlineStr">
        <is>
          <t>11 2021</t>
        </is>
      </c>
      <c r="T30" s="269" t="inlineStr">
        <is>
          <t>12 2021</t>
        </is>
      </c>
      <c r="V30" s="804" t="inlineStr">
        <is>
          <t>04 2021</t>
        </is>
      </c>
      <c r="W30" s="805" t="inlineStr">
        <is>
          <t>05 2021</t>
        </is>
      </c>
      <c r="X30" s="805" t="inlineStr">
        <is>
          <t>06 2021</t>
        </is>
      </c>
      <c r="Y30" s="805" t="inlineStr">
        <is>
          <t>07 2021</t>
        </is>
      </c>
      <c r="Z30" s="805" t="inlineStr">
        <is>
          <t>08 2021</t>
        </is>
      </c>
      <c r="AA30" s="805" t="inlineStr">
        <is>
          <t>09 2021</t>
        </is>
      </c>
      <c r="AB30" s="805" t="inlineStr">
        <is>
          <t>10 2021</t>
        </is>
      </c>
      <c r="AC30" s="805" t="inlineStr">
        <is>
          <t>11 2021</t>
        </is>
      </c>
      <c r="AD30" s="805" t="inlineStr">
        <is>
          <t>12 2021</t>
        </is>
      </c>
      <c r="AE30" s="790" t="n"/>
      <c r="AF30" s="269">
        <f>AF$2&amp;" "&amp;AF$1</f>
        <v/>
      </c>
      <c r="AG30" s="270">
        <f>AG$2&amp;" "&amp;AG$1</f>
        <v/>
      </c>
      <c r="AH30" s="261">
        <f>AH$2&amp;" "&amp;AH$1</f>
        <v/>
      </c>
      <c r="AJ30" s="244">
        <f>AJ$2&amp;" "&amp;AJ$1</f>
        <v/>
      </c>
      <c r="AK30" s="270">
        <f>AK$2&amp;" "&amp;AK$1</f>
        <v/>
      </c>
    </row>
    <row r="31" customFormat="1" s="160">
      <c r="B31" s="267" t="n"/>
      <c r="C31" s="349" t="n"/>
      <c r="E31" s="802" t="inlineStr">
        <is>
          <t>ACT</t>
        </is>
      </c>
      <c r="F31" s="269" t="inlineStr">
        <is>
          <t>ACT</t>
        </is>
      </c>
      <c r="G31" s="803" t="inlineStr">
        <is>
          <t>PLAN</t>
        </is>
      </c>
      <c r="I31" s="269" t="inlineStr">
        <is>
          <t>ACT</t>
        </is>
      </c>
      <c r="J31" s="269" t="inlineStr">
        <is>
          <t>ACT</t>
        </is>
      </c>
      <c r="K31" s="269" t="inlineStr">
        <is>
          <t>ACT</t>
        </is>
      </c>
      <c r="L31" s="269" t="inlineStr">
        <is>
          <t>ACT</t>
        </is>
      </c>
      <c r="M31" s="269" t="inlineStr">
        <is>
          <t>ACT</t>
        </is>
      </c>
      <c r="N31" s="269" t="inlineStr">
        <is>
          <t>ACT</t>
        </is>
      </c>
      <c r="O31" s="269" t="inlineStr">
        <is>
          <t>ACT</t>
        </is>
      </c>
      <c r="P31" s="269" t="inlineStr">
        <is>
          <t>ACT</t>
        </is>
      </c>
      <c r="Q31" s="269" t="inlineStr">
        <is>
          <t>ACT</t>
        </is>
      </c>
      <c r="R31" s="269" t="inlineStr">
        <is>
          <t>ACT</t>
        </is>
      </c>
      <c r="S31" s="269" t="inlineStr">
        <is>
          <t>ACT</t>
        </is>
      </c>
      <c r="T31" s="269" t="inlineStr">
        <is>
          <t>ACT</t>
        </is>
      </c>
      <c r="V31" s="804" t="inlineStr">
        <is>
          <t>FCST</t>
        </is>
      </c>
      <c r="W31" s="805" t="inlineStr">
        <is>
          <t>FCST</t>
        </is>
      </c>
      <c r="X31" s="805" t="inlineStr">
        <is>
          <t>FCST</t>
        </is>
      </c>
      <c r="Y31" s="805" t="inlineStr">
        <is>
          <t>FCST</t>
        </is>
      </c>
      <c r="Z31" s="805" t="inlineStr">
        <is>
          <t>FCST</t>
        </is>
      </c>
      <c r="AA31" s="805" t="inlineStr">
        <is>
          <t>FCST</t>
        </is>
      </c>
      <c r="AB31" s="805" t="inlineStr">
        <is>
          <t>FCST</t>
        </is>
      </c>
      <c r="AC31" s="805" t="inlineStr">
        <is>
          <t>FCST</t>
        </is>
      </c>
      <c r="AD31" s="805" t="inlineStr">
        <is>
          <t>FCST</t>
        </is>
      </c>
      <c r="AE31" s="790" t="n"/>
      <c r="AF31" s="269" t="inlineStr">
        <is>
          <t xml:space="preserve">ACT </t>
        </is>
      </c>
      <c r="AG31" s="270" t="inlineStr">
        <is>
          <t xml:space="preserve">PLAN </t>
        </is>
      </c>
      <c r="AH31" s="262" t="inlineStr">
        <is>
          <t>∆  ACT PLAN</t>
        </is>
      </c>
      <c r="AJ31" s="244" t="inlineStr">
        <is>
          <t xml:space="preserve">ACT </t>
        </is>
      </c>
      <c r="AK31" s="270" t="inlineStr">
        <is>
          <t xml:space="preserve">PLAN </t>
        </is>
      </c>
    </row>
    <row r="32" customFormat="1" s="329">
      <c r="B32" s="336" t="inlineStr">
        <is>
          <t>Revenue by Business Field</t>
        </is>
      </c>
      <c r="C32" s="260" t="n"/>
      <c r="E32" s="784" t="n"/>
      <c r="F32" s="784" t="n"/>
      <c r="G32" s="785" t="n"/>
      <c r="I32" s="785" t="n"/>
      <c r="J32" s="785" t="n"/>
      <c r="K32" s="785" t="n"/>
      <c r="L32" s="785" t="n"/>
      <c r="M32" s="785" t="n"/>
      <c r="N32" s="784" t="n"/>
      <c r="O32" s="784" t="n"/>
      <c r="P32" s="784" t="n"/>
      <c r="Q32" s="784" t="n"/>
      <c r="R32" s="784" t="n"/>
      <c r="S32" s="784" t="n"/>
      <c r="T32" s="784" t="n"/>
      <c r="V32" s="786" t="n"/>
      <c r="W32" s="784" t="n"/>
      <c r="X32" s="784" t="n"/>
      <c r="Y32" s="784" t="n"/>
      <c r="Z32" s="784" t="n"/>
      <c r="AA32" s="784" t="n"/>
      <c r="AB32" s="784" t="n"/>
      <c r="AC32" s="784" t="n"/>
      <c r="AD32" s="787" t="n"/>
      <c r="AE32" s="787" t="n"/>
      <c r="AF32" s="256" t="n"/>
      <c r="AG32" s="257" t="n"/>
      <c r="AJ32" s="256" t="n"/>
      <c r="AK32" s="258" t="n"/>
    </row>
    <row r="33">
      <c r="A33" s="160" t="inlineStr">
        <is>
          <t>GSE</t>
        </is>
      </c>
      <c r="B33" s="267" t="inlineStr">
        <is>
          <t>BU GSE</t>
        </is>
      </c>
      <c r="C33" s="349" t="inlineStr">
        <is>
          <t>k €</t>
        </is>
      </c>
      <c r="E33" s="788">
        <f>$AJ33/E$3</f>
        <v/>
      </c>
      <c r="F33" s="788">
        <f>IFERROR(1/F$3,1)*SUMIFS(Data!$AD$3:$AD$305,Data!$Y$3:$Y$305,F$1,Data!$Z$3:$Z$305,IF(RIGHT(F$2,3)="YTD","&lt;="&amp;LEFT(F$2,2)*1,F$2),Data!$K$3:$K$305,$B33)</f>
        <v/>
      </c>
      <c r="G33" s="788">
        <f>AK33/12</f>
        <v/>
      </c>
      <c r="H33" s="801" t="n"/>
      <c r="I33" s="791">
        <f>IFERROR(1/I$3,1)*SUMIFS(tbl_DCFC[F Montant HT],tbl_DCFC[Revenue_Year],I$1,tbl_DCFC[Revenue_Month],IF(RIGHT(I$2,3)="YTD","&lt;="&amp;LEFT(I$2,2)*1,I$2),tbl_DCFC[BU_Key],$A33)</f>
        <v/>
      </c>
      <c r="J33" s="791">
        <f>IFERROR(1/J$3,1)*SUMIFS(tbl_DCFC[F Montant HT],tbl_DCFC[Revenue_Year],J$1,tbl_DCFC[Revenue_Month],IF(RIGHT(J$2,3)="YTD","&lt;="&amp;LEFT(J$2,2)*1,J$2),tbl_DCFC[BU_Key],$A33)</f>
        <v/>
      </c>
      <c r="K33" s="791">
        <f>IFERROR(1/K$3,1)*SUMIFS(tbl_DCFC[F Montant HT],tbl_DCFC[Revenue_Year],K$1,tbl_DCFC[Revenue_Month],IF(RIGHT(K$2,3)="YTD","&lt;="&amp;LEFT(K$2,2)*1,K$2),tbl_DCFC[BU_Key],$A33)</f>
        <v/>
      </c>
      <c r="L33" s="791">
        <f>IFERROR(1/L$3,1)*SUMIFS(tbl_DCFC[F Montant HT],tbl_DCFC[Revenue_Year],L$1,tbl_DCFC[Revenue_Month],IF(RIGHT(L$2,3)="YTD","&lt;="&amp;LEFT(L$2,2)*1,L$2),tbl_DCFC[BU_Key],$A33)</f>
        <v/>
      </c>
      <c r="M33" s="791">
        <f>IFERROR(1/M$3,1)*SUMIFS(tbl_DCFC[F Montant HT],tbl_DCFC[Revenue_Year],M$1,tbl_DCFC[Revenue_Month],IF(RIGHT(M$2,3)="YTD","&lt;="&amp;LEFT(M$2,2)*1,M$2),tbl_DCFC[BU_Key],$A33)</f>
        <v/>
      </c>
      <c r="N33" s="791">
        <f>IFERROR(1/N$3,1)*SUMIFS(tbl_DCFC[F Montant HT],tbl_DCFC[Revenue_Year],N$1,tbl_DCFC[Revenue_Month],IF(RIGHT(N$2,3)="YTD","&lt;="&amp;LEFT(N$2,2)*1,N$2),tbl_DCFC[BU_Key],$A33)</f>
        <v/>
      </c>
      <c r="O33" s="791">
        <f>IFERROR(1/O$3,1)*SUMIFS(tbl_DCFC[F Montant HT],tbl_DCFC[Revenue_Year],O$1,tbl_DCFC[Revenue_Month],IF(RIGHT(O$2,3)="YTD","&lt;="&amp;LEFT(O$2,2)*1,O$2),tbl_DCFC[BU_Key],$A33)</f>
        <v/>
      </c>
      <c r="P33" s="791">
        <f>IFERROR(1/P$3,1)*SUMIFS(tbl_DCFC[F Montant HT],tbl_DCFC[Revenue_Year],P$1,tbl_DCFC[Revenue_Month],IF(RIGHT(P$2,3)="YTD","&lt;="&amp;LEFT(P$2,2)*1,P$2),tbl_DCFC[BU_Key],$A33)</f>
        <v/>
      </c>
      <c r="Q33" s="791">
        <f>IFERROR(1/Q$3,1)*SUMIFS(tbl_DCFC[F Montant HT],tbl_DCFC[Revenue_Year],Q$1,tbl_DCFC[Revenue_Month],IF(RIGHT(Q$2,3)="YTD","&lt;="&amp;LEFT(Q$2,2)*1,Q$2),tbl_DCFC[BU_Key],$A33)</f>
        <v/>
      </c>
      <c r="R33" s="791">
        <f>IFERROR(1/R$3,1)*SUMIFS(tbl_DCFC[F Montant HT],tbl_DCFC[Revenue_Year],R$1,tbl_DCFC[Revenue_Month],IF(RIGHT(R$2,3)="YTD","&lt;="&amp;LEFT(R$2,2)*1,R$2),tbl_DCFC[BU_Key],$A33)</f>
        <v/>
      </c>
      <c r="S33" s="791">
        <f>IFERROR(1/S$3,1)*SUMIFS(tbl_DCFC[F Montant HT],tbl_DCFC[Revenue_Year],S$1,tbl_DCFC[Revenue_Month],IF(RIGHT(S$2,3)="YTD","&lt;="&amp;LEFT(S$2,2)*1,S$2),tbl_DCFC[BU_Key],$A33)</f>
        <v/>
      </c>
      <c r="T33" s="791">
        <f>IFERROR(1/T$3,1)*SUMIFS(tbl_DCFC[F Montant HT],tbl_DCFC[Revenue_Year],T$1,tbl_DCFC[Revenue_Month],IF(RIGHT(T$2,3)="YTD","&lt;="&amp;LEFT(T$2,2)*1,T$2),tbl_DCFC[BU_Key],$A33)</f>
        <v/>
      </c>
      <c r="V33" s="788">
        <f>G33</f>
        <v/>
      </c>
      <c r="W33" s="788">
        <f>$G33</f>
        <v/>
      </c>
      <c r="X33" s="788">
        <f>$G33</f>
        <v/>
      </c>
      <c r="Y33" s="788">
        <f>$G33</f>
        <v/>
      </c>
      <c r="Z33" s="788">
        <f>$G33</f>
        <v/>
      </c>
      <c r="AA33" s="788">
        <f>$G33</f>
        <v/>
      </c>
      <c r="AB33" s="788">
        <f>$G33</f>
        <v/>
      </c>
      <c r="AC33" s="788">
        <f>$G33</f>
        <v/>
      </c>
      <c r="AD33" s="788">
        <f>$G33</f>
        <v/>
      </c>
      <c r="AE33" s="788" t="n"/>
      <c r="AF33" s="791">
        <f>IFERROR(1/AF$3,1)*SUMIFS(tbl_DCFC[F Montant HT],tbl_DCFC[Revenue_Year],AF$1,tbl_DCFC[Revenue_Month],IF(RIGHT(AF$2,3)="YTD","&lt;="&amp;LEFT(AF$2,2)*1,AF$2),tbl_DCFC[BU_Key],$A33)</f>
        <v/>
      </c>
      <c r="AG33" s="788">
        <f>AK33/12*$C$5</f>
        <v/>
      </c>
      <c r="AH33" s="789">
        <f>AF33-AG33</f>
        <v/>
      </c>
      <c r="AJ33" s="788" t="n">
        <v>689300</v>
      </c>
      <c r="AK33" s="788" t="n">
        <v>0</v>
      </c>
    </row>
    <row r="34">
      <c r="A34" t="inlineStr">
        <is>
          <t>TOO</t>
        </is>
      </c>
      <c r="B34" s="267" t="inlineStr">
        <is>
          <t>BU Tooling</t>
        </is>
      </c>
      <c r="C34" s="349" t="inlineStr">
        <is>
          <t>k €</t>
        </is>
      </c>
      <c r="E34" s="788">
        <f>$AJ34/E$3</f>
        <v/>
      </c>
      <c r="F34" s="788">
        <f>IFERROR(1/F$3,1)*SUMIFS(Data!$S$3:$S$305,Data!$O$3:$O$305,F$1,Data!$P$3:$P$305,IF(RIGHT(F$2,3)="YTD","&lt;="&amp;LEFT(F$2,2)*1,F$2),Data!$K$3:$K$305,$B34)</f>
        <v/>
      </c>
      <c r="G34" s="788">
        <f>AK34/12</f>
        <v/>
      </c>
      <c r="I34" s="788">
        <f>IFERROR(1/I$3,1)*SUMIFS(tbl_DCFC[F Montant HT],tbl_DCFC[Revenue_Year],I$1,tbl_DCFC[Revenue_Month],IF(RIGHT(I$2,3)="YTD","&lt;="&amp;LEFT(I$2,2)*1,I$2),tbl_DCFC[BU_Key],$A34)</f>
        <v/>
      </c>
      <c r="J34" s="788">
        <f>IFERROR(1/J$3,1)*SUMIFS(tbl_DCFC[F Montant HT],tbl_DCFC[Revenue_Year],J$1,tbl_DCFC[Revenue_Month],IF(RIGHT(J$2,3)="YTD","&lt;="&amp;LEFT(J$2,2)*1,J$2),tbl_DCFC[BU_Key],$A34)</f>
        <v/>
      </c>
      <c r="K34" s="788">
        <f>IFERROR(1/K$3,1)*SUMIFS(tbl_DCFC[F Montant HT],tbl_DCFC[Revenue_Year],K$1,tbl_DCFC[Revenue_Month],IF(RIGHT(K$2,3)="YTD","&lt;="&amp;LEFT(K$2,2)*1,K$2),tbl_DCFC[BU_Key],$A34)</f>
        <v/>
      </c>
      <c r="L34" s="788">
        <f>IFERROR(1/L$3,1)*SUMIFS(tbl_DCFC[F Montant HT],tbl_DCFC[Revenue_Year],L$1,tbl_DCFC[Revenue_Month],IF(RIGHT(L$2,3)="YTD","&lt;="&amp;LEFT(L$2,2)*1,L$2),tbl_DCFC[BU_Key],$A34)</f>
        <v/>
      </c>
      <c r="M34" s="788">
        <f>IFERROR(1/M$3,1)*SUMIFS(tbl_DCFC[F Montant HT],tbl_DCFC[Revenue_Year],M$1,tbl_DCFC[Revenue_Month],IF(RIGHT(M$2,3)="YTD","&lt;="&amp;LEFT(M$2,2)*1,M$2),tbl_DCFC[BU_Key],$A34)</f>
        <v/>
      </c>
      <c r="N34" s="788">
        <f>IFERROR(1/N$3,1)*SUMIFS(tbl_DCFC[F Montant HT],tbl_DCFC[Revenue_Year],N$1,tbl_DCFC[Revenue_Month],IF(RIGHT(N$2,3)="YTD","&lt;="&amp;LEFT(N$2,2)*1,N$2),tbl_DCFC[BU_Key],$A34)</f>
        <v/>
      </c>
      <c r="O34" s="788">
        <f>IFERROR(1/O$3,1)*SUMIFS(tbl_DCFC[F Montant HT],tbl_DCFC[Revenue_Year],O$1,tbl_DCFC[Revenue_Month],IF(RIGHT(O$2,3)="YTD","&lt;="&amp;LEFT(O$2,2)*1,O$2),tbl_DCFC[BU_Key],$A34)</f>
        <v/>
      </c>
      <c r="P34" s="788">
        <f>IFERROR(1/P$3,1)*SUMIFS(tbl_DCFC[F Montant HT],tbl_DCFC[Revenue_Year],P$1,tbl_DCFC[Revenue_Month],IF(RIGHT(P$2,3)="YTD","&lt;="&amp;LEFT(P$2,2)*1,P$2),tbl_DCFC[BU_Key],$A34)</f>
        <v/>
      </c>
      <c r="Q34" s="788">
        <f>IFERROR(1/Q$3,1)*SUMIFS(tbl_DCFC[F Montant HT],tbl_DCFC[Revenue_Year],Q$1,tbl_DCFC[Revenue_Month],IF(RIGHT(Q$2,3)="YTD","&lt;="&amp;LEFT(Q$2,2)*1,Q$2),tbl_DCFC[BU_Key],$A34)</f>
        <v/>
      </c>
      <c r="R34" s="788">
        <f>IFERROR(1/R$3,1)*SUMIFS(tbl_DCFC[F Montant HT],tbl_DCFC[Revenue_Year],R$1,tbl_DCFC[Revenue_Month],IF(RIGHT(R$2,3)="YTD","&lt;="&amp;LEFT(R$2,2)*1,R$2),tbl_DCFC[BU_Key],$A34)</f>
        <v/>
      </c>
      <c r="S34" s="788">
        <f>IFERROR(1/S$3,1)*SUMIFS(tbl_DCFC[F Montant HT],tbl_DCFC[Revenue_Year],S$1,tbl_DCFC[Revenue_Month],IF(RIGHT(S$2,3)="YTD","&lt;="&amp;LEFT(S$2,2)*1,S$2),tbl_DCFC[BU_Key],$A34)</f>
        <v/>
      </c>
      <c r="T34" s="788">
        <f>IFERROR(1/T$3,1)*SUMIFS(tbl_DCFC[F Montant HT],tbl_DCFC[Revenue_Year],T$1,tbl_DCFC[Revenue_Month],IF(RIGHT(T$2,3)="YTD","&lt;="&amp;LEFT(T$2,2)*1,T$2),tbl_DCFC[BU_Key],$A34)</f>
        <v/>
      </c>
      <c r="V34" s="788">
        <f>G34</f>
        <v/>
      </c>
      <c r="W34" s="788">
        <f>$G34</f>
        <v/>
      </c>
      <c r="X34" s="788">
        <f>$G34</f>
        <v/>
      </c>
      <c r="Y34" s="788">
        <f>$G34</f>
        <v/>
      </c>
      <c r="Z34" s="788">
        <f>$G34</f>
        <v/>
      </c>
      <c r="AA34" s="788">
        <f>$G34</f>
        <v/>
      </c>
      <c r="AB34" s="788">
        <f>$G34</f>
        <v/>
      </c>
      <c r="AC34" s="788">
        <f>$G34</f>
        <v/>
      </c>
      <c r="AD34" s="788">
        <f>$G34</f>
        <v/>
      </c>
      <c r="AE34" s="788" t="n"/>
      <c r="AF34" s="788">
        <f>IFERROR(1/AF$3,1)*SUMIFS(tbl_DCFC[F Montant HT],tbl_DCFC[Revenue_Year],AF$1,tbl_DCFC[Revenue_Month],IF(RIGHT(AF$2,3)="YTD","&lt;="&amp;LEFT(AF$2,2)*1,AF$2),tbl_DCFC[BU_Key],$A34)</f>
        <v/>
      </c>
      <c r="AG34" s="788">
        <f>AK34/12*LEFT(AG$2,2)*1</f>
        <v/>
      </c>
      <c r="AH34" s="789">
        <f>AF34-AG34</f>
        <v/>
      </c>
      <c r="AJ34" s="788" t="n"/>
      <c r="AK34" s="788" t="n">
        <v>0</v>
      </c>
    </row>
    <row r="35">
      <c r="A35" s="160" t="inlineStr">
        <is>
          <t>SER</t>
        </is>
      </c>
      <c r="B35" s="267" t="inlineStr">
        <is>
          <t>BU Service</t>
        </is>
      </c>
      <c r="C35" s="349" t="inlineStr">
        <is>
          <t>k €</t>
        </is>
      </c>
      <c r="E35" s="788">
        <f>$AJ35/E$3</f>
        <v/>
      </c>
      <c r="F35" s="788">
        <f>IFERROR(1/F$3,1)*SUMIFS(Data!$S$3:$S$305,Data!$O$3:$O$305,F$1,Data!$P$3:$P$305,IF(RIGHT(F$2,3)="YTD","&lt;="&amp;LEFT(F$2,2)*1,F$2),Data!$K$3:$K$305,$B35)</f>
        <v/>
      </c>
      <c r="G35" s="788">
        <f>AK35/12</f>
        <v/>
      </c>
      <c r="I35" s="788">
        <f>IFERROR(1/I$3,1)*SUMIFS(tbl_DCFC[F Montant HT],tbl_DCFC[Revenue_Year],I$1,tbl_DCFC[Revenue_Month],IF(RIGHT(I$2,3)="YTD","&lt;="&amp;LEFT(I$2,2)*1,I$2),tbl_DCFC[BU_Key],$A35)</f>
        <v/>
      </c>
      <c r="J35" s="788">
        <f>IFERROR(1/J$3,1)*SUMIFS(tbl_DCFC[F Montant HT],tbl_DCFC[Revenue_Year],J$1,tbl_DCFC[Revenue_Month],IF(RIGHT(J$2,3)="YTD","&lt;="&amp;LEFT(J$2,2)*1,J$2),tbl_DCFC[BU_Key],$A35)</f>
        <v/>
      </c>
      <c r="K35" s="788">
        <f>IFERROR(1/K$3,1)*SUMIFS(tbl_DCFC[F Montant HT],tbl_DCFC[Revenue_Year],K$1,tbl_DCFC[Revenue_Month],IF(RIGHT(K$2,3)="YTD","&lt;="&amp;LEFT(K$2,2)*1,K$2),tbl_DCFC[BU_Key],$A35)</f>
        <v/>
      </c>
      <c r="L35" s="788">
        <f>IFERROR(1/L$3,1)*SUMIFS(tbl_DCFC[F Montant HT],tbl_DCFC[Revenue_Year],L$1,tbl_DCFC[Revenue_Month],IF(RIGHT(L$2,3)="YTD","&lt;="&amp;LEFT(L$2,2)*1,L$2),tbl_DCFC[BU_Key],$A35)</f>
        <v/>
      </c>
      <c r="M35" s="788">
        <f>IFERROR(1/M$3,1)*SUMIFS(tbl_DCFC[F Montant HT],tbl_DCFC[Revenue_Year],M$1,tbl_DCFC[Revenue_Month],IF(RIGHT(M$2,3)="YTD","&lt;="&amp;LEFT(M$2,2)*1,M$2),tbl_DCFC[BU_Key],$A35)</f>
        <v/>
      </c>
      <c r="N35" s="788">
        <f>IFERROR(1/N$3,1)*SUMIFS(tbl_DCFC[F Montant HT],tbl_DCFC[Revenue_Year],N$1,tbl_DCFC[Revenue_Month],IF(RIGHT(N$2,3)="YTD","&lt;="&amp;LEFT(N$2,2)*1,N$2),tbl_DCFC[BU_Key],$A35)</f>
        <v/>
      </c>
      <c r="O35" s="788">
        <f>IFERROR(1/O$3,1)*SUMIFS(tbl_DCFC[F Montant HT],tbl_DCFC[Revenue_Year],O$1,tbl_DCFC[Revenue_Month],IF(RIGHT(O$2,3)="YTD","&lt;="&amp;LEFT(O$2,2)*1,O$2),tbl_DCFC[BU_Key],$A35)</f>
        <v/>
      </c>
      <c r="P35" s="788">
        <f>IFERROR(1/P$3,1)*SUMIFS(tbl_DCFC[F Montant HT],tbl_DCFC[Revenue_Year],P$1,tbl_DCFC[Revenue_Month],IF(RIGHT(P$2,3)="YTD","&lt;="&amp;LEFT(P$2,2)*1,P$2),tbl_DCFC[BU_Key],$A35)</f>
        <v/>
      </c>
      <c r="Q35" s="788">
        <f>IFERROR(1/Q$3,1)*SUMIFS(tbl_DCFC[F Montant HT],tbl_DCFC[Revenue_Year],Q$1,tbl_DCFC[Revenue_Month],IF(RIGHT(Q$2,3)="YTD","&lt;="&amp;LEFT(Q$2,2)*1,Q$2),tbl_DCFC[BU_Key],$A35)</f>
        <v/>
      </c>
      <c r="R35" s="788">
        <f>IFERROR(1/R$3,1)*SUMIFS(tbl_DCFC[F Montant HT],tbl_DCFC[Revenue_Year],R$1,tbl_DCFC[Revenue_Month],IF(RIGHT(R$2,3)="YTD","&lt;="&amp;LEFT(R$2,2)*1,R$2),tbl_DCFC[BU_Key],$A35)</f>
        <v/>
      </c>
      <c r="S35" s="788">
        <f>IFERROR(1/S$3,1)*SUMIFS(tbl_DCFC[F Montant HT],tbl_DCFC[Revenue_Year],S$1,tbl_DCFC[Revenue_Month],IF(RIGHT(S$2,3)="YTD","&lt;="&amp;LEFT(S$2,2)*1,S$2),tbl_DCFC[BU_Key],$A35)</f>
        <v/>
      </c>
      <c r="T35" s="788">
        <f>IFERROR(1/T$3,1)*SUMIFS(tbl_DCFC[F Montant HT],tbl_DCFC[Revenue_Year],T$1,tbl_DCFC[Revenue_Month],IF(RIGHT(T$2,3)="YTD","&lt;="&amp;LEFT(T$2,2)*1,T$2),tbl_DCFC[BU_Key],$A35)</f>
        <v/>
      </c>
      <c r="V35" s="788">
        <f>G35</f>
        <v/>
      </c>
      <c r="W35" s="788">
        <f>$G35</f>
        <v/>
      </c>
      <c r="X35" s="788">
        <f>$G35</f>
        <v/>
      </c>
      <c r="Y35" s="788">
        <f>$G35</f>
        <v/>
      </c>
      <c r="Z35" s="788">
        <f>$G35</f>
        <v/>
      </c>
      <c r="AA35" s="788">
        <f>$G35</f>
        <v/>
      </c>
      <c r="AB35" s="788">
        <f>$G35</f>
        <v/>
      </c>
      <c r="AC35" s="788">
        <f>$G35</f>
        <v/>
      </c>
      <c r="AD35" s="788">
        <f>$G35</f>
        <v/>
      </c>
      <c r="AE35" s="788" t="n"/>
      <c r="AF35" s="788">
        <f>IFERROR(1/AF$3,1)*SUMIFS(tbl_DCFC[F Montant HT],tbl_DCFC[Revenue_Year],AF$1,tbl_DCFC[Revenue_Month],IF(RIGHT(AF$2,3)="YTD","&lt;="&amp;LEFT(AF$2,2)*1,AF$2),tbl_DCFC[BU_Key],$A35)</f>
        <v/>
      </c>
      <c r="AG35" s="788">
        <f>AK35/12*LEFT(AG$2,2)*1</f>
        <v/>
      </c>
      <c r="AH35" s="789">
        <f>AF35-AG35</f>
        <v/>
      </c>
      <c r="AJ35" s="788" t="n"/>
      <c r="AK35" s="788" t="n">
        <v>700000</v>
      </c>
    </row>
    <row r="36" customFormat="1" s="329">
      <c r="A36" s="329" t="inlineStr">
        <is>
          <t>INT</t>
        </is>
      </c>
      <c r="B36" s="267" t="inlineStr">
        <is>
          <t>Intercompany</t>
        </is>
      </c>
      <c r="C36" s="260" t="n"/>
      <c r="E36" s="788">
        <f>$AJ36/E$3</f>
        <v/>
      </c>
      <c r="F36" s="788">
        <f>IFERROR(1/F$3,1)*SUMIFS(Data!$S$3:$S$305,Data!$O$3:$O$305,F$1,Data!$P$3:$P$305,IF(RIGHT(F$2,3)="YTD","&lt;="&amp;LEFT(F$2,2)*1,F$2),Data!$K$3:$K$305,$B36)</f>
        <v/>
      </c>
      <c r="G36" s="788">
        <f>AK36/12</f>
        <v/>
      </c>
      <c r="I36" s="788">
        <f>IFERROR(1/I$3,1)*SUMIFS(tbl_DCFC[F Montant HT],tbl_DCFC[Revenue_Year],I$1,tbl_DCFC[Revenue_Month],IF(RIGHT(I$2,3)="YTD","&lt;="&amp;LEFT(I$2,2)*1,I$2),tbl_DCFC[BU_Key],$A36)</f>
        <v/>
      </c>
      <c r="J36" s="788">
        <f>IFERROR(1/J$3,1)*SUMIFS(tbl_DCFC[F Montant HT],tbl_DCFC[Revenue_Year],J$1,tbl_DCFC[Revenue_Month],IF(RIGHT(J$2,3)="YTD","&lt;="&amp;LEFT(J$2,2)*1,J$2),tbl_DCFC[BU_Key],$A36)</f>
        <v/>
      </c>
      <c r="K36" s="788">
        <f>IFERROR(1/K$3,1)*SUMIFS(tbl_DCFC[F Montant HT],tbl_DCFC[Revenue_Year],K$1,tbl_DCFC[Revenue_Month],IF(RIGHT(K$2,3)="YTD","&lt;="&amp;LEFT(K$2,2)*1,K$2),tbl_DCFC[BU_Key],$A36)</f>
        <v/>
      </c>
      <c r="L36" s="788">
        <f>IFERROR(1/L$3,1)*SUMIFS(tbl_DCFC[F Montant HT],tbl_DCFC[Revenue_Year],L$1,tbl_DCFC[Revenue_Month],IF(RIGHT(L$2,3)="YTD","&lt;="&amp;LEFT(L$2,2)*1,L$2),tbl_DCFC[BU_Key],$A36)</f>
        <v/>
      </c>
      <c r="M36" s="788">
        <f>IFERROR(1/M$3,1)*SUMIFS(tbl_DCFC[F Montant HT],tbl_DCFC[Revenue_Year],M$1,tbl_DCFC[Revenue_Month],IF(RIGHT(M$2,3)="YTD","&lt;="&amp;LEFT(M$2,2)*1,M$2),tbl_DCFC[BU_Key],$A36)</f>
        <v/>
      </c>
      <c r="N36" s="788">
        <f>IFERROR(1/N$3,1)*SUMIFS(tbl_DCFC[F Montant HT],tbl_DCFC[Revenue_Year],N$1,tbl_DCFC[Revenue_Month],IF(RIGHT(N$2,3)="YTD","&lt;="&amp;LEFT(N$2,2)*1,N$2),tbl_DCFC[BU_Key],$A36)</f>
        <v/>
      </c>
      <c r="O36" s="788">
        <f>IFERROR(1/O$3,1)*SUMIFS(tbl_DCFC[F Montant HT],tbl_DCFC[Revenue_Year],O$1,tbl_DCFC[Revenue_Month],IF(RIGHT(O$2,3)="YTD","&lt;="&amp;LEFT(O$2,2)*1,O$2),tbl_DCFC[BU_Key],$A36)</f>
        <v/>
      </c>
      <c r="P36" s="788">
        <f>IFERROR(1/P$3,1)*SUMIFS(tbl_DCFC[F Montant HT],tbl_DCFC[Revenue_Year],P$1,tbl_DCFC[Revenue_Month],IF(RIGHT(P$2,3)="YTD","&lt;="&amp;LEFT(P$2,2)*1,P$2),tbl_DCFC[BU_Key],$A36)</f>
        <v/>
      </c>
      <c r="Q36" s="788">
        <f>IFERROR(1/Q$3,1)*SUMIFS(tbl_DCFC[F Montant HT],tbl_DCFC[Revenue_Year],Q$1,tbl_DCFC[Revenue_Month],IF(RIGHT(Q$2,3)="YTD","&lt;="&amp;LEFT(Q$2,2)*1,Q$2),tbl_DCFC[BU_Key],$A36)</f>
        <v/>
      </c>
      <c r="R36" s="788">
        <f>IFERROR(1/R$3,1)*SUMIFS(tbl_DCFC[F Montant HT],tbl_DCFC[Revenue_Year],R$1,tbl_DCFC[Revenue_Month],IF(RIGHT(R$2,3)="YTD","&lt;="&amp;LEFT(R$2,2)*1,R$2),tbl_DCFC[BU_Key],$A36)</f>
        <v/>
      </c>
      <c r="S36" s="791">
        <f>IFERROR(1/S$3,1)*SUMIFS(tbl_DCFC[F Montant HT],tbl_DCFC[Revenue_Year],S$1,tbl_DCFC[Revenue_Month],IF(RIGHT(S$2,3)="YTD","&lt;="&amp;LEFT(S$2,2)*1,S$2),tbl_DCFC[BU_Key],$A36)</f>
        <v/>
      </c>
      <c r="T36" s="791">
        <f>IFERROR(1/T$3,1)*SUMIFS(tbl_DCFC[F Montant HT],tbl_DCFC[Revenue_Year],T$1,tbl_DCFC[Revenue_Month],IF(RIGHT(T$2,3)="YTD","&lt;="&amp;LEFT(T$2,2)*1,T$2),tbl_DCFC[BU_Key],$A36)</f>
        <v/>
      </c>
      <c r="V36" s="788">
        <f>G36</f>
        <v/>
      </c>
      <c r="W36" s="788">
        <f>$G36</f>
        <v/>
      </c>
      <c r="X36" s="788">
        <f>$G36</f>
        <v/>
      </c>
      <c r="Y36" s="788">
        <f>$G36</f>
        <v/>
      </c>
      <c r="Z36" s="788">
        <f>$G36</f>
        <v/>
      </c>
      <c r="AA36" s="788">
        <f>$G36</f>
        <v/>
      </c>
      <c r="AB36" s="788">
        <f>$G36</f>
        <v/>
      </c>
      <c r="AC36" s="788">
        <f>$G36</f>
        <v/>
      </c>
      <c r="AD36" s="788">
        <f>$G36</f>
        <v/>
      </c>
      <c r="AE36" s="788" t="n"/>
      <c r="AF36" s="791">
        <f>IFERROR(1/AF$3,1)*SUMIFS(tbl_DCFC[F Montant HT],tbl_DCFC[Revenue_Year],AF$1,tbl_DCFC[Revenue_Month],IF(RIGHT(AF$2,3)="YTD","&lt;="&amp;LEFT(AF$2,2)*1,AF$2),tbl_DCFC[BU_Key],$A36)</f>
        <v/>
      </c>
      <c r="AG36" s="788">
        <f>AK36/12*LEFT(AG$2,2)*1</f>
        <v/>
      </c>
      <c r="AH36" s="789">
        <f>AF36-AG36</f>
        <v/>
      </c>
      <c r="AJ36" s="788" t="n"/>
      <c r="AK36" s="790" t="n">
        <v>0</v>
      </c>
    </row>
    <row r="37" customFormat="1" s="329">
      <c r="B37" s="271" t="n"/>
      <c r="C37" s="260" t="n"/>
      <c r="E37" s="784" t="n"/>
      <c r="F37" s="784" t="n"/>
      <c r="G37" s="785" t="n"/>
      <c r="I37" s="785" t="n"/>
      <c r="J37" s="785" t="n"/>
      <c r="K37" s="785" t="n"/>
      <c r="L37" s="785" t="n"/>
      <c r="M37" s="785" t="n"/>
      <c r="N37" s="784" t="n"/>
      <c r="O37" s="784" t="n"/>
      <c r="P37" s="784" t="n"/>
      <c r="Q37" s="784" t="n"/>
      <c r="R37" s="784" t="n"/>
      <c r="S37" s="784" t="n"/>
      <c r="T37" s="784" t="n"/>
      <c r="V37" s="786" t="n"/>
      <c r="W37" s="784" t="n"/>
      <c r="X37" s="784" t="n"/>
      <c r="Y37" s="784" t="n"/>
      <c r="Z37" s="784" t="n"/>
      <c r="AA37" s="784" t="n"/>
      <c r="AB37" s="784" t="n"/>
      <c r="AC37" s="784" t="n"/>
      <c r="AD37" s="787" t="n"/>
      <c r="AE37" s="787" t="n"/>
      <c r="AF37" s="256" t="n"/>
      <c r="AG37" s="257" t="n"/>
      <c r="AJ37" s="256" t="n"/>
      <c r="AK37" s="258" t="n"/>
    </row>
    <row r="38" hidden="1" outlineLevel="1" customFormat="1" s="336">
      <c r="B38" s="271" t="inlineStr">
        <is>
          <t>REVENUE</t>
        </is>
      </c>
      <c r="C38" s="246" t="n"/>
      <c r="E38" s="806" t="n"/>
      <c r="F38" s="806" t="n"/>
      <c r="G38" s="806" t="n"/>
      <c r="I38" s="806" t="n"/>
      <c r="J38" s="806" t="n"/>
      <c r="K38" s="806" t="n"/>
      <c r="L38" s="806" t="n"/>
      <c r="M38" s="806" t="n"/>
      <c r="N38" s="806" t="n"/>
      <c r="O38" s="806" t="n"/>
      <c r="P38" s="806" t="n"/>
      <c r="Q38" s="806" t="n"/>
      <c r="R38" s="806" t="n"/>
      <c r="S38" s="806" t="n"/>
      <c r="T38" s="806" t="n"/>
      <c r="V38" s="806" t="n"/>
      <c r="W38" s="790" t="n"/>
      <c r="X38" s="790" t="n"/>
      <c r="Y38" s="790" t="n"/>
      <c r="Z38" s="790" t="n"/>
      <c r="AA38" s="790" t="n"/>
      <c r="AB38" s="790" t="n"/>
      <c r="AC38" s="790" t="n"/>
      <c r="AD38" s="790" t="n"/>
      <c r="AE38" s="790" t="n"/>
      <c r="AF38" s="790" t="n"/>
      <c r="AG38" s="790" t="n"/>
      <c r="AH38" s="797" t="n"/>
      <c r="AJ38" s="790" t="n"/>
      <c r="AK38" s="790" t="n"/>
    </row>
    <row r="39" hidden="1" outlineLevel="1" s="701">
      <c r="A39" s="160" t="inlineStr">
        <is>
          <t>TT-CP-00107-20</t>
        </is>
      </c>
      <c r="B39" s="264" t="inlineStr">
        <is>
          <t>ENGINEERING AIA</t>
        </is>
      </c>
      <c r="C39" s="246" t="inlineStr">
        <is>
          <t>k €</t>
        </is>
      </c>
      <c r="E39" s="788">
        <f>$AJ39/E$3</f>
        <v/>
      </c>
      <c r="F39" s="788">
        <f>IFERROR(1/F$3,1)*SUMIFS(Data!$AD$3:$AD$305,Data!$Y$3:$Y$305,F$1,Data!$Z$3:$Z$305,IF(RIGHT(F$2,3)="YTD","&lt;="&amp;LEFT(F$2,2)*1,F$2),Data!$K$3:$K$305,$B39)</f>
        <v/>
      </c>
      <c r="G39" s="788">
        <f>AK39/12</f>
        <v/>
      </c>
      <c r="H39" s="801" t="n"/>
      <c r="I39" s="791">
        <f>IFERROR(1/I$3,1)*SUMIFS(Data!$AD$3:$AD$305,Data!$Y$3:$Y$305,I$1,Data!$Z$3:$Z$305,IF(RIGHT(I$2,3)="YTD","&lt;="&amp;LEFT(I$2,2)*1,I$2),Data!$K$3:$K$305,$B39)</f>
        <v/>
      </c>
      <c r="J39" s="791">
        <f>IFERROR(1/J$3,1)*SUMIFS(Data!$AD$3:$AD$305,Data!$Y$3:$Y$305,J$1,Data!$Z$3:$Z$305,IF(RIGHT(J$2,3)="YTD","&lt;="&amp;LEFT(J$2,2)*1,J$2),Data!$K$3:$K$305,$B39)</f>
        <v/>
      </c>
      <c r="K39" s="791">
        <f>IFERROR(1/K$3,1)*SUMIFS(Data!$AD$3:$AD$305,Data!$Y$3:$Y$305,K$1,Data!$Z$3:$Z$305,IF(RIGHT(K$2,3)="YTD","&lt;="&amp;LEFT(K$2,2)*1,K$2),Data!$K$3:$K$305,$B39)</f>
        <v/>
      </c>
      <c r="L39" s="791">
        <f>IFERROR(1/L$3,1)*SUMIFS(Data!$AD$3:$AD$305,Data!$Y$3:$Y$305,L$1,Data!$Z$3:$Z$305,IF(RIGHT(L$2,3)="YTD","&lt;="&amp;LEFT(L$2,2)*1,L$2),Data!$K$3:$K$305,$B39)</f>
        <v/>
      </c>
      <c r="M39" s="791">
        <f>IFERROR(1/M$3,1)*SUMIFS(Data!$AD$3:$AD$305,Data!$Y$3:$Y$305,M$1,Data!$Z$3:$Z$305,IF(RIGHT(M$2,3)="YTD","&lt;="&amp;LEFT(M$2,2)*1,M$2),Data!$K$3:$K$305,$B39)</f>
        <v/>
      </c>
      <c r="N39" s="791">
        <f>IFERROR(1/N$3,1)*SUMIFS(Data!$AD$3:$AD$305,Data!$Y$3:$Y$305,N$1,Data!$Z$3:$Z$305,IF(RIGHT(N$2,3)="YTD","&lt;="&amp;LEFT(N$2,2)*1,N$2),Data!$K$3:$K$305,$B39)</f>
        <v/>
      </c>
      <c r="O39" s="791">
        <f>IFERROR(1/O$3,1)*SUMIFS(Data!$AD$3:$AD$305,Data!$Y$3:$Y$305,O$1,Data!$Z$3:$Z$305,IF(RIGHT(O$2,3)="YTD","&lt;="&amp;LEFT(O$2,2)*1,O$2),Data!$K$3:$K$305,$B39)</f>
        <v/>
      </c>
      <c r="P39" s="791">
        <f>IFERROR(1/P$3,1)*SUMIFS(Data!$AD$3:$AD$305,Data!$Y$3:$Y$305,P$1,Data!$Z$3:$Z$305,IF(RIGHT(P$2,3)="YTD","&lt;="&amp;LEFT(P$2,2)*1,P$2),Data!$K$3:$K$305,$B39)</f>
        <v/>
      </c>
      <c r="Q39" s="791">
        <f>IFERROR(1/Q$3,1)*SUMIFS(Data!$AD$3:$AD$305,Data!$Y$3:$Y$305,Q$1,Data!$Z$3:$Z$305,IF(RIGHT(Q$2,3)="YTD","&lt;="&amp;LEFT(Q$2,2)*1,Q$2),Data!$K$3:$K$305,$B39)</f>
        <v/>
      </c>
      <c r="R39" s="791">
        <f>IFERROR(1/R$3,1)*SUMIFS(Data!$AD$3:$AD$305,Data!$Y$3:$Y$305,R$1,Data!$Z$3:$Z$305,IF(RIGHT(R$2,3)="YTD","&lt;="&amp;LEFT(R$2,2)*1,R$2),Data!$K$3:$K$305,$B39)</f>
        <v/>
      </c>
      <c r="S39" s="791">
        <f>IFERROR(1/S$3,1)*SUMIFS(Data!$AD$3:$AD$305,Data!$Y$3:$Y$305,S$1,Data!$Z$3:$Z$305,IF(RIGHT(S$2,3)="YTD","&lt;="&amp;LEFT(S$2,2)*1,S$2),Data!$K$3:$K$305,$B39)</f>
        <v/>
      </c>
      <c r="T39" s="791">
        <f>IFERROR(1/T$3,1)*SUMIFS(Data!$AD$3:$AD$305,Data!$Y$3:$Y$305,T$1,Data!$Z$3:$Z$305,IF(RIGHT(T$2,3)="YTD","&lt;="&amp;LEFT(T$2,2)*1,T$2),Data!$K$3:$K$305,$B39)</f>
        <v/>
      </c>
      <c r="V39" s="788">
        <f>G39</f>
        <v/>
      </c>
      <c r="W39" s="788">
        <f>$G39</f>
        <v/>
      </c>
      <c r="X39" s="788">
        <f>$G39</f>
        <v/>
      </c>
      <c r="Y39" s="788">
        <f>$G39</f>
        <v/>
      </c>
      <c r="Z39" s="788">
        <f>$G39</f>
        <v/>
      </c>
      <c r="AA39" s="788">
        <f>$G39</f>
        <v/>
      </c>
      <c r="AB39" s="788">
        <f>$G39</f>
        <v/>
      </c>
      <c r="AC39" s="788">
        <f>$G39</f>
        <v/>
      </c>
      <c r="AD39" s="788">
        <f>$G39</f>
        <v/>
      </c>
      <c r="AE39" s="788" t="n"/>
      <c r="AF39" s="788">
        <f>IFERROR(1/AF$3,1)*SUMIFS(Data!$AD$3:$AD$305,Data!$Y$3:$Y$305,AF$1,Data!$Z$3:$Z$305,IF(RIGHT(AF$2,3)="YTD","&lt;="&amp;LEFT(AF$2,2)*1,AF$2),Data!$K$3:$K$305,$B15)</f>
        <v/>
      </c>
      <c r="AG39" s="788">
        <f>AK39/12*$C$5</f>
        <v/>
      </c>
      <c r="AH39" s="789">
        <f>AF39-AG39</f>
        <v/>
      </c>
      <c r="AJ39" s="788" t="n">
        <v>689300</v>
      </c>
      <c r="AK39" s="790" t="n">
        <v>370000</v>
      </c>
    </row>
    <row r="40" hidden="1" outlineLevel="1" s="701">
      <c r="A40" t="inlineStr">
        <is>
          <t>TT-CP-00108-20</t>
        </is>
      </c>
      <c r="B40" s="264" t="inlineStr">
        <is>
          <t>ENGINEERING IC</t>
        </is>
      </c>
      <c r="C40" s="246" t="inlineStr">
        <is>
          <t>k €</t>
        </is>
      </c>
      <c r="E40" s="788">
        <f>$AJ40/E$3</f>
        <v/>
      </c>
      <c r="F40" s="788">
        <f>IFERROR(1/F$3,1)*SUMIFS(Data!$AD$3:$AD$305,Data!$Y$3:$Y$305,F$1,Data!$Z$3:$Z$305,IF(RIGHT(F$2,3)="YTD","&lt;="&amp;LEFT(F$2,2)*1,F$2),Data!$K$3:$K$305,$B40)</f>
        <v/>
      </c>
      <c r="G40" s="788">
        <f>AK40/12</f>
        <v/>
      </c>
      <c r="H40" s="801" t="n"/>
      <c r="I40" s="791">
        <f>IFERROR(1/I$3,1)*SUMIFS(Data!$AD$3:$AD$305,Data!$Y$3:$Y$305,I$1,Data!$Z$3:$Z$305,IF(RIGHT(I$2,3)="YTD","&lt;="&amp;LEFT(I$2,2)*1,I$2),Data!$K$3:$K$305,$B40)</f>
        <v/>
      </c>
      <c r="J40" s="791">
        <f>IFERROR(1/J$3,1)*SUMIFS(Data!$AD$3:$AD$305,Data!$Y$3:$Y$305,J$1,Data!$Z$3:$Z$305,IF(RIGHT(J$2,3)="YTD","&lt;="&amp;LEFT(J$2,2)*1,J$2),Data!$K$3:$K$305,$B40)</f>
        <v/>
      </c>
      <c r="K40" s="791">
        <f>IFERROR(1/K$3,1)*SUMIFS(Data!$AD$3:$AD$305,Data!$Y$3:$Y$305,K$1,Data!$Z$3:$Z$305,IF(RIGHT(K$2,3)="YTD","&lt;="&amp;LEFT(K$2,2)*1,K$2),Data!$K$3:$K$305,$B40)</f>
        <v/>
      </c>
      <c r="L40" s="791">
        <f>IFERROR(1/L$3,1)*SUMIFS(Data!$AD$3:$AD$305,Data!$Y$3:$Y$305,L$1,Data!$Z$3:$Z$305,IF(RIGHT(L$2,3)="YTD","&lt;="&amp;LEFT(L$2,2)*1,L$2),Data!$K$3:$K$305,$B40)</f>
        <v/>
      </c>
      <c r="M40" s="791">
        <f>IFERROR(1/M$3,1)*SUMIFS(Data!$AD$3:$AD$305,Data!$Y$3:$Y$305,M$1,Data!$Z$3:$Z$305,IF(RIGHT(M$2,3)="YTD","&lt;="&amp;LEFT(M$2,2)*1,M$2),Data!$K$3:$K$305,$B40)</f>
        <v/>
      </c>
      <c r="N40" s="791">
        <f>IFERROR(1/N$3,1)*SUMIFS(Data!$AD$3:$AD$305,Data!$Y$3:$Y$305,N$1,Data!$Z$3:$Z$305,IF(RIGHT(N$2,3)="YTD","&lt;="&amp;LEFT(N$2,2)*1,N$2),Data!$K$3:$K$305,$B40)</f>
        <v/>
      </c>
      <c r="O40" s="791">
        <f>IFERROR(1/O$3,1)*SUMIFS(Data!$AD$3:$AD$305,Data!$Y$3:$Y$305,O$1,Data!$Z$3:$Z$305,IF(RIGHT(O$2,3)="YTD","&lt;="&amp;LEFT(O$2,2)*1,O$2),Data!$K$3:$K$305,$B40)</f>
        <v/>
      </c>
      <c r="P40" s="791">
        <f>IFERROR(1/P$3,1)*SUMIFS(Data!$AD$3:$AD$305,Data!$Y$3:$Y$305,P$1,Data!$Z$3:$Z$305,IF(RIGHT(P$2,3)="YTD","&lt;="&amp;LEFT(P$2,2)*1,P$2),Data!$K$3:$K$305,$B40)</f>
        <v/>
      </c>
      <c r="Q40" s="791">
        <f>IFERROR(1/Q$3,1)*SUMIFS(Data!$AD$3:$AD$305,Data!$Y$3:$Y$305,Q$1,Data!$Z$3:$Z$305,IF(RIGHT(Q$2,3)="YTD","&lt;="&amp;LEFT(Q$2,2)*1,Q$2),Data!$K$3:$K$305,$B40)</f>
        <v/>
      </c>
      <c r="R40" s="791">
        <f>IFERROR(1/R$3,1)*SUMIFS(Data!$AD$3:$AD$305,Data!$Y$3:$Y$305,R$1,Data!$Z$3:$Z$305,IF(RIGHT(R$2,3)="YTD","&lt;="&amp;LEFT(R$2,2)*1,R$2),Data!$K$3:$K$305,$B40)</f>
        <v/>
      </c>
      <c r="S40" s="791">
        <f>IFERROR(1/S$3,1)*SUMIFS(Data!$AD$3:$AD$305,Data!$Y$3:$Y$305,S$1,Data!$Z$3:$Z$305,IF(RIGHT(S$2,3)="YTD","&lt;="&amp;LEFT(S$2,2)*1,S$2),Data!$K$3:$K$305,$B40)</f>
        <v/>
      </c>
      <c r="T40" s="791">
        <f>IFERROR(1/T$3,1)*SUMIFS(Data!$AD$3:$AD$305,Data!$Y$3:$Y$305,T$1,Data!$Z$3:$Z$305,IF(RIGHT(T$2,3)="YTD","&lt;="&amp;LEFT(T$2,2)*1,T$2),Data!$K$3:$K$305,$B40)</f>
        <v/>
      </c>
      <c r="V40" s="788">
        <f>G40</f>
        <v/>
      </c>
      <c r="W40" s="788">
        <f>$G40</f>
        <v/>
      </c>
      <c r="X40" s="788">
        <f>$G40</f>
        <v/>
      </c>
      <c r="Y40" s="788">
        <f>$G40</f>
        <v/>
      </c>
      <c r="Z40" s="788">
        <f>$G40</f>
        <v/>
      </c>
      <c r="AA40" s="788">
        <f>$G40</f>
        <v/>
      </c>
      <c r="AB40" s="788">
        <f>$G40</f>
        <v/>
      </c>
      <c r="AC40" s="788">
        <f>$G40</f>
        <v/>
      </c>
      <c r="AD40" s="788">
        <f>$G40</f>
        <v/>
      </c>
      <c r="AE40" s="788" t="n"/>
      <c r="AF40" s="788">
        <f>IFERROR(1/AF$3,1)*SUMIFS(Data!$AD$3:$AD$305,Data!$Y$3:$Y$305,AF$1,Data!$Z$3:$Z$305,IF(RIGHT(AF$2,3)="YTD","&lt;="&amp;LEFT(AF$2,2)*1,AF$2),Data!$K$3:$K$305,$B16)</f>
        <v/>
      </c>
      <c r="AG40" s="788">
        <f>AK40/12*$C$5</f>
        <v/>
      </c>
      <c r="AH40" s="789">
        <f>AF40-AG40</f>
        <v/>
      </c>
      <c r="AJ40" s="788" t="n">
        <v>20096</v>
      </c>
      <c r="AK40" s="788" t="n">
        <v>0</v>
      </c>
    </row>
    <row r="41" hidden="1" outlineLevel="1" s="701">
      <c r="B41" s="264" t="inlineStr">
        <is>
          <t>FCP AIA</t>
        </is>
      </c>
      <c r="C41" s="246" t="inlineStr">
        <is>
          <t>k €</t>
        </is>
      </c>
      <c r="E41" s="788">
        <f>$AJ41/E$3</f>
        <v/>
      </c>
      <c r="F41" s="788">
        <f>IFERROR(1/F$3,1)*SUMIFS(Data!$AD$3:$AD$305,Data!$Y$3:$Y$305,F$1,Data!$Z$3:$Z$305,IF(RIGHT(F$2,3)="YTD","&lt;="&amp;LEFT(F$2,2)*1,F$2),Data!$K$3:$K$305,$B41)</f>
        <v/>
      </c>
      <c r="G41" s="788">
        <f>AK41/12</f>
        <v/>
      </c>
      <c r="H41" s="801" t="n"/>
      <c r="I41" s="791">
        <f>IFERROR(1/I$3,1)*SUMIFS(Data!$AD$3:$AD$305,Data!$Y$3:$Y$305,I$1,Data!$Z$3:$Z$305,IF(RIGHT(I$2,3)="YTD","&lt;="&amp;LEFT(I$2,2)*1,I$2),Data!$K$3:$K$305,$B41)</f>
        <v/>
      </c>
      <c r="J41" s="791">
        <f>IFERROR(1/J$3,1)*SUMIFS(Data!$AD$3:$AD$305,Data!$Y$3:$Y$305,J$1,Data!$Z$3:$Z$305,IF(RIGHT(J$2,3)="YTD","&lt;="&amp;LEFT(J$2,2)*1,J$2),Data!$K$3:$K$305,$B41)</f>
        <v/>
      </c>
      <c r="K41" s="791">
        <f>IFERROR(1/K$3,1)*SUMIFS(Data!$AD$3:$AD$305,Data!$Y$3:$Y$305,K$1,Data!$Z$3:$Z$305,IF(RIGHT(K$2,3)="YTD","&lt;="&amp;LEFT(K$2,2)*1,K$2),Data!$K$3:$K$305,$B41)</f>
        <v/>
      </c>
      <c r="L41" s="791">
        <f>IFERROR(1/L$3,1)*SUMIFS(Data!$AD$3:$AD$305,Data!$Y$3:$Y$305,L$1,Data!$Z$3:$Z$305,IF(RIGHT(L$2,3)="YTD","&lt;="&amp;LEFT(L$2,2)*1,L$2),Data!$K$3:$K$305,$B41)</f>
        <v/>
      </c>
      <c r="M41" s="791">
        <f>IFERROR(1/M$3,1)*SUMIFS(Data!$AD$3:$AD$305,Data!$Y$3:$Y$305,M$1,Data!$Z$3:$Z$305,IF(RIGHT(M$2,3)="YTD","&lt;="&amp;LEFT(M$2,2)*1,M$2),Data!$K$3:$K$305,$B41)</f>
        <v/>
      </c>
      <c r="N41" s="791">
        <f>IFERROR(1/N$3,1)*SUMIFS(Data!$AD$3:$AD$305,Data!$Y$3:$Y$305,N$1,Data!$Z$3:$Z$305,IF(RIGHT(N$2,3)="YTD","&lt;="&amp;LEFT(N$2,2)*1,N$2),Data!$K$3:$K$305,$B41)</f>
        <v/>
      </c>
      <c r="O41" s="791">
        <f>IFERROR(1/O$3,1)*SUMIFS(Data!$AD$3:$AD$305,Data!$Y$3:$Y$305,O$1,Data!$Z$3:$Z$305,IF(RIGHT(O$2,3)="YTD","&lt;="&amp;LEFT(O$2,2)*1,O$2),Data!$K$3:$K$305,$B41)</f>
        <v/>
      </c>
      <c r="P41" s="791">
        <f>IFERROR(1/P$3,1)*SUMIFS(Data!$AD$3:$AD$305,Data!$Y$3:$Y$305,P$1,Data!$Z$3:$Z$305,IF(RIGHT(P$2,3)="YTD","&lt;="&amp;LEFT(P$2,2)*1,P$2),Data!$K$3:$K$305,$B41)</f>
        <v/>
      </c>
      <c r="Q41" s="791">
        <f>IFERROR(1/Q$3,1)*SUMIFS(Data!$AD$3:$AD$305,Data!$Y$3:$Y$305,Q$1,Data!$Z$3:$Z$305,IF(RIGHT(Q$2,3)="YTD","&lt;="&amp;LEFT(Q$2,2)*1,Q$2),Data!$K$3:$K$305,$B41)</f>
        <v/>
      </c>
      <c r="R41" s="791">
        <f>IFERROR(1/R$3,1)*SUMIFS(Data!$AD$3:$AD$305,Data!$Y$3:$Y$305,R$1,Data!$Z$3:$Z$305,IF(RIGHT(R$2,3)="YTD","&lt;="&amp;LEFT(R$2,2)*1,R$2),Data!$K$3:$K$305,$B41)</f>
        <v/>
      </c>
      <c r="S41" s="791">
        <f>IFERROR(1/S$3,1)*SUMIFS(Data!$AD$3:$AD$305,Data!$Y$3:$Y$305,S$1,Data!$Z$3:$Z$305,IF(RIGHT(S$2,3)="YTD","&lt;="&amp;LEFT(S$2,2)*1,S$2),Data!$K$3:$K$305,$B41)</f>
        <v/>
      </c>
      <c r="T41" s="791">
        <f>IFERROR(1/T$3,1)*SUMIFS(Data!$AD$3:$AD$305,Data!$Y$3:$Y$305,T$1,Data!$Z$3:$Z$305,IF(RIGHT(T$2,3)="YTD","&lt;="&amp;LEFT(T$2,2)*1,T$2),Data!$K$3:$K$305,$B41)</f>
        <v/>
      </c>
      <c r="V41" s="788">
        <f>G41</f>
        <v/>
      </c>
      <c r="W41" s="788">
        <f>$G41</f>
        <v/>
      </c>
      <c r="X41" s="788">
        <f>$G41</f>
        <v/>
      </c>
      <c r="Y41" s="788">
        <f>$G41</f>
        <v/>
      </c>
      <c r="Z41" s="788">
        <f>$G41</f>
        <v/>
      </c>
      <c r="AA41" s="788">
        <f>$G41</f>
        <v/>
      </c>
      <c r="AB41" s="788">
        <f>$G41</f>
        <v/>
      </c>
      <c r="AC41" s="788">
        <f>$G41</f>
        <v/>
      </c>
      <c r="AD41" s="788">
        <f>$G41</f>
        <v/>
      </c>
      <c r="AE41" s="788" t="n"/>
      <c r="AF41" s="788">
        <f>IFERROR(1/AF$3,1)*SUMIFS(Data!$AD$3:$AD$305,Data!$Y$3:$Y$305,AF$1,Data!$Z$3:$Z$305,IF(RIGHT(AF$2,3)="YTD","&lt;="&amp;LEFT(AF$2,2)*1,AF$2),Data!$K$3:$K$305,$B17)</f>
        <v/>
      </c>
      <c r="AG41" s="788">
        <f>AK41/12*$C$5</f>
        <v/>
      </c>
      <c r="AH41" s="789">
        <f>AF41-AG41</f>
        <v/>
      </c>
      <c r="AJ41" s="788" t="n">
        <v>5075</v>
      </c>
      <c r="AK41" s="788" t="n">
        <v>0</v>
      </c>
    </row>
    <row r="42" hidden="1" outlineLevel="1" s="701">
      <c r="A42" t="inlineStr">
        <is>
          <t>TT-CP-00103-20</t>
        </is>
      </c>
      <c r="B42" s="264" t="inlineStr">
        <is>
          <t>FCP OTHER AIA</t>
        </is>
      </c>
      <c r="C42" s="246" t="inlineStr">
        <is>
          <t>k €</t>
        </is>
      </c>
      <c r="E42" s="788">
        <f>$AJ42/E$3</f>
        <v/>
      </c>
      <c r="F42" s="788">
        <f>IFERROR(1/F$3,1)*SUMIFS(Data!$AD$3:$AD$305,Data!$Y$3:$Y$305,F$1,Data!$Z$3:$Z$305,IF(RIGHT(F$2,3)="YTD","&lt;="&amp;LEFT(F$2,2)*1,F$2),Data!$K$3:$K$305,$B42)</f>
        <v/>
      </c>
      <c r="G42" s="788">
        <f>AK42/12</f>
        <v/>
      </c>
      <c r="H42" s="801" t="n"/>
      <c r="I42" s="791">
        <f>IFERROR(1/I$3,1)*SUMIFS(Data!$AD$3:$AD$305,Data!$Y$3:$Y$305,I$1,Data!$Z$3:$Z$305,IF(RIGHT(I$2,3)="YTD","&lt;="&amp;LEFT(I$2,2)*1,I$2),Data!$K$3:$K$305,$B42)</f>
        <v/>
      </c>
      <c r="J42" s="791">
        <f>IFERROR(1/J$3,1)*SUMIFS(Data!$AD$3:$AD$305,Data!$Y$3:$Y$305,J$1,Data!$Z$3:$Z$305,IF(RIGHT(J$2,3)="YTD","&lt;="&amp;LEFT(J$2,2)*1,J$2),Data!$K$3:$K$305,$B42)</f>
        <v/>
      </c>
      <c r="K42" s="791">
        <f>IFERROR(1/K$3,1)*SUMIFS(Data!$AD$3:$AD$305,Data!$Y$3:$Y$305,K$1,Data!$Z$3:$Z$305,IF(RIGHT(K$2,3)="YTD","&lt;="&amp;LEFT(K$2,2)*1,K$2),Data!$K$3:$K$305,$B42)</f>
        <v/>
      </c>
      <c r="L42" s="791">
        <f>IFERROR(1/L$3,1)*SUMIFS(Data!$AD$3:$AD$305,Data!$Y$3:$Y$305,L$1,Data!$Z$3:$Z$305,IF(RIGHT(L$2,3)="YTD","&lt;="&amp;LEFT(L$2,2)*1,L$2),Data!$K$3:$K$305,$B42)</f>
        <v/>
      </c>
      <c r="M42" s="791">
        <f>IFERROR(1/M$3,1)*SUMIFS(Data!$AD$3:$AD$305,Data!$Y$3:$Y$305,M$1,Data!$Z$3:$Z$305,IF(RIGHT(M$2,3)="YTD","&lt;="&amp;LEFT(M$2,2)*1,M$2),Data!$K$3:$K$305,$B42)</f>
        <v/>
      </c>
      <c r="N42" s="791">
        <f>IFERROR(1/N$3,1)*SUMIFS(Data!$AD$3:$AD$305,Data!$Y$3:$Y$305,N$1,Data!$Z$3:$Z$305,IF(RIGHT(N$2,3)="YTD","&lt;="&amp;LEFT(N$2,2)*1,N$2),Data!$K$3:$K$305,$B42)</f>
        <v/>
      </c>
      <c r="O42" s="791">
        <f>IFERROR(1/O$3,1)*SUMIFS(Data!$AD$3:$AD$305,Data!$Y$3:$Y$305,O$1,Data!$Z$3:$Z$305,IF(RIGHT(O$2,3)="YTD","&lt;="&amp;LEFT(O$2,2)*1,O$2),Data!$K$3:$K$305,$B42)</f>
        <v/>
      </c>
      <c r="P42" s="791">
        <f>IFERROR(1/P$3,1)*SUMIFS(Data!$AD$3:$AD$305,Data!$Y$3:$Y$305,P$1,Data!$Z$3:$Z$305,IF(RIGHT(P$2,3)="YTD","&lt;="&amp;LEFT(P$2,2)*1,P$2),Data!$K$3:$K$305,$B42)</f>
        <v/>
      </c>
      <c r="Q42" s="791">
        <f>IFERROR(1/Q$3,1)*SUMIFS(Data!$AD$3:$AD$305,Data!$Y$3:$Y$305,Q$1,Data!$Z$3:$Z$305,IF(RIGHT(Q$2,3)="YTD","&lt;="&amp;LEFT(Q$2,2)*1,Q$2),Data!$K$3:$K$305,$B42)</f>
        <v/>
      </c>
      <c r="R42" s="791">
        <f>IFERROR(1/R$3,1)*SUMIFS(Data!$AD$3:$AD$305,Data!$Y$3:$Y$305,R$1,Data!$Z$3:$Z$305,IF(RIGHT(R$2,3)="YTD","&lt;="&amp;LEFT(R$2,2)*1,R$2),Data!$K$3:$K$305,$B42)</f>
        <v/>
      </c>
      <c r="S42" s="791">
        <f>IFERROR(1/S$3,1)*SUMIFS(Data!$AD$3:$AD$305,Data!$Y$3:$Y$305,S$1,Data!$Z$3:$Z$305,IF(RIGHT(S$2,3)="YTD","&lt;="&amp;LEFT(S$2,2)*1,S$2),Data!$K$3:$K$305,$B42)</f>
        <v/>
      </c>
      <c r="T42" s="791">
        <f>IFERROR(1/T$3,1)*SUMIFS(Data!$AD$3:$AD$305,Data!$Y$3:$Y$305,T$1,Data!$Z$3:$Z$305,IF(RIGHT(T$2,3)="YTD","&lt;="&amp;LEFT(T$2,2)*1,T$2),Data!$K$3:$K$305,$B42)</f>
        <v/>
      </c>
      <c r="V42" s="788">
        <f>G42</f>
        <v/>
      </c>
      <c r="W42" s="788">
        <f>$G42</f>
        <v/>
      </c>
      <c r="X42" s="788">
        <f>$G42</f>
        <v/>
      </c>
      <c r="Y42" s="788">
        <f>$G42</f>
        <v/>
      </c>
      <c r="Z42" s="788">
        <f>$G42</f>
        <v/>
      </c>
      <c r="AA42" s="788">
        <f>$G42</f>
        <v/>
      </c>
      <c r="AB42" s="788">
        <f>$G42</f>
        <v/>
      </c>
      <c r="AC42" s="788">
        <f>$G42</f>
        <v/>
      </c>
      <c r="AD42" s="788">
        <f>$G42</f>
        <v/>
      </c>
      <c r="AE42" s="788" t="n"/>
      <c r="AF42" s="788">
        <f>IFERROR(1/AF$3,1)*SUMIFS(Data!$AD$3:$AD$305,Data!$Y$3:$Y$305,AF$1,Data!$Z$3:$Z$305,IF(RIGHT(AF$2,3)="YTD","&lt;="&amp;LEFT(AF$2,2)*1,AF$2),Data!$K$3:$K$305,$B18)</f>
        <v/>
      </c>
      <c r="AG42" s="788">
        <f>AK42/12*$C$5</f>
        <v/>
      </c>
      <c r="AH42" s="789">
        <f>AF42-AG42</f>
        <v/>
      </c>
      <c r="AJ42" s="788" t="n">
        <v>37742.5</v>
      </c>
      <c r="AK42" s="788" t="n">
        <v>0</v>
      </c>
    </row>
    <row r="43" hidden="1" outlineLevel="1" s="701">
      <c r="A43" t="inlineStr">
        <is>
          <t>TT-CP-00109-20</t>
        </is>
      </c>
      <c r="B43" s="264" t="inlineStr">
        <is>
          <t>GSE to AIA</t>
        </is>
      </c>
      <c r="C43" s="246" t="inlineStr">
        <is>
          <t>k €</t>
        </is>
      </c>
      <c r="E43" s="788">
        <f>$AJ43/E$3</f>
        <v/>
      </c>
      <c r="F43" s="788">
        <f>IFERROR(1/F$3,1)*SUMIFS(Data!$AD$3:$AD$305,Data!$Y$3:$Y$305,F$1,Data!$Z$3:$Z$305,IF(RIGHT(F$2,3)="YTD","&lt;="&amp;LEFT(F$2,2)*1,F$2),Data!$K$3:$K$305,$B43)</f>
        <v/>
      </c>
      <c r="G43" s="788">
        <f>AK43/12</f>
        <v/>
      </c>
      <c r="H43" s="801" t="n"/>
      <c r="I43" s="791">
        <f>IFERROR(1/I$3,1)*SUMIFS(Data!$AD$3:$AD$305,Data!$Y$3:$Y$305,I$1,Data!$Z$3:$Z$305,IF(RIGHT(I$2,3)="YTD","&lt;="&amp;LEFT(I$2,2)*1,I$2),Data!$K$3:$K$305,$B43)</f>
        <v/>
      </c>
      <c r="J43" s="791">
        <f>IFERROR(1/J$3,1)*SUMIFS(Data!$AD$3:$AD$305,Data!$Y$3:$Y$305,J$1,Data!$Z$3:$Z$305,IF(RIGHT(J$2,3)="YTD","&lt;="&amp;LEFT(J$2,2)*1,J$2),Data!$K$3:$K$305,$B43)</f>
        <v/>
      </c>
      <c r="K43" s="791">
        <f>IFERROR(1/K$3,1)*SUMIFS(Data!$AD$3:$AD$305,Data!$Y$3:$Y$305,K$1,Data!$Z$3:$Z$305,IF(RIGHT(K$2,3)="YTD","&lt;="&amp;LEFT(K$2,2)*1,K$2),Data!$K$3:$K$305,$B43)</f>
        <v/>
      </c>
      <c r="L43" s="791">
        <f>IFERROR(1/L$3,1)*SUMIFS(Data!$AD$3:$AD$305,Data!$Y$3:$Y$305,L$1,Data!$Z$3:$Z$305,IF(RIGHT(L$2,3)="YTD","&lt;="&amp;LEFT(L$2,2)*1,L$2),Data!$K$3:$K$305,$B43)</f>
        <v/>
      </c>
      <c r="M43" s="791">
        <f>IFERROR(1/M$3,1)*SUMIFS(Data!$AD$3:$AD$305,Data!$Y$3:$Y$305,M$1,Data!$Z$3:$Z$305,IF(RIGHT(M$2,3)="YTD","&lt;="&amp;LEFT(M$2,2)*1,M$2),Data!$K$3:$K$305,$B43)</f>
        <v/>
      </c>
      <c r="N43" s="791">
        <f>IFERROR(1/N$3,1)*SUMIFS(Data!$AD$3:$AD$305,Data!$Y$3:$Y$305,N$1,Data!$Z$3:$Z$305,IF(RIGHT(N$2,3)="YTD","&lt;="&amp;LEFT(N$2,2)*1,N$2),Data!$K$3:$K$305,$B43)</f>
        <v/>
      </c>
      <c r="O43" s="791">
        <f>IFERROR(1/O$3,1)*SUMIFS(Data!$AD$3:$AD$305,Data!$Y$3:$Y$305,O$1,Data!$Z$3:$Z$305,IF(RIGHT(O$2,3)="YTD","&lt;="&amp;LEFT(O$2,2)*1,O$2),Data!$K$3:$K$305,$B43)</f>
        <v/>
      </c>
      <c r="P43" s="791">
        <f>IFERROR(1/P$3,1)*SUMIFS(Data!$AD$3:$AD$305,Data!$Y$3:$Y$305,P$1,Data!$Z$3:$Z$305,IF(RIGHT(P$2,3)="YTD","&lt;="&amp;LEFT(P$2,2)*1,P$2),Data!$K$3:$K$305,$B43)</f>
        <v/>
      </c>
      <c r="Q43" s="791">
        <f>IFERROR(1/Q$3,1)*SUMIFS(Data!$AD$3:$AD$305,Data!$Y$3:$Y$305,Q$1,Data!$Z$3:$Z$305,IF(RIGHT(Q$2,3)="YTD","&lt;="&amp;LEFT(Q$2,2)*1,Q$2),Data!$K$3:$K$305,$B43)</f>
        <v/>
      </c>
      <c r="R43" s="791">
        <f>IFERROR(1/R$3,1)*SUMIFS(Data!$AD$3:$AD$305,Data!$Y$3:$Y$305,R$1,Data!$Z$3:$Z$305,IF(RIGHT(R$2,3)="YTD","&lt;="&amp;LEFT(R$2,2)*1,R$2),Data!$K$3:$K$305,$B43)</f>
        <v/>
      </c>
      <c r="S43" s="791">
        <f>IFERROR(1/S$3,1)*SUMIFS(Data!$AD$3:$AD$305,Data!$Y$3:$Y$305,S$1,Data!$Z$3:$Z$305,IF(RIGHT(S$2,3)="YTD","&lt;="&amp;LEFT(S$2,2)*1,S$2),Data!$K$3:$K$305,$B43)</f>
        <v/>
      </c>
      <c r="T43" s="791">
        <f>IFERROR(1/T$3,1)*SUMIFS(Data!$AD$3:$AD$305,Data!$Y$3:$Y$305,T$1,Data!$Z$3:$Z$305,IF(RIGHT(T$2,3)="YTD","&lt;="&amp;LEFT(T$2,2)*1,T$2),Data!$K$3:$K$305,$B43)</f>
        <v/>
      </c>
      <c r="V43" s="788">
        <f>G43</f>
        <v/>
      </c>
      <c r="W43" s="788">
        <f>$G43</f>
        <v/>
      </c>
      <c r="X43" s="788">
        <f>$G43</f>
        <v/>
      </c>
      <c r="Y43" s="788">
        <f>$G43</f>
        <v/>
      </c>
      <c r="Z43" s="788">
        <f>$G43</f>
        <v/>
      </c>
      <c r="AA43" s="788">
        <f>$G43</f>
        <v/>
      </c>
      <c r="AB43" s="788">
        <f>$G43</f>
        <v/>
      </c>
      <c r="AC43" s="788">
        <f>$G43</f>
        <v/>
      </c>
      <c r="AD43" s="788">
        <f>$G43</f>
        <v/>
      </c>
      <c r="AE43" s="788" t="n"/>
      <c r="AF43" s="788">
        <f>IFERROR(1/AF$3,1)*SUMIFS(Data!$AD$3:$AD$305,Data!$Y$3:$Y$305,AF$1,Data!$Z$3:$Z$305,IF(RIGHT(AF$2,3)="YTD","&lt;="&amp;LEFT(AF$2,2)*1,AF$2),Data!$K$3:$K$305,$B19)</f>
        <v/>
      </c>
      <c r="AG43" s="788">
        <f>AK43/12*$C$5</f>
        <v/>
      </c>
      <c r="AH43" s="789">
        <f>AF43-AG43</f>
        <v/>
      </c>
      <c r="AJ43" s="788" t="n">
        <v>271320</v>
      </c>
      <c r="AK43" s="788" t="n">
        <v>0</v>
      </c>
    </row>
    <row r="44" hidden="1" outlineLevel="1" s="701">
      <c r="A44" t="inlineStr">
        <is>
          <t>TT-CP-00101-20</t>
        </is>
      </c>
      <c r="B44" s="264" t="inlineStr">
        <is>
          <t>SERVICE AIA</t>
        </is>
      </c>
      <c r="C44" s="246" t="inlineStr">
        <is>
          <t>k €</t>
        </is>
      </c>
      <c r="E44" s="788">
        <f>$AJ44/E$3</f>
        <v/>
      </c>
      <c r="F44" s="788">
        <f>IFERROR(1/F$3,1)*SUMIFS(Data!$AD$3:$AD$305,Data!$Y$3:$Y$305,F$1,Data!$Z$3:$Z$305,IF(RIGHT(F$2,3)="YTD","&lt;="&amp;LEFT(F$2,2)*1,F$2),Data!$K$3:$K$305,$B44)</f>
        <v/>
      </c>
      <c r="G44" s="788">
        <f>AK44/12</f>
        <v/>
      </c>
      <c r="H44" s="801" t="n"/>
      <c r="I44" s="791">
        <f>IFERROR(1/I$3,1)*SUMIFS(Data!$AD$3:$AD$305,Data!$Y$3:$Y$305,I$1,Data!$Z$3:$Z$305,IF(RIGHT(I$2,3)="YTD","&lt;="&amp;LEFT(I$2,2)*1,I$2),Data!$K$3:$K$305,$B44)</f>
        <v/>
      </c>
      <c r="J44" s="791">
        <f>IFERROR(1/J$3,1)*SUMIFS(Data!$AD$3:$AD$305,Data!$Y$3:$Y$305,J$1,Data!$Z$3:$Z$305,IF(RIGHT(J$2,3)="YTD","&lt;="&amp;LEFT(J$2,2)*1,J$2),Data!$K$3:$K$305,$B44)</f>
        <v/>
      </c>
      <c r="K44" s="791">
        <f>IFERROR(1/K$3,1)*SUMIFS(Data!$AD$3:$AD$305,Data!$Y$3:$Y$305,K$1,Data!$Z$3:$Z$305,IF(RIGHT(K$2,3)="YTD","&lt;="&amp;LEFT(K$2,2)*1,K$2),Data!$K$3:$K$305,$B44)</f>
        <v/>
      </c>
      <c r="L44" s="791">
        <f>IFERROR(1/L$3,1)*SUMIFS(Data!$AD$3:$AD$305,Data!$Y$3:$Y$305,L$1,Data!$Z$3:$Z$305,IF(RIGHT(L$2,3)="YTD","&lt;="&amp;LEFT(L$2,2)*1,L$2),Data!$K$3:$K$305,$B44)</f>
        <v/>
      </c>
      <c r="M44" s="791">
        <f>IFERROR(1/M$3,1)*SUMIFS(Data!$AD$3:$AD$305,Data!$Y$3:$Y$305,M$1,Data!$Z$3:$Z$305,IF(RIGHT(M$2,3)="YTD","&lt;="&amp;LEFT(M$2,2)*1,M$2),Data!$K$3:$K$305,$B44)</f>
        <v/>
      </c>
      <c r="N44" s="791">
        <f>IFERROR(1/N$3,1)*SUMIFS(Data!$AD$3:$AD$305,Data!$Y$3:$Y$305,N$1,Data!$Z$3:$Z$305,IF(RIGHT(N$2,3)="YTD","&lt;="&amp;LEFT(N$2,2)*1,N$2),Data!$K$3:$K$305,$B44)</f>
        <v/>
      </c>
      <c r="O44" s="791">
        <f>IFERROR(1/O$3,1)*SUMIFS(Data!$AD$3:$AD$305,Data!$Y$3:$Y$305,O$1,Data!$Z$3:$Z$305,IF(RIGHT(O$2,3)="YTD","&lt;="&amp;LEFT(O$2,2)*1,O$2),Data!$K$3:$K$305,$B44)</f>
        <v/>
      </c>
      <c r="P44" s="791">
        <f>IFERROR(1/P$3,1)*SUMIFS(Data!$AD$3:$AD$305,Data!$Y$3:$Y$305,P$1,Data!$Z$3:$Z$305,IF(RIGHT(P$2,3)="YTD","&lt;="&amp;LEFT(P$2,2)*1,P$2),Data!$K$3:$K$305,$B44)</f>
        <v/>
      </c>
      <c r="Q44" s="791">
        <f>IFERROR(1/Q$3,1)*SUMIFS(Data!$AD$3:$AD$305,Data!$Y$3:$Y$305,Q$1,Data!$Z$3:$Z$305,IF(RIGHT(Q$2,3)="YTD","&lt;="&amp;LEFT(Q$2,2)*1,Q$2),Data!$K$3:$K$305,$B44)</f>
        <v/>
      </c>
      <c r="R44" s="791">
        <f>IFERROR(1/R$3,1)*SUMIFS(Data!$AD$3:$AD$305,Data!$Y$3:$Y$305,R$1,Data!$Z$3:$Z$305,IF(RIGHT(R$2,3)="YTD","&lt;="&amp;LEFT(R$2,2)*1,R$2),Data!$K$3:$K$305,$B44)</f>
        <v/>
      </c>
      <c r="S44" s="791">
        <f>IFERROR(1/S$3,1)*SUMIFS(Data!$AD$3:$AD$305,Data!$Y$3:$Y$305,S$1,Data!$Z$3:$Z$305,IF(RIGHT(S$2,3)="YTD","&lt;="&amp;LEFT(S$2,2)*1,S$2),Data!$K$3:$K$305,$B44)</f>
        <v/>
      </c>
      <c r="T44" s="791">
        <f>IFERROR(1/T$3,1)*SUMIFS(Data!$AD$3:$AD$305,Data!$Y$3:$Y$305,T$1,Data!$Z$3:$Z$305,IF(RIGHT(T$2,3)="YTD","&lt;="&amp;LEFT(T$2,2)*1,T$2),Data!$K$3:$K$305,$B44)</f>
        <v/>
      </c>
      <c r="V44" s="788">
        <f>G44</f>
        <v/>
      </c>
      <c r="W44" s="788">
        <f>$G44</f>
        <v/>
      </c>
      <c r="X44" s="788">
        <f>$G44</f>
        <v/>
      </c>
      <c r="Y44" s="788">
        <f>$G44</f>
        <v/>
      </c>
      <c r="Z44" s="788">
        <f>$G44</f>
        <v/>
      </c>
      <c r="AA44" s="788">
        <f>$G44</f>
        <v/>
      </c>
      <c r="AB44" s="788">
        <f>$G44</f>
        <v/>
      </c>
      <c r="AC44" s="788">
        <f>$G44</f>
        <v/>
      </c>
      <c r="AD44" s="788">
        <f>$G44</f>
        <v/>
      </c>
      <c r="AE44" s="788" t="n"/>
      <c r="AF44" s="788">
        <f>IFERROR(1/AF$3,1)*SUMIFS(Data!$AD$3:$AD$305,Data!$Y$3:$Y$305,AF$1,Data!$Z$3:$Z$305,IF(RIGHT(AF$2,3)="YTD","&lt;="&amp;LEFT(AF$2,2)*1,AF$2),Data!$K$3:$K$305,$B20)</f>
        <v/>
      </c>
      <c r="AG44" s="788">
        <f>AK44/12*$C$5</f>
        <v/>
      </c>
      <c r="AH44" s="789">
        <f>AF44-AG44</f>
        <v/>
      </c>
      <c r="AJ44" s="788" t="n">
        <v>45130</v>
      </c>
      <c r="AK44" s="790" t="n">
        <v>250000</v>
      </c>
    </row>
    <row r="45" hidden="1" outlineLevel="1" s="701">
      <c r="A45" s="160" t="inlineStr">
        <is>
          <t>TT-CP-00102-20</t>
        </is>
      </c>
      <c r="B45" s="264" t="inlineStr">
        <is>
          <t>SERVICE IC</t>
        </is>
      </c>
      <c r="C45" s="246" t="inlineStr">
        <is>
          <t>k €</t>
        </is>
      </c>
      <c r="E45" s="788">
        <f>$AJ45/E$3</f>
        <v/>
      </c>
      <c r="F45" s="788">
        <f>IFERROR(1/F$3,1)*SUMIFS(Data!$AD$3:$AD$305,Data!$Y$3:$Y$305,F$1,Data!$Z$3:$Z$305,IF(RIGHT(F$2,3)="YTD","&lt;="&amp;LEFT(F$2,2)*1,F$2),Data!$K$3:$K$305,$B45)</f>
        <v/>
      </c>
      <c r="G45" s="788">
        <f>AK45/12</f>
        <v/>
      </c>
      <c r="H45" s="801" t="n"/>
      <c r="I45" s="791">
        <f>IFERROR(1/I$3,1)*SUMIFS(Data!$AD$3:$AD$305,Data!$Y$3:$Y$305,I$1,Data!$Z$3:$Z$305,IF(RIGHT(I$2,3)="YTD","&lt;="&amp;LEFT(I$2,2)*1,I$2),Data!$K$3:$K$305,$B45)</f>
        <v/>
      </c>
      <c r="J45" s="791">
        <f>IFERROR(1/J$3,1)*SUMIFS(Data!$AD$3:$AD$305,Data!$Y$3:$Y$305,J$1,Data!$Z$3:$Z$305,IF(RIGHT(J$2,3)="YTD","&lt;="&amp;LEFT(J$2,2)*1,J$2),Data!$K$3:$K$305,$B45)</f>
        <v/>
      </c>
      <c r="K45" s="791">
        <f>IFERROR(1/K$3,1)*SUMIFS(Data!$AD$3:$AD$305,Data!$Y$3:$Y$305,K$1,Data!$Z$3:$Z$305,IF(RIGHT(K$2,3)="YTD","&lt;="&amp;LEFT(K$2,2)*1,K$2),Data!$K$3:$K$305,$B45)</f>
        <v/>
      </c>
      <c r="L45" s="791">
        <f>IFERROR(1/L$3,1)*SUMIFS(Data!$AD$3:$AD$305,Data!$Y$3:$Y$305,L$1,Data!$Z$3:$Z$305,IF(RIGHT(L$2,3)="YTD","&lt;="&amp;LEFT(L$2,2)*1,L$2),Data!$K$3:$K$305,$B45)</f>
        <v/>
      </c>
      <c r="M45" s="791">
        <f>IFERROR(1/M$3,1)*SUMIFS(Data!$AD$3:$AD$305,Data!$Y$3:$Y$305,M$1,Data!$Z$3:$Z$305,IF(RIGHT(M$2,3)="YTD","&lt;="&amp;LEFT(M$2,2)*1,M$2),Data!$K$3:$K$305,$B45)</f>
        <v/>
      </c>
      <c r="N45" s="791">
        <f>IFERROR(1/N$3,1)*SUMIFS(Data!$AD$3:$AD$305,Data!$Y$3:$Y$305,N$1,Data!$Z$3:$Z$305,IF(RIGHT(N$2,3)="YTD","&lt;="&amp;LEFT(N$2,2)*1,N$2),Data!$K$3:$K$305,$B45)</f>
        <v/>
      </c>
      <c r="O45" s="791">
        <f>IFERROR(1/O$3,1)*SUMIFS(Data!$AD$3:$AD$305,Data!$Y$3:$Y$305,O$1,Data!$Z$3:$Z$305,IF(RIGHT(O$2,3)="YTD","&lt;="&amp;LEFT(O$2,2)*1,O$2),Data!$K$3:$K$305,$B45)</f>
        <v/>
      </c>
      <c r="P45" s="791">
        <f>IFERROR(1/P$3,1)*SUMIFS(Data!$AD$3:$AD$305,Data!$Y$3:$Y$305,P$1,Data!$Z$3:$Z$305,IF(RIGHT(P$2,3)="YTD","&lt;="&amp;LEFT(P$2,2)*1,P$2),Data!$K$3:$K$305,$B45)</f>
        <v/>
      </c>
      <c r="Q45" s="791">
        <f>IFERROR(1/Q$3,1)*SUMIFS(Data!$AD$3:$AD$305,Data!$Y$3:$Y$305,Q$1,Data!$Z$3:$Z$305,IF(RIGHT(Q$2,3)="YTD","&lt;="&amp;LEFT(Q$2,2)*1,Q$2),Data!$K$3:$K$305,$B45)</f>
        <v/>
      </c>
      <c r="R45" s="791">
        <f>IFERROR(1/R$3,1)*SUMIFS(Data!$AD$3:$AD$305,Data!$Y$3:$Y$305,R$1,Data!$Z$3:$Z$305,IF(RIGHT(R$2,3)="YTD","&lt;="&amp;LEFT(R$2,2)*1,R$2),Data!$K$3:$K$305,$B45)</f>
        <v/>
      </c>
      <c r="S45" s="791">
        <f>IFERROR(1/S$3,1)*SUMIFS(Data!$AD$3:$AD$305,Data!$Y$3:$Y$305,S$1,Data!$Z$3:$Z$305,IF(RIGHT(S$2,3)="YTD","&lt;="&amp;LEFT(S$2,2)*1,S$2),Data!$K$3:$K$305,$B45)</f>
        <v/>
      </c>
      <c r="T45" s="791">
        <f>IFERROR(1/T$3,1)*SUMIFS(Data!$AD$3:$AD$305,Data!$Y$3:$Y$305,T$1,Data!$Z$3:$Z$305,IF(RIGHT(T$2,3)="YTD","&lt;="&amp;LEFT(T$2,2)*1,T$2),Data!$K$3:$K$305,$B45)</f>
        <v/>
      </c>
      <c r="V45" s="788">
        <f>G45</f>
        <v/>
      </c>
      <c r="W45" s="788">
        <f>$G45</f>
        <v/>
      </c>
      <c r="X45" s="788">
        <f>$G45</f>
        <v/>
      </c>
      <c r="Y45" s="788">
        <f>$G45</f>
        <v/>
      </c>
      <c r="Z45" s="788">
        <f>$G45</f>
        <v/>
      </c>
      <c r="AA45" s="788">
        <f>$G45</f>
        <v/>
      </c>
      <c r="AB45" s="788">
        <f>$G45</f>
        <v/>
      </c>
      <c r="AC45" s="788">
        <f>$G45</f>
        <v/>
      </c>
      <c r="AD45" s="788">
        <f>$G45</f>
        <v/>
      </c>
      <c r="AE45" s="788" t="n"/>
      <c r="AF45" s="788">
        <f>IFERROR(1/AF$3,1)*SUMIFS(Data!$AD$3:$AD$305,Data!$Y$3:$Y$305,AF$1,Data!$Z$3:$Z$305,IF(RIGHT(AF$2,3)="YTD","&lt;="&amp;LEFT(AF$2,2)*1,AF$2),Data!$K$3:$K$305,$B21)</f>
        <v/>
      </c>
      <c r="AG45" s="788">
        <f>AK45/12*$C$5</f>
        <v/>
      </c>
      <c r="AH45" s="789">
        <f>AF45-AG45</f>
        <v/>
      </c>
      <c r="AJ45" s="788" t="n">
        <v>127114</v>
      </c>
      <c r="AK45" s="790" t="n">
        <v>45000</v>
      </c>
    </row>
    <row r="46" hidden="1" outlineLevel="1" s="701">
      <c r="A46" s="160" t="inlineStr">
        <is>
          <t>TT-CP-00100-20</t>
        </is>
      </c>
      <c r="B46" s="264" t="inlineStr">
        <is>
          <t>SERVICE OTHER AIA</t>
        </is>
      </c>
      <c r="C46" s="246" t="inlineStr">
        <is>
          <t>k €</t>
        </is>
      </c>
      <c r="E46" s="788">
        <f>$AJ46/E$3</f>
        <v/>
      </c>
      <c r="F46" s="788">
        <f>IFERROR(1/F$3,1)*SUMIFS(Data!$AD$3:$AD$305,Data!$Y$3:$Y$305,F$1,Data!$Z$3:$Z$305,IF(RIGHT(F$2,3)="YTD","&lt;="&amp;LEFT(F$2,2)*1,F$2),Data!$K$3:$K$305,$B46)</f>
        <v/>
      </c>
      <c r="G46" s="788">
        <f>AK46/12</f>
        <v/>
      </c>
      <c r="H46" s="801" t="n"/>
      <c r="I46" s="791">
        <f>IFERROR(1/I$3,1)*SUMIFS(Data!$AD$3:$AD$305,Data!$Y$3:$Y$305,I$1,Data!$Z$3:$Z$305,IF(RIGHT(I$2,3)="YTD","&lt;="&amp;LEFT(I$2,2)*1,I$2),Data!$K$3:$K$305,$B46)</f>
        <v/>
      </c>
      <c r="J46" s="791">
        <f>IFERROR(1/J$3,1)*SUMIFS(Data!$AD$3:$AD$305,Data!$Y$3:$Y$305,J$1,Data!$Z$3:$Z$305,IF(RIGHT(J$2,3)="YTD","&lt;="&amp;LEFT(J$2,2)*1,J$2),Data!$K$3:$K$305,$B46)</f>
        <v/>
      </c>
      <c r="K46" s="791">
        <f>IFERROR(1/K$3,1)*SUMIFS(Data!$AD$3:$AD$305,Data!$Y$3:$Y$305,K$1,Data!$Z$3:$Z$305,IF(RIGHT(K$2,3)="YTD","&lt;="&amp;LEFT(K$2,2)*1,K$2),Data!$K$3:$K$305,$B46)</f>
        <v/>
      </c>
      <c r="L46" s="791">
        <f>IFERROR(1/L$3,1)*SUMIFS(Data!$AD$3:$AD$305,Data!$Y$3:$Y$305,L$1,Data!$Z$3:$Z$305,IF(RIGHT(L$2,3)="YTD","&lt;="&amp;LEFT(L$2,2)*1,L$2),Data!$K$3:$K$305,$B46)</f>
        <v/>
      </c>
      <c r="M46" s="791">
        <f>IFERROR(1/M$3,1)*SUMIFS(Data!$AD$3:$AD$305,Data!$Y$3:$Y$305,M$1,Data!$Z$3:$Z$305,IF(RIGHT(M$2,3)="YTD","&lt;="&amp;LEFT(M$2,2)*1,M$2),Data!$K$3:$K$305,$B46)</f>
        <v/>
      </c>
      <c r="N46" s="791">
        <f>IFERROR(1/N$3,1)*SUMIFS(Data!$AD$3:$AD$305,Data!$Y$3:$Y$305,N$1,Data!$Z$3:$Z$305,IF(RIGHT(N$2,3)="YTD","&lt;="&amp;LEFT(N$2,2)*1,N$2),Data!$K$3:$K$305,$B46)</f>
        <v/>
      </c>
      <c r="O46" s="791">
        <f>IFERROR(1/O$3,1)*SUMIFS(Data!$AD$3:$AD$305,Data!$Y$3:$Y$305,O$1,Data!$Z$3:$Z$305,IF(RIGHT(O$2,3)="YTD","&lt;="&amp;LEFT(O$2,2)*1,O$2),Data!$K$3:$K$305,$B46)</f>
        <v/>
      </c>
      <c r="P46" s="791">
        <f>IFERROR(1/P$3,1)*SUMIFS(Data!$AD$3:$AD$305,Data!$Y$3:$Y$305,P$1,Data!$Z$3:$Z$305,IF(RIGHT(P$2,3)="YTD","&lt;="&amp;LEFT(P$2,2)*1,P$2),Data!$K$3:$K$305,$B46)</f>
        <v/>
      </c>
      <c r="Q46" s="791">
        <f>IFERROR(1/Q$3,1)*SUMIFS(Data!$AD$3:$AD$305,Data!$Y$3:$Y$305,Q$1,Data!$Z$3:$Z$305,IF(RIGHT(Q$2,3)="YTD","&lt;="&amp;LEFT(Q$2,2)*1,Q$2),Data!$K$3:$K$305,$B46)</f>
        <v/>
      </c>
      <c r="R46" s="791">
        <f>IFERROR(1/R$3,1)*SUMIFS(Data!$AD$3:$AD$305,Data!$Y$3:$Y$305,R$1,Data!$Z$3:$Z$305,IF(RIGHT(R$2,3)="YTD","&lt;="&amp;LEFT(R$2,2)*1,R$2),Data!$K$3:$K$305,$B46)</f>
        <v/>
      </c>
      <c r="S46" s="791">
        <f>IFERROR(1/S$3,1)*SUMIFS(Data!$AD$3:$AD$305,Data!$Y$3:$Y$305,S$1,Data!$Z$3:$Z$305,IF(RIGHT(S$2,3)="YTD","&lt;="&amp;LEFT(S$2,2)*1,S$2),Data!$K$3:$K$305,$B46)</f>
        <v/>
      </c>
      <c r="T46" s="791">
        <f>IFERROR(1/T$3,1)*SUMIFS(Data!$AD$3:$AD$305,Data!$Y$3:$Y$305,T$1,Data!$Z$3:$Z$305,IF(RIGHT(T$2,3)="YTD","&lt;="&amp;LEFT(T$2,2)*1,T$2),Data!$K$3:$K$305,$B46)</f>
        <v/>
      </c>
      <c r="V46" s="788">
        <f>G46</f>
        <v/>
      </c>
      <c r="W46" s="788">
        <f>$G46</f>
        <v/>
      </c>
      <c r="X46" s="788">
        <f>$G46</f>
        <v/>
      </c>
      <c r="Y46" s="788">
        <f>$G46</f>
        <v/>
      </c>
      <c r="Z46" s="788">
        <f>$G46</f>
        <v/>
      </c>
      <c r="AA46" s="788">
        <f>$G46</f>
        <v/>
      </c>
      <c r="AB46" s="788">
        <f>$G46</f>
        <v/>
      </c>
      <c r="AC46" s="788">
        <f>$G46</f>
        <v/>
      </c>
      <c r="AD46" s="788">
        <f>$G46</f>
        <v/>
      </c>
      <c r="AE46" s="788" t="n"/>
      <c r="AF46" s="788">
        <f>IFERROR(1/AF$3,1)*SUMIFS(Data!$AD$3:$AD$305,Data!$Y$3:$Y$305,AF$1,Data!$Z$3:$Z$305,IF(RIGHT(AF$2,3)="YTD","&lt;="&amp;LEFT(AF$2,2)*1,AF$2),Data!$K$3:$K$305,$B22)</f>
        <v/>
      </c>
      <c r="AG46" s="788">
        <f>AK46/12*$C$5</f>
        <v/>
      </c>
      <c r="AH46" s="789">
        <f>AF46-AG46</f>
        <v/>
      </c>
      <c r="AJ46" s="788" t="n">
        <v>130576</v>
      </c>
      <c r="AK46" s="790" t="n">
        <v>250000</v>
      </c>
    </row>
    <row r="47" hidden="1" outlineLevel="1" s="701">
      <c r="A47" t="inlineStr">
        <is>
          <t>TT-CP-00110-20</t>
        </is>
      </c>
      <c r="B47" s="264" t="inlineStr">
        <is>
          <t>TRADING OTHER AIA</t>
        </is>
      </c>
      <c r="C47" s="246" t="inlineStr">
        <is>
          <t>k €</t>
        </is>
      </c>
      <c r="E47" s="788">
        <f>$AJ47/E$3</f>
        <v/>
      </c>
      <c r="F47" s="788">
        <f>IFERROR(1/F$3,1)*SUMIFS(Data!$AD$3:$AD$305,Data!$Y$3:$Y$305,F$1,Data!$Z$3:$Z$305,IF(RIGHT(F$2,3)="YTD","&lt;="&amp;LEFT(F$2,2)*1,F$2),Data!$K$3:$K$305,$B47)</f>
        <v/>
      </c>
      <c r="G47" s="788">
        <f>AK47/12</f>
        <v/>
      </c>
      <c r="H47" s="801" t="n"/>
      <c r="I47" s="791">
        <f>IFERROR(1/I$3,1)*SUMIFS(Data!$AD$3:$AD$305,Data!$Y$3:$Y$305,I$1,Data!$Z$3:$Z$305,IF(RIGHT(I$2,3)="YTD","&lt;="&amp;LEFT(I$2,2)*1,I$2),Data!$K$3:$K$305,$B47)</f>
        <v/>
      </c>
      <c r="J47" s="791">
        <f>IFERROR(1/J$3,1)*SUMIFS(Data!$AD$3:$AD$305,Data!$Y$3:$Y$305,J$1,Data!$Z$3:$Z$305,IF(RIGHT(J$2,3)="YTD","&lt;="&amp;LEFT(J$2,2)*1,J$2),Data!$K$3:$K$305,$B47)</f>
        <v/>
      </c>
      <c r="K47" s="791">
        <f>IFERROR(1/K$3,1)*SUMIFS(Data!$AD$3:$AD$305,Data!$Y$3:$Y$305,K$1,Data!$Z$3:$Z$305,IF(RIGHT(K$2,3)="YTD","&lt;="&amp;LEFT(K$2,2)*1,K$2),Data!$K$3:$K$305,$B47)</f>
        <v/>
      </c>
      <c r="L47" s="791">
        <f>IFERROR(1/L$3,1)*SUMIFS(Data!$AD$3:$AD$305,Data!$Y$3:$Y$305,L$1,Data!$Z$3:$Z$305,IF(RIGHT(L$2,3)="YTD","&lt;="&amp;LEFT(L$2,2)*1,L$2),Data!$K$3:$K$305,$B47)</f>
        <v/>
      </c>
      <c r="M47" s="791">
        <f>IFERROR(1/M$3,1)*SUMIFS(Data!$AD$3:$AD$305,Data!$Y$3:$Y$305,M$1,Data!$Z$3:$Z$305,IF(RIGHT(M$2,3)="YTD","&lt;="&amp;LEFT(M$2,2)*1,M$2),Data!$K$3:$K$305,$B47)</f>
        <v/>
      </c>
      <c r="N47" s="791">
        <f>IFERROR(1/N$3,1)*SUMIFS(Data!$AD$3:$AD$305,Data!$Y$3:$Y$305,N$1,Data!$Z$3:$Z$305,IF(RIGHT(N$2,3)="YTD","&lt;="&amp;LEFT(N$2,2)*1,N$2),Data!$K$3:$K$305,$B47)</f>
        <v/>
      </c>
      <c r="O47" s="791">
        <f>IFERROR(1/O$3,1)*SUMIFS(Data!$AD$3:$AD$305,Data!$Y$3:$Y$305,O$1,Data!$Z$3:$Z$305,IF(RIGHT(O$2,3)="YTD","&lt;="&amp;LEFT(O$2,2)*1,O$2),Data!$K$3:$K$305,$B47)</f>
        <v/>
      </c>
      <c r="P47" s="791">
        <f>IFERROR(1/P$3,1)*SUMIFS(Data!$AD$3:$AD$305,Data!$Y$3:$Y$305,P$1,Data!$Z$3:$Z$305,IF(RIGHT(P$2,3)="YTD","&lt;="&amp;LEFT(P$2,2)*1,P$2),Data!$K$3:$K$305,$B47)</f>
        <v/>
      </c>
      <c r="Q47" s="791">
        <f>IFERROR(1/Q$3,1)*SUMIFS(Data!$AD$3:$AD$305,Data!$Y$3:$Y$305,Q$1,Data!$Z$3:$Z$305,IF(RIGHT(Q$2,3)="YTD","&lt;="&amp;LEFT(Q$2,2)*1,Q$2),Data!$K$3:$K$305,$B47)</f>
        <v/>
      </c>
      <c r="R47" s="791">
        <f>IFERROR(1/R$3,1)*SUMIFS(Data!$AD$3:$AD$305,Data!$Y$3:$Y$305,R$1,Data!$Z$3:$Z$305,IF(RIGHT(R$2,3)="YTD","&lt;="&amp;LEFT(R$2,2)*1,R$2),Data!$K$3:$K$305,$B47)</f>
        <v/>
      </c>
      <c r="S47" s="791">
        <f>IFERROR(1/S$3,1)*SUMIFS(Data!$AD$3:$AD$305,Data!$Y$3:$Y$305,S$1,Data!$Z$3:$Z$305,IF(RIGHT(S$2,3)="YTD","&lt;="&amp;LEFT(S$2,2)*1,S$2),Data!$K$3:$K$305,$B47)</f>
        <v/>
      </c>
      <c r="T47" s="791">
        <f>IFERROR(1/T$3,1)*SUMIFS(Data!$AD$3:$AD$305,Data!$Y$3:$Y$305,T$1,Data!$Z$3:$Z$305,IF(RIGHT(T$2,3)="YTD","&lt;="&amp;LEFT(T$2,2)*1,T$2),Data!$K$3:$K$305,$B47)</f>
        <v/>
      </c>
      <c r="V47" s="788">
        <f>G47</f>
        <v/>
      </c>
      <c r="W47" s="788">
        <f>$G47</f>
        <v/>
      </c>
      <c r="X47" s="788">
        <f>$G47</f>
        <v/>
      </c>
      <c r="Y47" s="788">
        <f>$G47</f>
        <v/>
      </c>
      <c r="Z47" s="788">
        <f>$G47</f>
        <v/>
      </c>
      <c r="AA47" s="788">
        <f>$G47</f>
        <v/>
      </c>
      <c r="AB47" s="788">
        <f>$G47</f>
        <v/>
      </c>
      <c r="AC47" s="788">
        <f>$G47</f>
        <v/>
      </c>
      <c r="AD47" s="788">
        <f>$G47</f>
        <v/>
      </c>
      <c r="AE47" s="788" t="n"/>
      <c r="AF47" s="788">
        <f>IFERROR(1/AF$3,1)*SUMIFS(Data!$AD$3:$AD$305,Data!$Y$3:$Y$305,AF$1,Data!$Z$3:$Z$305,IF(RIGHT(AF$2,3)="YTD","&lt;="&amp;LEFT(AF$2,2)*1,AF$2),Data!$K$3:$K$305,$B23)</f>
        <v/>
      </c>
      <c r="AG47" s="788">
        <f>AK47/12*$C$5</f>
        <v/>
      </c>
      <c r="AH47" s="789">
        <f>AF47-AG47</f>
        <v/>
      </c>
      <c r="AJ47" s="788" t="n">
        <v>8904</v>
      </c>
      <c r="AK47" s="788" t="n">
        <v>0</v>
      </c>
    </row>
    <row r="48" hidden="1" outlineLevel="1" s="701">
      <c r="B48" s="264" t="inlineStr">
        <is>
          <t>TRADING AIA</t>
        </is>
      </c>
      <c r="C48" s="246" t="inlineStr">
        <is>
          <t>k €</t>
        </is>
      </c>
      <c r="E48" s="788">
        <f>$AJ48/E$3</f>
        <v/>
      </c>
      <c r="F48" s="788">
        <f>IFERROR(1/F$3,1)*SUMIFS(Data!$AD$3:$AD$305,Data!$Y$3:$Y$305,F$1,Data!$Z$3:$Z$305,IF(RIGHT(F$2,3)="YTD","&lt;="&amp;LEFT(F$2,2)*1,F$2),Data!$K$3:$K$305,$B48)</f>
        <v/>
      </c>
      <c r="G48" s="788">
        <f>AK48/12</f>
        <v/>
      </c>
      <c r="H48" s="801" t="n"/>
      <c r="I48" s="791">
        <f>IFERROR(1/I$3,1)*SUMIFS(Data!$AD$3:$AD$305,Data!$Y$3:$Y$305,I$1,Data!$Z$3:$Z$305,IF(RIGHT(I$2,3)="YTD","&lt;="&amp;LEFT(I$2,2)*1,I$2),Data!$K$3:$K$305,$B48)</f>
        <v/>
      </c>
      <c r="J48" s="791">
        <f>IFERROR(1/J$3,1)*SUMIFS(Data!$AD$3:$AD$305,Data!$Y$3:$Y$305,J$1,Data!$Z$3:$Z$305,IF(RIGHT(J$2,3)="YTD","&lt;="&amp;LEFT(J$2,2)*1,J$2),Data!$K$3:$K$305,$B48)</f>
        <v/>
      </c>
      <c r="K48" s="791">
        <f>IFERROR(1/K$3,1)*SUMIFS(Data!$AD$3:$AD$305,Data!$Y$3:$Y$305,K$1,Data!$Z$3:$Z$305,IF(RIGHT(K$2,3)="YTD","&lt;="&amp;LEFT(K$2,2)*1,K$2),Data!$K$3:$K$305,$B48)</f>
        <v/>
      </c>
      <c r="L48" s="791">
        <f>IFERROR(1/L$3,1)*SUMIFS(Data!$AD$3:$AD$305,Data!$Y$3:$Y$305,L$1,Data!$Z$3:$Z$305,IF(RIGHT(L$2,3)="YTD","&lt;="&amp;LEFT(L$2,2)*1,L$2),Data!$K$3:$K$305,$B48)</f>
        <v/>
      </c>
      <c r="M48" s="791">
        <f>IFERROR(1/M$3,1)*SUMIFS(Data!$AD$3:$AD$305,Data!$Y$3:$Y$305,M$1,Data!$Z$3:$Z$305,IF(RIGHT(M$2,3)="YTD","&lt;="&amp;LEFT(M$2,2)*1,M$2),Data!$K$3:$K$305,$B48)</f>
        <v/>
      </c>
      <c r="N48" s="791">
        <f>IFERROR(1/N$3,1)*SUMIFS(Data!$AD$3:$AD$305,Data!$Y$3:$Y$305,N$1,Data!$Z$3:$Z$305,IF(RIGHT(N$2,3)="YTD","&lt;="&amp;LEFT(N$2,2)*1,N$2),Data!$K$3:$K$305,$B48)</f>
        <v/>
      </c>
      <c r="O48" s="791">
        <f>IFERROR(1/O$3,1)*SUMIFS(Data!$AD$3:$AD$305,Data!$Y$3:$Y$305,O$1,Data!$Z$3:$Z$305,IF(RIGHT(O$2,3)="YTD","&lt;="&amp;LEFT(O$2,2)*1,O$2),Data!$K$3:$K$305,$B48)</f>
        <v/>
      </c>
      <c r="P48" s="791">
        <f>IFERROR(1/P$3,1)*SUMIFS(Data!$AD$3:$AD$305,Data!$Y$3:$Y$305,P$1,Data!$Z$3:$Z$305,IF(RIGHT(P$2,3)="YTD","&lt;="&amp;LEFT(P$2,2)*1,P$2),Data!$K$3:$K$305,$B48)</f>
        <v/>
      </c>
      <c r="Q48" s="791">
        <f>IFERROR(1/Q$3,1)*SUMIFS(Data!$AD$3:$AD$305,Data!$Y$3:$Y$305,Q$1,Data!$Z$3:$Z$305,IF(RIGHT(Q$2,3)="YTD","&lt;="&amp;LEFT(Q$2,2)*1,Q$2),Data!$K$3:$K$305,$B48)</f>
        <v/>
      </c>
      <c r="R48" s="791">
        <f>IFERROR(1/R$3,1)*SUMIFS(Data!$AD$3:$AD$305,Data!$Y$3:$Y$305,R$1,Data!$Z$3:$Z$305,IF(RIGHT(R$2,3)="YTD","&lt;="&amp;LEFT(R$2,2)*1,R$2),Data!$K$3:$K$305,$B48)</f>
        <v/>
      </c>
      <c r="S48" s="791">
        <f>IFERROR(1/S$3,1)*SUMIFS(Data!$AD$3:$AD$305,Data!$Y$3:$Y$305,S$1,Data!$Z$3:$Z$305,IF(RIGHT(S$2,3)="YTD","&lt;="&amp;LEFT(S$2,2)*1,S$2),Data!$K$3:$K$305,$B48)</f>
        <v/>
      </c>
      <c r="T48" s="791">
        <f>IFERROR(1/T$3,1)*SUMIFS(Data!$AD$3:$AD$305,Data!$Y$3:$Y$305,T$1,Data!$Z$3:$Z$305,IF(RIGHT(T$2,3)="YTD","&lt;="&amp;LEFT(T$2,2)*1,T$2),Data!$K$3:$K$305,$B48)</f>
        <v/>
      </c>
      <c r="V48" s="788">
        <f>G48</f>
        <v/>
      </c>
      <c r="W48" s="788">
        <f>$G48</f>
        <v/>
      </c>
      <c r="X48" s="788">
        <f>$G48</f>
        <v/>
      </c>
      <c r="Y48" s="788">
        <f>$G48</f>
        <v/>
      </c>
      <c r="Z48" s="788">
        <f>$G48</f>
        <v/>
      </c>
      <c r="AA48" s="788">
        <f>$G48</f>
        <v/>
      </c>
      <c r="AB48" s="788">
        <f>$G48</f>
        <v/>
      </c>
      <c r="AC48" s="788">
        <f>$G48</f>
        <v/>
      </c>
      <c r="AD48" s="788">
        <f>$G48</f>
        <v/>
      </c>
      <c r="AE48" s="788" t="n"/>
      <c r="AF48" s="788">
        <f>IFERROR(1/AF$3,1)*SUMIFS(Data!$AD$3:$AD$305,Data!$Y$3:$Y$305,AF$1,Data!$Z$3:$Z$305,IF(RIGHT(AF$2,3)="YTD","&lt;="&amp;LEFT(AF$2,2)*1,AF$2),Data!$K$3:$K$305,$B24)</f>
        <v/>
      </c>
      <c r="AG48" s="788">
        <f>AK48/12*$C$5</f>
        <v/>
      </c>
      <c r="AH48" s="789">
        <f>AF48-AG48</f>
        <v/>
      </c>
      <c r="AJ48" s="788" t="n">
        <v>271320</v>
      </c>
      <c r="AK48" s="788" t="n">
        <v>0</v>
      </c>
    </row>
    <row r="49" hidden="1" outlineLevel="1" customFormat="1" s="329">
      <c r="B49" s="265" t="inlineStr">
        <is>
          <t>TOTAL HYFR</t>
        </is>
      </c>
      <c r="C49" s="246" t="inlineStr">
        <is>
          <t>k €</t>
        </is>
      </c>
      <c r="E49" s="790" t="n"/>
      <c r="F49" s="790" t="n"/>
      <c r="G49" s="788" t="n"/>
      <c r="H49" s="801" t="n"/>
      <c r="I49" s="792">
        <f>SUM(I39:I48)</f>
        <v/>
      </c>
      <c r="J49" s="792">
        <f>SUM(J39:J48)</f>
        <v/>
      </c>
      <c r="K49" s="792">
        <f>SUM(K39:K48)</f>
        <v/>
      </c>
      <c r="L49" s="792">
        <f>SUM(L39:L48)</f>
        <v/>
      </c>
      <c r="M49" s="792">
        <f>SUM(M39:M48)</f>
        <v/>
      </c>
      <c r="N49" s="792">
        <f>SUM(N39:N48)</f>
        <v/>
      </c>
      <c r="O49" s="792">
        <f>SUM(O39:O48)</f>
        <v/>
      </c>
      <c r="P49" s="792">
        <f>SUM(P39:P48)</f>
        <v/>
      </c>
      <c r="Q49" s="792">
        <f>SUM(Q39:Q48)</f>
        <v/>
      </c>
      <c r="R49" s="792">
        <f>SUM(R39:R48)</f>
        <v/>
      </c>
      <c r="S49" s="792">
        <f>SUM(S39:S48)</f>
        <v/>
      </c>
      <c r="T49" s="792">
        <f>SUM(T39:T48)</f>
        <v/>
      </c>
      <c r="U49" s="792" t="n"/>
      <c r="V49" s="792">
        <f>SUM(V39:V48)</f>
        <v/>
      </c>
      <c r="W49" s="792">
        <f>SUM(W39:W48)</f>
        <v/>
      </c>
      <c r="X49" s="792">
        <f>SUM(X39:X48)</f>
        <v/>
      </c>
      <c r="Y49" s="792">
        <f>SUM(Y39:Y48)</f>
        <v/>
      </c>
      <c r="Z49" s="790" t="n"/>
      <c r="AA49" s="790" t="n"/>
      <c r="AB49" s="790" t="n"/>
      <c r="AC49" s="790" t="n"/>
      <c r="AD49" s="790" t="n"/>
      <c r="AE49" s="790" t="n"/>
      <c r="AF49" s="790">
        <f>SUM(AF39:AF48)</f>
        <v/>
      </c>
      <c r="AG49" s="790">
        <f>SUM(AG39:AG48)</f>
        <v/>
      </c>
      <c r="AH49" s="790">
        <f>SUM(AH39:AH48)</f>
        <v/>
      </c>
      <c r="AJ49" s="790" t="n">
        <v>1606577.5</v>
      </c>
      <c r="AK49" s="790">
        <f>SUM(AK39:AK48)</f>
        <v/>
      </c>
    </row>
    <row r="50" hidden="1" outlineLevel="1" s="701">
      <c r="B50" s="266" t="inlineStr">
        <is>
          <t>GSE (HYKG)</t>
        </is>
      </c>
      <c r="C50" s="246" t="inlineStr">
        <is>
          <t>k €</t>
        </is>
      </c>
      <c r="E50" s="793">
        <f>$AJ50/E$3</f>
        <v/>
      </c>
      <c r="F50" s="793">
        <f>SUM(I50:T50)/LEFT($F$2,2)</f>
        <v/>
      </c>
      <c r="G50" s="793">
        <f>AK50/12</f>
        <v/>
      </c>
      <c r="H50" s="801" t="n"/>
      <c r="I50" s="794">
        <f>Reporting!C74</f>
        <v/>
      </c>
      <c r="J50" s="794">
        <f>Reporting!D74</f>
        <v/>
      </c>
      <c r="K50" s="794">
        <f>Reporting!E74</f>
        <v/>
      </c>
      <c r="L50" s="794">
        <f>Reporting!F74</f>
        <v/>
      </c>
      <c r="M50" s="794">
        <f>Reporting!G74</f>
        <v/>
      </c>
      <c r="N50" s="807">
        <f>Reporting!H74</f>
        <v/>
      </c>
      <c r="O50" s="807">
        <f>Reporting!I74</f>
        <v/>
      </c>
      <c r="P50" s="807">
        <f>Reporting!J74</f>
        <v/>
      </c>
      <c r="Q50" s="807">
        <f>Reporting!K74</f>
        <v/>
      </c>
      <c r="R50" s="807">
        <f>Reporting!L74</f>
        <v/>
      </c>
      <c r="S50" s="807">
        <f>Reporting!M74</f>
        <v/>
      </c>
      <c r="T50" s="807">
        <f>Reporting!N74</f>
        <v/>
      </c>
      <c r="V50" s="808">
        <f>G50</f>
        <v/>
      </c>
      <c r="W50" s="793">
        <f>G50</f>
        <v/>
      </c>
      <c r="X50" s="793">
        <f>G50</f>
        <v/>
      </c>
      <c r="Y50" s="793">
        <f>G50</f>
        <v/>
      </c>
      <c r="Z50" s="793">
        <f>V50</f>
        <v/>
      </c>
      <c r="AA50" s="793">
        <f>V50</f>
        <v/>
      </c>
      <c r="AB50" s="793">
        <f>V50</f>
        <v/>
      </c>
      <c r="AC50" s="793">
        <f>V50</f>
        <v/>
      </c>
      <c r="AD50" s="793">
        <f>Z50</f>
        <v/>
      </c>
      <c r="AE50" s="793" t="n"/>
      <c r="AF50" s="793">
        <f>SUM(I50:T50)</f>
        <v/>
      </c>
      <c r="AG50" s="793">
        <f>AK50/12*$C$5</f>
        <v/>
      </c>
      <c r="AH50" s="809" t="n"/>
      <c r="AJ50" s="793" t="n">
        <v>2943191.83</v>
      </c>
      <c r="AK50" s="796" t="n">
        <v>6630000</v>
      </c>
    </row>
    <row r="51" hidden="1" outlineLevel="1" customFormat="1" s="329">
      <c r="B51" s="265" t="inlineStr">
        <is>
          <t>TOTAL HYFR + GSE (HYKG)</t>
        </is>
      </c>
      <c r="C51" s="246" t="inlineStr">
        <is>
          <t>k €</t>
        </is>
      </c>
      <c r="E51" s="790" t="n"/>
      <c r="F51" s="790" t="n"/>
      <c r="G51" s="788" t="n"/>
      <c r="H51" s="801" t="n"/>
      <c r="I51" s="792">
        <f>I49+I50</f>
        <v/>
      </c>
      <c r="J51" s="792">
        <f>J49+J50</f>
        <v/>
      </c>
      <c r="K51" s="792">
        <f>K49+K50</f>
        <v/>
      </c>
      <c r="L51" s="792">
        <f>L49+L50</f>
        <v/>
      </c>
      <c r="M51" s="792">
        <f>M49+M50</f>
        <v/>
      </c>
      <c r="N51" s="792">
        <f>N49+N50</f>
        <v/>
      </c>
      <c r="O51" s="792">
        <f>O49+O50</f>
        <v/>
      </c>
      <c r="P51" s="792">
        <f>P49+P50</f>
        <v/>
      </c>
      <c r="Q51" s="792">
        <f>Q49+Q50</f>
        <v/>
      </c>
      <c r="R51" s="792">
        <f>R49+R50</f>
        <v/>
      </c>
      <c r="S51" s="792">
        <f>S49+S50</f>
        <v/>
      </c>
      <c r="T51" s="792">
        <f>T49+T50</f>
        <v/>
      </c>
      <c r="U51" s="792" t="n"/>
      <c r="V51" s="792">
        <f>V49+V50</f>
        <v/>
      </c>
      <c r="W51" s="792">
        <f>W49+W50</f>
        <v/>
      </c>
      <c r="X51" s="792">
        <f>X49+X50</f>
        <v/>
      </c>
      <c r="Y51" s="792">
        <f>Y49+Y50</f>
        <v/>
      </c>
      <c r="Z51" s="790">
        <f>W51</f>
        <v/>
      </c>
      <c r="AA51" s="790">
        <f>X51</f>
        <v/>
      </c>
      <c r="AB51" s="790">
        <f>X51</f>
        <v/>
      </c>
      <c r="AC51" s="790">
        <f>X51</f>
        <v/>
      </c>
      <c r="AD51" s="790">
        <f>X51</f>
        <v/>
      </c>
      <c r="AE51" s="790" t="n"/>
      <c r="AF51" s="790">
        <f>SUM(I51:S51)</f>
        <v/>
      </c>
      <c r="AG51" s="790">
        <f>AD51*C5</f>
        <v/>
      </c>
      <c r="AH51" s="797" t="n"/>
      <c r="AJ51" s="790">
        <f>SUM(M51:W51)</f>
        <v/>
      </c>
      <c r="AK51" s="790" t="n"/>
      <c r="AL51" s="336" t="n"/>
      <c r="AM51" s="336" t="n"/>
      <c r="AN51" s="336" t="n"/>
      <c r="AO51" s="336" t="n"/>
      <c r="AP51" s="336" t="n"/>
      <c r="AQ51" s="336" t="n"/>
      <c r="AR51" s="336" t="n"/>
      <c r="AS51" s="336" t="n"/>
    </row>
    <row r="52" collapsed="1" customFormat="1" s="329">
      <c r="B52" s="265" t="n"/>
      <c r="C52" s="246" t="n"/>
      <c r="E52" s="790" t="n"/>
      <c r="F52" s="790" t="n"/>
      <c r="G52" s="788" t="n"/>
      <c r="H52" s="801" t="n"/>
      <c r="I52" s="792" t="n"/>
      <c r="J52" s="792" t="n"/>
      <c r="K52" s="792" t="n"/>
      <c r="L52" s="792" t="n"/>
      <c r="M52" s="792" t="n"/>
      <c r="N52" s="810" t="n"/>
      <c r="O52" s="810" t="n"/>
      <c r="P52" s="810" t="n"/>
      <c r="Q52" s="810" t="n"/>
      <c r="R52" s="810" t="n"/>
      <c r="S52" s="810" t="n"/>
      <c r="T52" s="810" t="n"/>
      <c r="V52" s="806" t="n"/>
      <c r="W52" s="790" t="n"/>
      <c r="X52" s="790" t="n"/>
      <c r="Y52" s="790" t="n"/>
      <c r="Z52" s="790" t="n"/>
      <c r="AA52" s="790" t="n"/>
      <c r="AB52" s="790" t="n"/>
      <c r="AC52" s="790" t="n"/>
      <c r="AD52" s="790" t="n"/>
      <c r="AE52" s="790" t="n"/>
      <c r="AF52" s="790" t="n"/>
      <c r="AG52" s="790" t="n"/>
      <c r="AH52" s="797" t="n"/>
      <c r="AJ52" s="790" t="n"/>
      <c r="AK52" s="790" t="n"/>
      <c r="AL52" s="336" t="n"/>
      <c r="AM52" s="336" t="n"/>
      <c r="AN52" s="336" t="n"/>
      <c r="AO52" s="336" t="n"/>
      <c r="AP52" s="336" t="n"/>
      <c r="AQ52" s="336" t="n"/>
      <c r="AR52" s="336" t="n"/>
      <c r="AS52" s="336" t="n"/>
    </row>
    <row r="53" hidden="1" outlineLevel="1" s="701">
      <c r="B53" s="268" t="n"/>
      <c r="C53" s="700" t="n"/>
      <c r="E53" s="799" t="n"/>
      <c r="F53" s="799" t="n"/>
      <c r="G53" s="799" t="n"/>
      <c r="I53" s="799" t="n"/>
      <c r="J53" s="799" t="n"/>
      <c r="K53" s="799" t="n"/>
      <c r="L53" s="799" t="n"/>
      <c r="M53" s="799" t="n"/>
      <c r="N53" s="799" t="n"/>
      <c r="O53" s="799" t="n"/>
      <c r="P53" s="799" t="n"/>
      <c r="Q53" s="799" t="n"/>
      <c r="R53" s="799" t="n"/>
      <c r="S53" s="799" t="n"/>
      <c r="T53" s="799" t="n"/>
      <c r="V53" s="799" t="n"/>
      <c r="W53" s="799" t="n"/>
      <c r="X53" s="799" t="n"/>
      <c r="Y53" s="799" t="n"/>
      <c r="Z53" s="799" t="n"/>
      <c r="AA53" s="799" t="n"/>
      <c r="AB53" s="799" t="n"/>
      <c r="AC53" s="799" t="n"/>
      <c r="AJ53" s="811" t="n"/>
    </row>
    <row r="54" hidden="1" outlineLevel="1" customFormat="1" s="281">
      <c r="C54" s="273" t="n"/>
      <c r="D54" s="274" t="n"/>
      <c r="E54" s="275" t="inlineStr">
        <is>
          <t>Ø 2020</t>
        </is>
      </c>
      <c r="F54" s="276" t="inlineStr">
        <is>
          <t>Ø 2021</t>
        </is>
      </c>
      <c r="G54" s="277" t="inlineStr">
        <is>
          <t>Ø 2022</t>
        </is>
      </c>
      <c r="H54" s="278" t="n"/>
      <c r="I54" s="276">
        <f>TEXT(I$2,"00")&amp;" "&amp;I$1</f>
        <v/>
      </c>
      <c r="J54" s="276">
        <f>TEXT(J$2,"00")&amp;" "&amp;J$1</f>
        <v/>
      </c>
      <c r="K54" s="276">
        <f>TEXT(K$2,"00")&amp;" "&amp;K$1</f>
        <v/>
      </c>
      <c r="L54" s="276">
        <f>TEXT(L$2,"00")&amp;" "&amp;L$1</f>
        <v/>
      </c>
      <c r="M54" s="276">
        <f>TEXT(M$2,"00")&amp;" "&amp;M$1</f>
        <v/>
      </c>
      <c r="N54" s="276">
        <f>TEXT(N$2,"00")&amp;" "&amp;N$1</f>
        <v/>
      </c>
      <c r="O54" s="276">
        <f>TEXT(O$2,"00")&amp;" "&amp;O$1</f>
        <v/>
      </c>
      <c r="P54" s="276">
        <f>TEXT(P$2,"00")&amp;" "&amp;P$1</f>
        <v/>
      </c>
      <c r="Q54" s="276">
        <f>TEXT(Q$2,"00")&amp;" "&amp;Q$1</f>
        <v/>
      </c>
      <c r="R54" s="276">
        <f>TEXT(R$2,"00")&amp;" "&amp;R$1</f>
        <v/>
      </c>
      <c r="S54" s="276">
        <f>TEXT(S$2,"00")&amp;" "&amp;S$1</f>
        <v/>
      </c>
      <c r="T54" s="276">
        <f>TEXT(T$2,"00")&amp;" "&amp;T$1</f>
        <v/>
      </c>
      <c r="U54" s="278" t="n"/>
      <c r="V54" s="812" t="inlineStr">
        <is>
          <t>04 2021</t>
        </is>
      </c>
      <c r="W54" s="812" t="inlineStr">
        <is>
          <t>05 2021</t>
        </is>
      </c>
      <c r="X54" s="812" t="inlineStr">
        <is>
          <t>05 2021</t>
        </is>
      </c>
      <c r="Y54" s="812" t="inlineStr">
        <is>
          <t>05 2021</t>
        </is>
      </c>
      <c r="Z54" s="812" t="inlineStr">
        <is>
          <t>05 2021</t>
        </is>
      </c>
      <c r="AA54" s="812" t="inlineStr">
        <is>
          <t>05 2021</t>
        </is>
      </c>
      <c r="AB54" s="812" t="inlineStr">
        <is>
          <t>05 2021</t>
        </is>
      </c>
      <c r="AC54" s="812" t="inlineStr">
        <is>
          <t>05 2021</t>
        </is>
      </c>
      <c r="AD54" s="812" t="inlineStr">
        <is>
          <t>05 2021</t>
        </is>
      </c>
      <c r="AE54" s="273" t="n"/>
      <c r="AF54" s="276">
        <f>AF$2&amp;" "&amp;AF$1</f>
        <v/>
      </c>
      <c r="AG54" s="277">
        <f>AG$2&amp;" "&amp;AG$1</f>
        <v/>
      </c>
      <c r="AH54" s="279">
        <f>AH$2&amp;" "&amp;AH$1</f>
        <v/>
      </c>
      <c r="AI54" s="278" t="n"/>
      <c r="AJ54" s="280">
        <f>AJ$2&amp;" "&amp;AJ$1</f>
        <v/>
      </c>
      <c r="AK54" s="277">
        <f>AK$2&amp;" "&amp;AK$1</f>
        <v/>
      </c>
    </row>
    <row r="55" hidden="1" outlineLevel="1" customFormat="1" s="281">
      <c r="C55" s="282" t="n"/>
      <c r="D55" s="278" t="n"/>
      <c r="E55" s="275" t="inlineStr">
        <is>
          <t>ACT</t>
        </is>
      </c>
      <c r="F55" s="276" t="inlineStr">
        <is>
          <t>ACT</t>
        </is>
      </c>
      <c r="G55" s="277" t="inlineStr">
        <is>
          <t>PLAN</t>
        </is>
      </c>
      <c r="H55" s="278" t="n"/>
      <c r="I55" s="276" t="inlineStr">
        <is>
          <t>ACT</t>
        </is>
      </c>
      <c r="J55" s="276" t="inlineStr">
        <is>
          <t>ACT</t>
        </is>
      </c>
      <c r="K55" s="276" t="inlineStr">
        <is>
          <t>ACT</t>
        </is>
      </c>
      <c r="L55" s="276" t="inlineStr">
        <is>
          <t>ACT</t>
        </is>
      </c>
      <c r="M55" s="276" t="inlineStr">
        <is>
          <t>ACT</t>
        </is>
      </c>
      <c r="N55" s="276" t="inlineStr">
        <is>
          <t>ACT</t>
        </is>
      </c>
      <c r="O55" s="276" t="inlineStr">
        <is>
          <t>ACT</t>
        </is>
      </c>
      <c r="P55" s="276" t="inlineStr">
        <is>
          <t>ACT</t>
        </is>
      </c>
      <c r="Q55" s="276" t="inlineStr">
        <is>
          <t>ACT</t>
        </is>
      </c>
      <c r="R55" s="276" t="inlineStr">
        <is>
          <t>ACT</t>
        </is>
      </c>
      <c r="S55" s="276" t="inlineStr">
        <is>
          <t>ACT</t>
        </is>
      </c>
      <c r="T55" s="276" t="inlineStr">
        <is>
          <t>ACT</t>
        </is>
      </c>
      <c r="U55" s="278" t="n"/>
      <c r="V55" s="812" t="inlineStr">
        <is>
          <t>FCST</t>
        </is>
      </c>
      <c r="W55" s="812" t="inlineStr">
        <is>
          <t>FCST</t>
        </is>
      </c>
      <c r="X55" s="812" t="inlineStr">
        <is>
          <t>FCST</t>
        </is>
      </c>
      <c r="Y55" s="812" t="inlineStr">
        <is>
          <t>FCST</t>
        </is>
      </c>
      <c r="Z55" s="812" t="inlineStr">
        <is>
          <t>FCST</t>
        </is>
      </c>
      <c r="AA55" s="812" t="inlineStr">
        <is>
          <t>FCST</t>
        </is>
      </c>
      <c r="AB55" s="812" t="inlineStr">
        <is>
          <t>FCST</t>
        </is>
      </c>
      <c r="AC55" s="812" t="inlineStr">
        <is>
          <t>FCST</t>
        </is>
      </c>
      <c r="AD55" s="812" t="inlineStr">
        <is>
          <t>FCST</t>
        </is>
      </c>
      <c r="AE55" s="273" t="n"/>
      <c r="AF55" s="276" t="inlineStr">
        <is>
          <t xml:space="preserve">ACT </t>
        </is>
      </c>
      <c r="AG55" s="277" t="inlineStr">
        <is>
          <t xml:space="preserve">PLAN </t>
        </is>
      </c>
      <c r="AH55" s="283" t="inlineStr">
        <is>
          <t>∆  ACT PLAN</t>
        </is>
      </c>
      <c r="AI55" s="278" t="n"/>
      <c r="AJ55" s="280" t="inlineStr">
        <is>
          <t xml:space="preserve">ACT </t>
        </is>
      </c>
      <c r="AK55" s="277" t="inlineStr">
        <is>
          <t xml:space="preserve">PLAN </t>
        </is>
      </c>
    </row>
    <row r="56" hidden="1" outlineLevel="1" customFormat="1" s="278">
      <c r="B56" s="284" t="inlineStr">
        <is>
          <t>PRIMAY COST / CM2 Serv Station / Revenue Service Station</t>
        </is>
      </c>
    </row>
    <row r="57" hidden="1" outlineLevel="1" customFormat="1" s="274">
      <c r="B57" s="285" t="inlineStr">
        <is>
          <t>Primary Costs</t>
        </is>
      </c>
      <c r="C57" s="273" t="inlineStr">
        <is>
          <t>m€</t>
        </is>
      </c>
      <c r="E57" s="813" t="n"/>
      <c r="F57" s="813">
        <f>IFERROR(1/F$3,1)*SUM(I57:T57)</f>
        <v/>
      </c>
      <c r="G57" s="813">
        <f>AK57/12</f>
        <v/>
      </c>
      <c r="H57" s="814" t="n"/>
      <c r="I57" s="813" t="n">
        <v>46</v>
      </c>
      <c r="J57" s="813" t="n">
        <v>44</v>
      </c>
      <c r="K57" s="813" t="n">
        <v>61</v>
      </c>
      <c r="L57" s="813" t="n">
        <v>12</v>
      </c>
      <c r="M57" s="813" t="n"/>
      <c r="N57" s="813" t="n"/>
      <c r="O57" s="813" t="n"/>
      <c r="P57" s="813" t="n"/>
      <c r="Q57" s="813" t="n"/>
      <c r="R57" s="813" t="n"/>
      <c r="S57" s="813" t="n"/>
      <c r="T57" s="813" t="n"/>
      <c r="U57" s="814" t="n"/>
      <c r="V57" s="813">
        <f>G57</f>
        <v/>
      </c>
      <c r="W57" s="813">
        <f>G57</f>
        <v/>
      </c>
      <c r="X57" s="813">
        <f>G57</f>
        <v/>
      </c>
      <c r="Y57" s="813">
        <f>G57</f>
        <v/>
      </c>
      <c r="Z57" s="813">
        <f>G57</f>
        <v/>
      </c>
      <c r="AA57" s="813">
        <f>W57</f>
        <v/>
      </c>
      <c r="AB57" s="813">
        <f>X57</f>
        <v/>
      </c>
      <c r="AC57" s="813">
        <f>Y57</f>
        <v/>
      </c>
      <c r="AD57" s="813">
        <f>Z57</f>
        <v/>
      </c>
      <c r="AE57" s="813" t="n"/>
      <c r="AF57" s="813">
        <f>SUM(I57:L57)</f>
        <v/>
      </c>
      <c r="AG57" s="813">
        <f>AD57*C5</f>
        <v/>
      </c>
      <c r="AH57" s="814" t="n"/>
      <c r="AI57" s="814" t="n"/>
      <c r="AJ57" s="813">
        <f>SUM(M57:P57)</f>
        <v/>
      </c>
      <c r="AK57" s="813" t="n">
        <v>1149</v>
      </c>
    </row>
    <row r="58" hidden="1" outlineLevel="1" customFormat="1" s="274">
      <c r="B58" s="285" t="inlineStr">
        <is>
          <t>CM2 Service Station</t>
        </is>
      </c>
      <c r="C58" s="273" t="inlineStr">
        <is>
          <t>k€</t>
        </is>
      </c>
      <c r="E58" s="813" t="n"/>
      <c r="F58" s="813">
        <f>IFERROR(1/F$3,1)*SUM(I58:T58)</f>
        <v/>
      </c>
      <c r="G58" s="813">
        <f>AK58/12</f>
        <v/>
      </c>
      <c r="H58" s="814" t="n"/>
      <c r="I58" s="813" t="n">
        <v>8169.79</v>
      </c>
      <c r="J58" s="813" t="n">
        <v>7471.4</v>
      </c>
      <c r="K58" s="813" t="n">
        <v>-410.41</v>
      </c>
      <c r="L58" s="813" t="n">
        <v>3676</v>
      </c>
      <c r="M58" s="813" t="n"/>
      <c r="N58" s="813" t="n"/>
      <c r="O58" s="813" t="n"/>
      <c r="P58" s="813" t="n"/>
      <c r="Q58" s="813" t="n"/>
      <c r="R58" s="813" t="n"/>
      <c r="S58" s="813" t="n"/>
      <c r="T58" s="813" t="n"/>
      <c r="U58" s="814" t="n"/>
      <c r="V58" s="813">
        <f>G58</f>
        <v/>
      </c>
      <c r="W58" s="813">
        <f>G58</f>
        <v/>
      </c>
      <c r="X58" s="813">
        <f>G58</f>
        <v/>
      </c>
      <c r="Y58" s="813">
        <f>G58</f>
        <v/>
      </c>
      <c r="Z58" s="813">
        <f>G58</f>
        <v/>
      </c>
      <c r="AA58" s="813">
        <f>W58</f>
        <v/>
      </c>
      <c r="AB58" s="813">
        <f>X58</f>
        <v/>
      </c>
      <c r="AC58" s="813">
        <f>Y58</f>
        <v/>
      </c>
      <c r="AD58" s="813">
        <f>Z58</f>
        <v/>
      </c>
      <c r="AE58" s="813" t="n"/>
      <c r="AF58" s="813">
        <f>SUM(I58:K58)</f>
        <v/>
      </c>
      <c r="AG58" s="813">
        <f>AD58*C5</f>
        <v/>
      </c>
      <c r="AH58" s="814" t="n"/>
      <c r="AI58" s="814" t="n"/>
      <c r="AJ58" s="813">
        <f>SUM(M58:O58)</f>
        <v/>
      </c>
      <c r="AK58" s="813" t="n">
        <v>214000</v>
      </c>
    </row>
    <row r="59" hidden="1" outlineLevel="1" customFormat="1" s="274">
      <c r="B59" s="285" t="inlineStr">
        <is>
          <t>Revenue Service Station</t>
        </is>
      </c>
      <c r="C59" s="273" t="inlineStr">
        <is>
          <t>k€</t>
        </is>
      </c>
      <c r="E59" s="813" t="n"/>
      <c r="F59" s="813">
        <f>IFERROR(1/F$3,1)*SUM(I59:T59)</f>
        <v/>
      </c>
      <c r="G59" s="813">
        <f>AK59/12</f>
        <v/>
      </c>
      <c r="H59" s="814" t="n"/>
      <c r="I59" s="813" t="n">
        <v>11726</v>
      </c>
      <c r="J59" s="813" t="n">
        <v>11843.6</v>
      </c>
      <c r="K59" s="813" t="n">
        <v>3296</v>
      </c>
      <c r="L59" s="813" t="n">
        <v>5351</v>
      </c>
      <c r="M59" s="813" t="n"/>
      <c r="N59" s="813" t="n"/>
      <c r="O59" s="813" t="n"/>
      <c r="P59" s="813" t="n"/>
      <c r="Q59" s="813" t="n"/>
      <c r="R59" s="813" t="n"/>
      <c r="S59" s="813" t="n"/>
      <c r="T59" s="813" t="n"/>
      <c r="U59" s="814" t="n"/>
      <c r="V59" s="813">
        <f>G59</f>
        <v/>
      </c>
      <c r="W59" s="813">
        <f>G59</f>
        <v/>
      </c>
      <c r="X59" s="813">
        <f>G59</f>
        <v/>
      </c>
      <c r="Y59" s="813">
        <f>G59</f>
        <v/>
      </c>
      <c r="Z59" s="813">
        <f>G59</f>
        <v/>
      </c>
      <c r="AA59" s="813">
        <f>W59</f>
        <v/>
      </c>
      <c r="AB59" s="813">
        <f>X59</f>
        <v/>
      </c>
      <c r="AC59" s="813">
        <f>Y59</f>
        <v/>
      </c>
      <c r="AD59" s="813">
        <f>Z59</f>
        <v/>
      </c>
      <c r="AE59" s="813" t="n"/>
      <c r="AF59" s="813">
        <f>SUM(I59:K59)</f>
        <v/>
      </c>
      <c r="AG59" s="813">
        <f>AD59*C5</f>
        <v/>
      </c>
      <c r="AH59" s="814" t="n"/>
      <c r="AI59" s="814" t="n"/>
      <c r="AJ59" s="813">
        <f>SUM(M59:O59)</f>
        <v/>
      </c>
      <c r="AK59" s="813" t="n">
        <v>500000</v>
      </c>
    </row>
    <row r="60" hidden="1" outlineLevel="1" s="701">
      <c r="B60" s="267" t="n"/>
    </row>
    <row r="61" hidden="1" outlineLevel="1" s="701"/>
    <row r="62" hidden="1" outlineLevel="1" s="701">
      <c r="F62" s="815" t="n"/>
    </row>
    <row r="63" hidden="1" outlineLevel="1" s="701"/>
    <row r="64" collapsed="1" s="701"/>
  </sheetData>
  <conditionalFormatting sqref="B26:C26 E26:G26 I26:M26 AF26:AH26 B39:C48 B50:C50 E39:G48 I39:M48 I50:M50 W39:AD48 W50:AD50 AF39:AH48 AF50:AH50 B57:C59 E57:G59 I57:M59 W57:AD59 AF57:AH59 AJ26:AK26 AJ39:AK48 AJ50:AK50 AJ57:AK59 E50:G50 W26:AD26 AF15:AH23 W15:AD24 I15:M24 E15:G24 B15:C24 AJ15:AK24">
    <cfRule type="expression" priority="124" dxfId="396">
      <formula>MOD(ROW(),2)</formula>
    </cfRule>
  </conditionalFormatting>
  <conditionalFormatting sqref="N39:T48">
    <cfRule type="expression" priority="119" dxfId="396">
      <formula>MOD(ROW(),2)</formula>
    </cfRule>
  </conditionalFormatting>
  <conditionalFormatting sqref="N57:R59">
    <cfRule type="expression" priority="118" dxfId="396">
      <formula>MOD(ROW(),2)</formula>
    </cfRule>
  </conditionalFormatting>
  <conditionalFormatting sqref="S57:T59">
    <cfRule type="expression" priority="117" dxfId="396">
      <formula>MOD(ROW(),2)</formula>
    </cfRule>
  </conditionalFormatting>
  <conditionalFormatting sqref="V57:V59">
    <cfRule type="expression" priority="116" dxfId="396">
      <formula>MOD(ROW(),2)</formula>
    </cfRule>
  </conditionalFormatting>
  <conditionalFormatting sqref="V15:V24">
    <cfRule type="expression" priority="115" dxfId="396">
      <formula>MOD(ROW(),2)</formula>
    </cfRule>
  </conditionalFormatting>
  <conditionalFormatting sqref="V39:V48">
    <cfRule type="expression" priority="114" dxfId="396">
      <formula>MOD(ROW(),2)</formula>
    </cfRule>
  </conditionalFormatting>
  <conditionalFormatting sqref="N26 N15:N24">
    <cfRule type="expression" priority="113" dxfId="396">
      <formula>MOD(ROW(),2)</formula>
    </cfRule>
  </conditionalFormatting>
  <conditionalFormatting sqref="O24:P24 O26:P26">
    <cfRule type="expression" priority="112" dxfId="396">
      <formula>MOD(ROW(),2)</formula>
    </cfRule>
  </conditionalFormatting>
  <conditionalFormatting sqref="O15:P23">
    <cfRule type="expression" priority="111" dxfId="396">
      <formula>MOD(ROW(),2)</formula>
    </cfRule>
  </conditionalFormatting>
  <conditionalFormatting sqref="Q24 Q26">
    <cfRule type="expression" priority="110" dxfId="396">
      <formula>MOD(ROW(),2)</formula>
    </cfRule>
  </conditionalFormatting>
  <conditionalFormatting sqref="Q15:Q23">
    <cfRule type="expression" priority="109" dxfId="396">
      <formula>MOD(ROW(),2)</formula>
    </cfRule>
  </conditionalFormatting>
  <conditionalFormatting sqref="R24 R26">
    <cfRule type="expression" priority="106" dxfId="396">
      <formula>MOD(ROW(),2)</formula>
    </cfRule>
  </conditionalFormatting>
  <conditionalFormatting sqref="R15:R23">
    <cfRule type="expression" priority="105" dxfId="396">
      <formula>MOD(ROW(),2)</formula>
    </cfRule>
  </conditionalFormatting>
  <conditionalFormatting sqref="AF24:AH24">
    <cfRule type="expression" priority="104" dxfId="396">
      <formula>MOD(ROW(),2)</formula>
    </cfRule>
  </conditionalFormatting>
  <conditionalFormatting sqref="AG9:AH9 W9:AD9 E9:G9 B9:C9 AJ9:AK9 I9:R9">
    <cfRule type="expression" priority="103" dxfId="396">
      <formula>MOD(ROW(),2)</formula>
    </cfRule>
  </conditionalFormatting>
  <conditionalFormatting sqref="V9">
    <cfRule type="expression" priority="102" dxfId="396">
      <formula>MOD(ROW(),2)</formula>
    </cfRule>
  </conditionalFormatting>
  <conditionalFormatting sqref="N9">
    <cfRule type="expression" priority="101" dxfId="396">
      <formula>MOD(ROW(),2)</formula>
    </cfRule>
  </conditionalFormatting>
  <conditionalFormatting sqref="O9:P9">
    <cfRule type="expression" priority="100" dxfId="396">
      <formula>MOD(ROW(),2)</formula>
    </cfRule>
  </conditionalFormatting>
  <conditionalFormatting sqref="Q9">
    <cfRule type="expression" priority="99" dxfId="396">
      <formula>MOD(ROW(),2)</formula>
    </cfRule>
  </conditionalFormatting>
  <conditionalFormatting sqref="R9">
    <cfRule type="expression" priority="98" dxfId="396">
      <formula>MOD(ROW(),2)</formula>
    </cfRule>
  </conditionalFormatting>
  <conditionalFormatting sqref="AG10:AH10 W10:AD10 I10:M10 E10:G10 B10:C10 AJ10:AK10">
    <cfRule type="expression" priority="97" dxfId="396">
      <formula>MOD(ROW(),2)</formula>
    </cfRule>
  </conditionalFormatting>
  <conditionalFormatting sqref="V10">
    <cfRule type="expression" priority="96" dxfId="396">
      <formula>MOD(ROW(),2)</formula>
    </cfRule>
  </conditionalFormatting>
  <conditionalFormatting sqref="N10">
    <cfRule type="expression" priority="95" dxfId="396">
      <formula>MOD(ROW(),2)</formula>
    </cfRule>
  </conditionalFormatting>
  <conditionalFormatting sqref="O10:P10">
    <cfRule type="expression" priority="94" dxfId="396">
      <formula>MOD(ROW(),2)</formula>
    </cfRule>
  </conditionalFormatting>
  <conditionalFormatting sqref="Q10">
    <cfRule type="expression" priority="93" dxfId="396">
      <formula>MOD(ROW(),2)</formula>
    </cfRule>
  </conditionalFormatting>
  <conditionalFormatting sqref="R10">
    <cfRule type="expression" priority="92" dxfId="396">
      <formula>MOD(ROW(),2)</formula>
    </cfRule>
  </conditionalFormatting>
  <conditionalFormatting sqref="AG11:AH11 W11:AD11 E11:G11 B11:C11 AJ11:AK11">
    <cfRule type="expression" priority="91" dxfId="396">
      <formula>MOD(ROW(),2)</formula>
    </cfRule>
  </conditionalFormatting>
  <conditionalFormatting sqref="V11">
    <cfRule type="expression" priority="90" dxfId="396">
      <formula>MOD(ROW(),2)</formula>
    </cfRule>
  </conditionalFormatting>
  <conditionalFormatting sqref="N11">
    <cfRule type="expression" priority="84" dxfId="396">
      <formula>MOD(ROW(),2)</formula>
    </cfRule>
  </conditionalFormatting>
  <conditionalFormatting sqref="O11:P11">
    <cfRule type="expression" priority="83" dxfId="396">
      <formula>MOD(ROW(),2)</formula>
    </cfRule>
  </conditionalFormatting>
  <conditionalFormatting sqref="Q11">
    <cfRule type="expression" priority="82" dxfId="396">
      <formula>MOD(ROW(),2)</formula>
    </cfRule>
  </conditionalFormatting>
  <conditionalFormatting sqref="R11">
    <cfRule type="expression" priority="81" dxfId="396">
      <formula>MOD(ROW(),2)</formula>
    </cfRule>
  </conditionalFormatting>
  <conditionalFormatting sqref="I11:R11">
    <cfRule type="expression" priority="85" dxfId="396">
      <formula>MOD(ROW(),2)</formula>
    </cfRule>
  </conditionalFormatting>
  <conditionalFormatting sqref="R12">
    <cfRule type="expression" priority="69" dxfId="396">
      <formula>MOD(ROW(),2)</formula>
    </cfRule>
  </conditionalFormatting>
  <conditionalFormatting sqref="AF12">
    <cfRule type="expression" priority="68" dxfId="396">
      <formula>MOD(ROW(),2)</formula>
    </cfRule>
  </conditionalFormatting>
  <conditionalFormatting sqref="E12:G12">
    <cfRule type="expression" priority="67" dxfId="396">
      <formula>MOD(ROW(),2)</formula>
    </cfRule>
  </conditionalFormatting>
  <conditionalFormatting sqref="AK12">
    <cfRule type="expression" priority="66" dxfId="396">
      <formula>MOD(ROW(),2)</formula>
    </cfRule>
  </conditionalFormatting>
  <conditionalFormatting sqref="AF9">
    <cfRule type="expression" priority="80" dxfId="396">
      <formula>MOD(ROW(),2)</formula>
    </cfRule>
    <cfRule type="expression" priority="79" dxfId="396">
      <formula>MOD(ROW(),2)</formula>
    </cfRule>
  </conditionalFormatting>
  <conditionalFormatting sqref="AF10">
    <cfRule type="expression" priority="78" dxfId="396">
      <formula>MOD(ROW(),2)</formula>
    </cfRule>
  </conditionalFormatting>
  <conditionalFormatting sqref="AF11">
    <cfRule type="expression" priority="76" dxfId="396">
      <formula>MOD(ROW(),2)</formula>
    </cfRule>
    <cfRule type="expression" priority="77" dxfId="396">
      <formula>MOD(ROW(),2)</formula>
    </cfRule>
  </conditionalFormatting>
  <conditionalFormatting sqref="B12">
    <cfRule type="expression" priority="75" dxfId="396">
      <formula>MOD(ROW(),2)</formula>
    </cfRule>
  </conditionalFormatting>
  <conditionalFormatting sqref="AG12:AH12 W12:AD12 AJ12 I12:M12">
    <cfRule type="expression" priority="74" dxfId="396">
      <formula>MOD(ROW(),2)</formula>
    </cfRule>
  </conditionalFormatting>
  <conditionalFormatting sqref="V12">
    <cfRule type="expression" priority="73" dxfId="396">
      <formula>MOD(ROW(),2)</formula>
    </cfRule>
  </conditionalFormatting>
  <conditionalFormatting sqref="N12">
    <cfRule type="expression" priority="72" dxfId="396">
      <formula>MOD(ROW(),2)</formula>
    </cfRule>
  </conditionalFormatting>
  <conditionalFormatting sqref="O12:P12">
    <cfRule type="expression" priority="71" dxfId="396">
      <formula>MOD(ROW(),2)</formula>
    </cfRule>
  </conditionalFormatting>
  <conditionalFormatting sqref="Q12">
    <cfRule type="expression" priority="70" dxfId="396">
      <formula>MOD(ROW(),2)</formula>
    </cfRule>
  </conditionalFormatting>
  <conditionalFormatting sqref="AF33">
    <cfRule type="expression" priority="4" dxfId="396">
      <formula>MOD(ROW(),2)</formula>
    </cfRule>
  </conditionalFormatting>
  <conditionalFormatting sqref="AF34">
    <cfRule type="expression" priority="3" dxfId="396">
      <formula>MOD(ROW(),2)</formula>
    </cfRule>
  </conditionalFormatting>
  <conditionalFormatting sqref="AF35">
    <cfRule type="expression" priority="2" dxfId="396">
      <formula>MOD(ROW(),2)</formula>
    </cfRule>
    <cfRule type="expression" priority="1" dxfId="396">
      <formula>MOD(ROW(),2)</formula>
    </cfRule>
  </conditionalFormatting>
  <conditionalFormatting sqref="B33:C33">
    <cfRule type="expression" priority="65" dxfId="396">
      <formula>MOD(ROW(),2)</formula>
    </cfRule>
  </conditionalFormatting>
  <conditionalFormatting sqref="E36:G36">
    <cfRule type="expression" priority="33" dxfId="396">
      <formula>MOD(ROW(),2)</formula>
    </cfRule>
  </conditionalFormatting>
  <conditionalFormatting sqref="E33:G33 I33:M33 W33:AD33 AG33:AH33 AJ33">
    <cfRule type="expression" priority="31" dxfId="396">
      <formula>MOD(ROW(),2)</formula>
    </cfRule>
  </conditionalFormatting>
  <conditionalFormatting sqref="N33:R33">
    <cfRule type="expression" priority="30" dxfId="396">
      <formula>MOD(ROW(),2)</formula>
    </cfRule>
  </conditionalFormatting>
  <conditionalFormatting sqref="V33">
    <cfRule type="expression" priority="29" dxfId="396">
      <formula>MOD(ROW(),2)</formula>
    </cfRule>
  </conditionalFormatting>
  <conditionalFormatting sqref="AG34:AH34 W34:AD34 I34:M34 E34:G34 B34:C34 AJ34">
    <cfRule type="expression" priority="59" dxfId="396">
      <formula>MOD(ROW(),2)</formula>
    </cfRule>
  </conditionalFormatting>
  <conditionalFormatting sqref="V34">
    <cfRule type="expression" priority="58" dxfId="396">
      <formula>MOD(ROW(),2)</formula>
    </cfRule>
  </conditionalFormatting>
  <conditionalFormatting sqref="N34">
    <cfRule type="expression" priority="57" dxfId="396">
      <formula>MOD(ROW(),2)</formula>
    </cfRule>
  </conditionalFormatting>
  <conditionalFormatting sqref="O34:P34">
    <cfRule type="expression" priority="56" dxfId="396">
      <formula>MOD(ROW(),2)</formula>
    </cfRule>
  </conditionalFormatting>
  <conditionalFormatting sqref="Q34">
    <cfRule type="expression" priority="55" dxfId="396">
      <formula>MOD(ROW(),2)</formula>
    </cfRule>
  </conditionalFormatting>
  <conditionalFormatting sqref="R34">
    <cfRule type="expression" priority="54" dxfId="396">
      <formula>MOD(ROW(),2)</formula>
    </cfRule>
  </conditionalFormatting>
  <conditionalFormatting sqref="AG35:AH35 W35:AD35 E35:G35 B35:C35 AJ35">
    <cfRule type="expression" priority="53" dxfId="396">
      <formula>MOD(ROW(),2)</formula>
    </cfRule>
  </conditionalFormatting>
  <conditionalFormatting sqref="V35">
    <cfRule type="expression" priority="52" dxfId="396">
      <formula>MOD(ROW(),2)</formula>
    </cfRule>
  </conditionalFormatting>
  <conditionalFormatting sqref="N35">
    <cfRule type="expression" priority="50" dxfId="396">
      <formula>MOD(ROW(),2)</formula>
    </cfRule>
  </conditionalFormatting>
  <conditionalFormatting sqref="O35:P35">
    <cfRule type="expression" priority="49" dxfId="396">
      <formula>MOD(ROW(),2)</formula>
    </cfRule>
  </conditionalFormatting>
  <conditionalFormatting sqref="Q35">
    <cfRule type="expression" priority="48" dxfId="396">
      <formula>MOD(ROW(),2)</formula>
    </cfRule>
  </conditionalFormatting>
  <conditionalFormatting sqref="R35">
    <cfRule type="expression" priority="47" dxfId="396">
      <formula>MOD(ROW(),2)</formula>
    </cfRule>
  </conditionalFormatting>
  <conditionalFormatting sqref="I35:R35">
    <cfRule type="expression" priority="51" dxfId="396">
      <formula>MOD(ROW(),2)</formula>
    </cfRule>
  </conditionalFormatting>
  <conditionalFormatting sqref="R36">
    <cfRule type="expression" priority="35" dxfId="396">
      <formula>MOD(ROW(),2)</formula>
    </cfRule>
  </conditionalFormatting>
  <conditionalFormatting sqref="T34">
    <cfRule type="expression" priority="24" dxfId="396">
      <formula>MOD(ROW(),2)</formula>
    </cfRule>
  </conditionalFormatting>
  <conditionalFormatting sqref="S12">
    <cfRule type="expression" priority="15" dxfId="396">
      <formula>MOD(ROW(),2)</formula>
    </cfRule>
  </conditionalFormatting>
  <conditionalFormatting sqref="T9">
    <cfRule type="expression" priority="14" dxfId="396">
      <formula>MOD(ROW(),2)</formula>
    </cfRule>
    <cfRule type="expression" priority="13" dxfId="396">
      <formula>MOD(ROW(),2)</formula>
    </cfRule>
  </conditionalFormatting>
  <conditionalFormatting sqref="B36">
    <cfRule type="expression" priority="41" dxfId="396">
      <formula>MOD(ROW(),2)</formula>
    </cfRule>
  </conditionalFormatting>
  <conditionalFormatting sqref="V36">
    <cfRule type="expression" priority="39" dxfId="396">
      <formula>MOD(ROW(),2)</formula>
    </cfRule>
  </conditionalFormatting>
  <conditionalFormatting sqref="AG36:AH36 W36:AD36 AJ36 I36:M36">
    <cfRule type="expression" priority="40" dxfId="396">
      <formula>MOD(ROW(),2)</formula>
    </cfRule>
  </conditionalFormatting>
  <conditionalFormatting sqref="N36">
    <cfRule type="expression" priority="38" dxfId="396">
      <formula>MOD(ROW(),2)</formula>
    </cfRule>
  </conditionalFormatting>
  <conditionalFormatting sqref="O36:P36">
    <cfRule type="expression" priority="37" dxfId="396">
      <formula>MOD(ROW(),2)</formula>
    </cfRule>
  </conditionalFormatting>
  <conditionalFormatting sqref="Q36">
    <cfRule type="expression" priority="36" dxfId="396">
      <formula>MOD(ROW(),2)</formula>
    </cfRule>
  </conditionalFormatting>
  <conditionalFormatting sqref="S34">
    <cfRule type="expression" priority="28" dxfId="396">
      <formula>MOD(ROW(),2)</formula>
    </cfRule>
  </conditionalFormatting>
  <conditionalFormatting sqref="S35">
    <cfRule type="expression" priority="26" dxfId="396">
      <formula>MOD(ROW(),2)</formula>
    </cfRule>
    <cfRule type="expression" priority="27" dxfId="396">
      <formula>MOD(ROW(),2)</formula>
    </cfRule>
  </conditionalFormatting>
  <conditionalFormatting sqref="S33">
    <cfRule type="expression" priority="25" dxfId="396">
      <formula>MOD(ROW(),2)</formula>
    </cfRule>
  </conditionalFormatting>
  <conditionalFormatting sqref="T35">
    <cfRule type="expression" priority="22" dxfId="396">
      <formula>MOD(ROW(),2)</formula>
    </cfRule>
    <cfRule type="expression" priority="23" dxfId="396">
      <formula>MOD(ROW(),2)</formula>
    </cfRule>
  </conditionalFormatting>
  <conditionalFormatting sqref="T33">
    <cfRule type="expression" priority="21" dxfId="396">
      <formula>MOD(ROW(),2)</formula>
    </cfRule>
  </conditionalFormatting>
  <conditionalFormatting sqref="S9">
    <cfRule type="expression" priority="20" dxfId="396">
      <formula>MOD(ROW(),2)</formula>
    </cfRule>
    <cfRule type="expression" priority="19" dxfId="396">
      <formula>MOD(ROW(),2)</formula>
    </cfRule>
  </conditionalFormatting>
  <conditionalFormatting sqref="S10">
    <cfRule type="expression" priority="18" dxfId="396">
      <formula>MOD(ROW(),2)</formula>
    </cfRule>
  </conditionalFormatting>
  <conditionalFormatting sqref="S11">
    <cfRule type="expression" priority="16" dxfId="396">
      <formula>MOD(ROW(),2)</formula>
    </cfRule>
    <cfRule type="expression" priority="17" dxfId="396">
      <formula>MOD(ROW(),2)</formula>
    </cfRule>
  </conditionalFormatting>
  <conditionalFormatting sqref="T10">
    <cfRule type="expression" priority="12" dxfId="396">
      <formula>MOD(ROW(),2)</formula>
    </cfRule>
  </conditionalFormatting>
  <conditionalFormatting sqref="T11">
    <cfRule type="expression" priority="10" dxfId="396">
      <formula>MOD(ROW(),2)</formula>
    </cfRule>
    <cfRule type="expression" priority="11" dxfId="396">
      <formula>MOD(ROW(),2)</formula>
    </cfRule>
  </conditionalFormatting>
  <conditionalFormatting sqref="T12">
    <cfRule type="expression" priority="9" dxfId="396">
      <formula>MOD(ROW(),2)</formula>
    </cfRule>
  </conditionalFormatting>
  <conditionalFormatting sqref="AK33">
    <cfRule type="expression" priority="8" dxfId="396">
      <formula>MOD(ROW(),2)</formula>
    </cfRule>
  </conditionalFormatting>
  <conditionalFormatting sqref="AK34">
    <cfRule type="expression" priority="7" dxfId="396">
      <formula>MOD(ROW(),2)</formula>
    </cfRule>
  </conditionalFormatting>
  <conditionalFormatting sqref="AK35">
    <cfRule type="expression" priority="6" dxfId="396">
      <formula>MOD(ROW(),2)</formula>
    </cfRule>
  </conditionalFormatting>
  <conditionalFormatting sqref="AK36">
    <cfRule type="expression" priority="5" dxfId="396">
      <formula>MOD(ROW(),2)</formula>
    </cfRule>
  </conditionalFormatting>
  <pageMargins left="0.3937007874015748" right="0.3937007874015748" top="0.5905511811023623" bottom="0.5905511811023623" header="0.3149606299212598" footer="0.3149606299212598"/>
  <pageSetup orientation="landscape" paperSize="9" scale="45" fitToHeight="0"/>
</worksheet>
</file>

<file path=xl/worksheets/sheet5.xml><?xml version="1.0" encoding="utf-8"?>
<worksheet xmlns="http://schemas.openxmlformats.org/spreadsheetml/2006/main">
  <sheetPr codeName="Sheet15">
    <tabColor rgb="FF00B050"/>
    <outlinePr summaryBelow="1" summaryRight="1"/>
    <pageSetUpPr fitToPage="1"/>
  </sheetPr>
  <dimension ref="A1:AU62"/>
  <sheetViews>
    <sheetView zoomScale="70" zoomScaleNormal="7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6" sqref="B36"/>
    </sheetView>
  </sheetViews>
  <sheetFormatPr baseColWidth="10" defaultColWidth="8.88671875" defaultRowHeight="14.4" outlineLevelRow="1"/>
  <cols>
    <col hidden="1" outlineLevel="1" width="14.5546875" customWidth="1" style="701" min="1" max="1"/>
    <col collapsed="1" width="50.88671875" bestFit="1" customWidth="1" style="349" min="2" max="2"/>
    <col width="4.88671875" bestFit="1" customWidth="1" style="349" min="3" max="3"/>
    <col width="1.88671875" customWidth="1" style="701" min="4" max="4"/>
    <col width="10.5546875" bestFit="1" customWidth="1" style="349" min="5" max="6"/>
    <col width="12.5546875" bestFit="1" customWidth="1" style="59" min="7" max="7"/>
    <col width="1.88671875" customWidth="1" style="701" min="8" max="8"/>
    <col width="11.88671875" customWidth="1" style="700" min="9" max="9"/>
    <col width="10.88671875" customWidth="1" style="700" min="10" max="10"/>
    <col hidden="1" outlineLevel="1" width="10.88671875" customWidth="1" style="700" min="11" max="19"/>
    <col hidden="1" outlineLevel="1" width="11.33203125" customWidth="1" style="700" min="20" max="20"/>
    <col collapsed="1" width="1.88671875" customWidth="1" style="701" min="21" max="21"/>
    <col hidden="1" outlineLevel="1" width="9.6640625" customWidth="1" style="700" min="22" max="22"/>
    <col collapsed="1" width="9.6640625" customWidth="1" style="700" min="23" max="23"/>
    <col width="9.6640625" customWidth="1" style="700" min="24" max="32"/>
    <col width="2.5546875" customWidth="1" style="121" min="33" max="33"/>
    <col width="12.44140625" bestFit="1" customWidth="1" style="700" min="34" max="34"/>
    <col width="13.5546875" bestFit="1" customWidth="1" style="700" min="35" max="35"/>
    <col width="14.5546875" bestFit="1" customWidth="1" style="701" min="36" max="36"/>
    <col width="3.109375" customWidth="1" style="701" min="37" max="37"/>
    <col width="14.109375" bestFit="1" customWidth="1" style="700" min="38" max="38"/>
    <col width="15.5546875" bestFit="1" customWidth="1" style="700" min="39" max="39"/>
    <col width="8.88671875" customWidth="1" style="701" min="40" max="51"/>
    <col width="8.88671875" customWidth="1" style="701" min="52" max="16384"/>
  </cols>
  <sheetData>
    <row r="1" hidden="1" outlineLevel="1" s="701">
      <c r="B1" s="349" t="inlineStr">
        <is>
          <t>Year</t>
        </is>
      </c>
      <c r="E1" s="59" t="n">
        <v>2021</v>
      </c>
      <c r="F1" s="59" t="n">
        <v>2022</v>
      </c>
      <c r="G1" s="59" t="n">
        <v>2022</v>
      </c>
      <c r="I1" s="59" t="n">
        <v>2022</v>
      </c>
      <c r="J1" s="59" t="n">
        <v>2022</v>
      </c>
      <c r="K1" s="59" t="n">
        <v>2022</v>
      </c>
      <c r="L1" s="59" t="n">
        <v>2022</v>
      </c>
      <c r="M1" s="59" t="n">
        <v>2022</v>
      </c>
      <c r="N1" s="59" t="n">
        <v>2022</v>
      </c>
      <c r="O1" s="59" t="n">
        <v>2022</v>
      </c>
      <c r="P1" s="59" t="n">
        <v>2022</v>
      </c>
      <c r="Q1" s="59" t="n">
        <v>2022</v>
      </c>
      <c r="R1" s="59" t="n">
        <v>2022</v>
      </c>
      <c r="S1" s="59" t="n">
        <v>2022</v>
      </c>
      <c r="T1" s="59" t="n">
        <v>2022</v>
      </c>
      <c r="V1" s="59" t="n">
        <v>2022</v>
      </c>
      <c r="W1" s="59" t="n">
        <v>2022</v>
      </c>
      <c r="X1" s="59" t="n">
        <v>2022</v>
      </c>
      <c r="Y1" s="59" t="n">
        <v>2022</v>
      </c>
      <c r="Z1" s="59" t="n">
        <v>2022</v>
      </c>
      <c r="AA1" s="59" t="n">
        <v>2022</v>
      </c>
      <c r="AB1" s="59" t="n">
        <v>2022</v>
      </c>
      <c r="AC1" s="59" t="n">
        <v>2022</v>
      </c>
      <c r="AD1" s="59" t="n">
        <v>2022</v>
      </c>
      <c r="AE1" s="59" t="n">
        <v>2022</v>
      </c>
      <c r="AF1" s="59" t="n">
        <v>2022</v>
      </c>
      <c r="AG1" s="260" t="n"/>
      <c r="AH1" s="59" t="n">
        <v>2022</v>
      </c>
      <c r="AI1" s="59" t="n">
        <v>2022</v>
      </c>
      <c r="AJ1" s="59" t="n">
        <v>2022</v>
      </c>
      <c r="AL1" s="700" t="n">
        <v>2021</v>
      </c>
      <c r="AM1" s="59" t="n">
        <v>2022</v>
      </c>
    </row>
    <row r="2" hidden="1" outlineLevel="1" s="701">
      <c r="B2" s="349" t="inlineStr">
        <is>
          <t>Month</t>
        </is>
      </c>
      <c r="E2" s="349" t="inlineStr">
        <is>
          <t>12 YTD</t>
        </is>
      </c>
      <c r="F2" s="349">
        <f>MONTH(TODAY())-1&amp;" YTD"</f>
        <v/>
      </c>
      <c r="G2" s="349" t="inlineStr">
        <is>
          <t>12 YTD</t>
        </is>
      </c>
      <c r="I2" s="59" t="n">
        <v>1</v>
      </c>
      <c r="J2" s="59" t="n">
        <v>2</v>
      </c>
      <c r="K2" s="59" t="n">
        <v>3</v>
      </c>
      <c r="L2" s="59" t="n">
        <v>4</v>
      </c>
      <c r="M2" s="59" t="n">
        <v>5</v>
      </c>
      <c r="N2" s="59" t="n">
        <v>6</v>
      </c>
      <c r="O2" s="59" t="n">
        <v>7</v>
      </c>
      <c r="P2" s="59" t="n">
        <v>8</v>
      </c>
      <c r="Q2" s="59" t="n">
        <v>9</v>
      </c>
      <c r="R2" s="59" t="n">
        <v>10</v>
      </c>
      <c r="S2" s="59" t="n">
        <v>11</v>
      </c>
      <c r="T2" s="59" t="n">
        <v>12</v>
      </c>
      <c r="V2" s="59" t="n">
        <v>2</v>
      </c>
      <c r="W2" s="59" t="n">
        <v>3</v>
      </c>
      <c r="X2" s="59" t="n">
        <v>4</v>
      </c>
      <c r="Y2" s="59" t="n">
        <v>5</v>
      </c>
      <c r="Z2" s="59" t="n">
        <v>6</v>
      </c>
      <c r="AA2" s="59" t="n">
        <v>7</v>
      </c>
      <c r="AB2" s="59" t="n">
        <v>8</v>
      </c>
      <c r="AC2" s="59" t="n">
        <v>9</v>
      </c>
      <c r="AD2" s="59" t="n">
        <v>10</v>
      </c>
      <c r="AE2" s="59" t="n">
        <v>11</v>
      </c>
      <c r="AF2" s="59" t="n">
        <v>12</v>
      </c>
      <c r="AG2" s="260" t="n"/>
      <c r="AH2" s="349">
        <f>MONTH(TODAY())-1&amp;" YTD"</f>
        <v/>
      </c>
      <c r="AI2" s="349">
        <f>MONTH(TODAY())-1&amp;" YTD"</f>
        <v/>
      </c>
      <c r="AJ2" s="349">
        <f>MONTH(TODAY())-1&amp;" YTD"</f>
        <v/>
      </c>
      <c r="AL2" s="59" t="inlineStr">
        <is>
          <t>12 YTD</t>
        </is>
      </c>
      <c r="AM2" s="59" t="inlineStr">
        <is>
          <t>12 YTD</t>
        </is>
      </c>
    </row>
    <row r="3" hidden="1" outlineLevel="1" s="701">
      <c r="B3" s="349" t="inlineStr">
        <is>
          <t>ø</t>
        </is>
      </c>
      <c r="E3" s="349" t="n">
        <v>12</v>
      </c>
      <c r="F3" s="349">
        <f>LEFT(F$2,2)*1</f>
        <v/>
      </c>
      <c r="G3" s="349" t="n">
        <v>12</v>
      </c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260" t="n"/>
      <c r="AH3" s="59" t="n"/>
      <c r="AI3" s="59" t="n"/>
      <c r="AM3" s="59" t="n"/>
    </row>
    <row r="4" collapsed="1" s="701"/>
    <row r="5">
      <c r="B5" s="349">
        <f>YEAR(TODAY())</f>
        <v/>
      </c>
      <c r="C5" s="349">
        <f>MONTH(TODAY())</f>
        <v/>
      </c>
    </row>
    <row r="6">
      <c r="B6" s="700" t="n"/>
      <c r="C6" s="700" t="n"/>
      <c r="E6" s="259" t="inlineStr">
        <is>
          <t>Ø 2021</t>
        </is>
      </c>
      <c r="F6" s="269" t="inlineStr">
        <is>
          <t>Ø 2022</t>
        </is>
      </c>
      <c r="G6" s="270" t="inlineStr">
        <is>
          <t>Ø 2022</t>
        </is>
      </c>
      <c r="I6" s="269">
        <f>TEXT(I$2,"00")&amp;" "&amp;I$1</f>
        <v/>
      </c>
      <c r="J6" s="269">
        <f>TEXT(J$2,"00")&amp;" "&amp;J$1</f>
        <v/>
      </c>
      <c r="K6" s="269">
        <f>TEXT(K$2,"00")&amp;" "&amp;K$1</f>
        <v/>
      </c>
      <c r="L6" s="269">
        <f>TEXT(L$2,"00")&amp;" "&amp;L$1</f>
        <v/>
      </c>
      <c r="M6" s="269">
        <f>TEXT(M$2,"00")&amp;" "&amp;M$1</f>
        <v/>
      </c>
      <c r="N6" s="269">
        <f>TEXT(N$2,"00")&amp;" "&amp;N$1</f>
        <v/>
      </c>
      <c r="O6" s="269">
        <f>TEXT(O$2,"00")&amp;" "&amp;O$1</f>
        <v/>
      </c>
      <c r="P6" s="269">
        <f>TEXT(P$2,"00")&amp;" "&amp;P$1</f>
        <v/>
      </c>
      <c r="Q6" s="269">
        <f>TEXT(Q$2,"00")&amp;" "&amp;Q$1</f>
        <v/>
      </c>
      <c r="R6" s="269">
        <f>TEXT(R$2,"00")&amp;" "&amp;R$1</f>
        <v/>
      </c>
      <c r="S6" s="269">
        <f>TEXT(S$2,"00")&amp;" "&amp;S$1</f>
        <v/>
      </c>
      <c r="T6" s="269">
        <f>TEXT(T$2,"00")&amp;" "&amp;T$1</f>
        <v/>
      </c>
      <c r="V6" s="782">
        <f>TEXT(V$2,"00")&amp;" "&amp;V$1</f>
        <v/>
      </c>
      <c r="W6" s="782">
        <f>TEXT(W$2,"00")&amp;" "&amp;W$1</f>
        <v/>
      </c>
      <c r="X6" s="782">
        <f>TEXT(X$2,"00")&amp;" "&amp;X$1</f>
        <v/>
      </c>
      <c r="Y6" s="782">
        <f>TEXT(Y$2,"00")&amp;" "&amp;Y$1</f>
        <v/>
      </c>
      <c r="Z6" s="782">
        <f>TEXT(Z$2,"00")&amp;" "&amp;Z$1</f>
        <v/>
      </c>
      <c r="AA6" s="782">
        <f>TEXT(AA$2,"00")&amp;" "&amp;AA$1</f>
        <v/>
      </c>
      <c r="AB6" s="782">
        <f>TEXT(AB$2,"00")&amp;" "&amp;AB$1</f>
        <v/>
      </c>
      <c r="AC6" s="782">
        <f>TEXT(AC$2,"00")&amp;" "&amp;AC$1</f>
        <v/>
      </c>
      <c r="AD6" s="782">
        <f>TEXT(AD$2,"00")&amp;" "&amp;AD$1</f>
        <v/>
      </c>
      <c r="AE6" s="782">
        <f>TEXT(AE$2,"00")&amp;" "&amp;AE$1</f>
        <v/>
      </c>
      <c r="AF6" s="782">
        <f>TEXT(AF$2,"00")&amp;" "&amp;AF$1</f>
        <v/>
      </c>
      <c r="AG6" s="783" t="n"/>
      <c r="AH6" s="269">
        <f>AH$2&amp;" "&amp;AH$1</f>
        <v/>
      </c>
      <c r="AI6" s="270">
        <f>AI$2&amp;" "&amp;AI$1</f>
        <v/>
      </c>
      <c r="AJ6" s="261">
        <f>AJ$2&amp;" "&amp;AJ$1</f>
        <v/>
      </c>
      <c r="AL6" s="244">
        <f>AL$2&amp;" "&amp;AL$1</f>
        <v/>
      </c>
      <c r="AM6" s="270">
        <f>AM$2&amp;" "&amp;AM$1</f>
        <v/>
      </c>
    </row>
    <row r="7">
      <c r="C7" s="700" t="inlineStr">
        <is>
          <t>UNIT</t>
        </is>
      </c>
      <c r="E7" s="259" t="inlineStr">
        <is>
          <t>ACT</t>
        </is>
      </c>
      <c r="F7" s="269" t="inlineStr">
        <is>
          <t>ACT</t>
        </is>
      </c>
      <c r="G7" s="270" t="inlineStr">
        <is>
          <t>PLAN</t>
        </is>
      </c>
      <c r="I7" s="269" t="inlineStr">
        <is>
          <t>ACT</t>
        </is>
      </c>
      <c r="J7" s="269" t="inlineStr">
        <is>
          <t>ACT</t>
        </is>
      </c>
      <c r="K7" s="269" t="inlineStr">
        <is>
          <t>ACT</t>
        </is>
      </c>
      <c r="L7" s="269" t="inlineStr">
        <is>
          <t>ACT</t>
        </is>
      </c>
      <c r="M7" s="269" t="inlineStr">
        <is>
          <t>ACT</t>
        </is>
      </c>
      <c r="N7" s="263" t="inlineStr">
        <is>
          <t>ACT</t>
        </is>
      </c>
      <c r="O7" s="263" t="inlineStr">
        <is>
          <t>ACT</t>
        </is>
      </c>
      <c r="P7" s="263" t="inlineStr">
        <is>
          <t>ACT</t>
        </is>
      </c>
      <c r="Q7" s="263" t="inlineStr">
        <is>
          <t>ACT</t>
        </is>
      </c>
      <c r="R7" s="263" t="inlineStr">
        <is>
          <t>ACT</t>
        </is>
      </c>
      <c r="S7" s="263" t="inlineStr">
        <is>
          <t>ACT</t>
        </is>
      </c>
      <c r="T7" s="263" t="inlineStr">
        <is>
          <t>ACT</t>
        </is>
      </c>
      <c r="V7" s="782" t="inlineStr">
        <is>
          <t>FCST</t>
        </is>
      </c>
      <c r="W7" s="782" t="inlineStr">
        <is>
          <t>FCST</t>
        </is>
      </c>
      <c r="X7" s="782" t="inlineStr">
        <is>
          <t>FCST</t>
        </is>
      </c>
      <c r="Y7" s="782" t="inlineStr">
        <is>
          <t>FCST</t>
        </is>
      </c>
      <c r="Z7" s="782" t="inlineStr">
        <is>
          <t>FCST</t>
        </is>
      </c>
      <c r="AA7" s="782" t="inlineStr">
        <is>
          <t>FCST</t>
        </is>
      </c>
      <c r="AB7" s="782" t="inlineStr">
        <is>
          <t>FCST</t>
        </is>
      </c>
      <c r="AC7" s="782" t="inlineStr">
        <is>
          <t>FCST</t>
        </is>
      </c>
      <c r="AD7" s="782" t="inlineStr">
        <is>
          <t>FCST</t>
        </is>
      </c>
      <c r="AE7" s="782" t="inlineStr">
        <is>
          <t>FCST</t>
        </is>
      </c>
      <c r="AF7" s="782" t="inlineStr">
        <is>
          <t>FCST</t>
        </is>
      </c>
      <c r="AG7" s="783" t="n"/>
      <c r="AH7" s="269" t="inlineStr">
        <is>
          <t xml:space="preserve">ACT </t>
        </is>
      </c>
      <c r="AI7" s="270" t="inlineStr">
        <is>
          <t xml:space="preserve">PLAN </t>
        </is>
      </c>
      <c r="AJ7" s="262" t="inlineStr">
        <is>
          <t>∆  ACT PLAN</t>
        </is>
      </c>
      <c r="AL7" s="244" t="inlineStr">
        <is>
          <t xml:space="preserve">ACT </t>
        </is>
      </c>
      <c r="AM7" s="270" t="inlineStr">
        <is>
          <t xml:space="preserve">PLAN </t>
        </is>
      </c>
    </row>
    <row r="8" customFormat="1" s="329">
      <c r="B8" s="336" t="inlineStr">
        <is>
          <t>Order Intake by Business Field</t>
        </is>
      </c>
      <c r="C8" s="260" t="n"/>
      <c r="E8" s="784" t="n"/>
      <c r="F8" s="784" t="n"/>
      <c r="G8" s="785" t="n"/>
      <c r="I8" s="785" t="n"/>
      <c r="J8" s="785" t="n"/>
      <c r="K8" s="785" t="n"/>
      <c r="L8" s="785" t="n"/>
      <c r="M8" s="785" t="n"/>
      <c r="N8" s="784" t="n"/>
      <c r="O8" s="784" t="n"/>
      <c r="P8" s="784" t="n"/>
      <c r="Q8" s="784" t="n"/>
      <c r="R8" s="784" t="n"/>
      <c r="S8" s="784" t="n"/>
      <c r="T8" s="784" t="n"/>
      <c r="V8" s="786" t="n"/>
      <c r="W8" s="786" t="n"/>
      <c r="X8" s="786" t="n"/>
      <c r="Y8" s="784" t="n"/>
      <c r="Z8" s="784" t="n"/>
      <c r="AA8" s="784" t="n"/>
      <c r="AB8" s="784" t="n"/>
      <c r="AC8" s="784" t="n"/>
      <c r="AD8" s="784" t="n"/>
      <c r="AE8" s="784" t="n"/>
      <c r="AF8" s="787" t="n"/>
      <c r="AG8" s="787" t="n"/>
      <c r="AH8" s="256" t="n"/>
      <c r="AI8" s="257" t="n"/>
      <c r="AL8" s="256" t="n"/>
      <c r="AM8" s="258" t="n"/>
    </row>
    <row r="9">
      <c r="A9" s="160" t="inlineStr">
        <is>
          <t>GSE</t>
        </is>
      </c>
      <c r="B9" s="267" t="inlineStr">
        <is>
          <t>BU GSE</t>
        </is>
      </c>
      <c r="C9" s="349" t="inlineStr">
        <is>
          <t>k €</t>
        </is>
      </c>
      <c r="E9" s="788">
        <f>$AL9/E$3</f>
        <v/>
      </c>
      <c r="F9" s="788">
        <f>IFERROR(1/F$3,1)*SUMIFS(Data!$S$3:$S$305,Data!$O$3:$O$305,F$1,Data!$P$3:$P$305,IF(RIGHT(F$2,3)="YTD","&lt;="&amp;LEFT(F$2,2)*1,F$2),Data!$K$3:$K$305,$B9)</f>
        <v/>
      </c>
      <c r="G9" s="788">
        <f>AM9/12</f>
        <v/>
      </c>
      <c r="I9" s="788">
        <f>IFERROR(1/I$3,1)*SUMIFS(tbl_DCFC[C Montant € HT],tbl_DCFC[OI_Year],I$1,tbl_DCFC[OI_Month],IF(RIGHT(I$2,3)="YTD","&lt;="&amp;LEFT(I$2,2)*1,I$2),tbl_DCFC[BU_Key],$A9)</f>
        <v/>
      </c>
      <c r="J9" s="788">
        <f>IFERROR(1/J$3,1)*SUMIFS(tbl_DCFC[C Montant € HT],tbl_DCFC[OI_Year],J$1,tbl_DCFC[OI_Month],IF(RIGHT(J$2,3)="YTD","&lt;="&amp;LEFT(J$2,2)*1,J$2),tbl_DCFC[BU_Key],$A9)</f>
        <v/>
      </c>
      <c r="K9" s="788">
        <f>IFERROR(1/K$3,1)*SUMIFS(tbl_DCFC[C Montant € HT],tbl_DCFC[OI_Year],K$1,tbl_DCFC[OI_Month],IF(RIGHT(K$2,3)="YTD","&lt;="&amp;LEFT(K$2,2)*1,K$2),tbl_DCFC[BU_Key],$A9)</f>
        <v/>
      </c>
      <c r="L9" s="788">
        <f>IFERROR(1/L$3,1)*SUMIFS(tbl_DCFC[C Montant € HT],tbl_DCFC[OI_Year],L$1,tbl_DCFC[OI_Month],IF(RIGHT(L$2,3)="YTD","&lt;="&amp;LEFT(L$2,2)*1,L$2),tbl_DCFC[BU_Key],$A9)</f>
        <v/>
      </c>
      <c r="M9" s="788">
        <f>IFERROR(1/M$3,1)*SUMIFS(tbl_DCFC[C Montant € HT],tbl_DCFC[OI_Year],M$1,tbl_DCFC[OI_Month],IF(RIGHT(M$2,3)="YTD","&lt;="&amp;LEFT(M$2,2)*1,M$2),tbl_DCFC[BU_Key],$A9)</f>
        <v/>
      </c>
      <c r="N9" s="788">
        <f>IFERROR(1/N$3,1)*SUMIFS(tbl_DCFC[C Montant € HT],tbl_DCFC[OI_Year],N$1,tbl_DCFC[OI_Month],IF(RIGHT(N$2,3)="YTD","&lt;="&amp;LEFT(N$2,2)*1,N$2),tbl_DCFC[BU_Key],$A9)</f>
        <v/>
      </c>
      <c r="O9" s="788">
        <f>IFERROR(1/O$3,1)*SUMIFS(tbl_DCFC[C Montant € HT],tbl_DCFC[OI_Year],O$1,tbl_DCFC[OI_Month],IF(RIGHT(O$2,3)="YTD","&lt;="&amp;LEFT(O$2,2)*1,O$2),tbl_DCFC[BU_Key],$A9)</f>
        <v/>
      </c>
      <c r="P9" s="788">
        <f>IFERROR(1/P$3,1)*SUMIFS(tbl_DCFC[C Montant € HT],tbl_DCFC[OI_Year],P$1,tbl_DCFC[OI_Month],IF(RIGHT(P$2,3)="YTD","&lt;="&amp;LEFT(P$2,2)*1,P$2),tbl_DCFC[BU_Key],$A9)</f>
        <v/>
      </c>
      <c r="Q9" s="788">
        <f>IFERROR(1/Q$3,1)*SUMIFS(tbl_DCFC[C Montant € HT],tbl_DCFC[OI_Year],Q$1,tbl_DCFC[OI_Month],IF(RIGHT(Q$2,3)="YTD","&lt;="&amp;LEFT(Q$2,2)*1,Q$2),tbl_DCFC[BU_Key],$A9)</f>
        <v/>
      </c>
      <c r="R9" s="788">
        <f>IFERROR(1/R$3,1)*SUMIFS(tbl_DCFC[C Montant € HT],tbl_DCFC[OI_Year],R$1,tbl_DCFC[OI_Month],IF(RIGHT(R$2,3)="YTD","&lt;="&amp;LEFT(R$2,2)*1,R$2),tbl_DCFC[BU_Key],$A9)</f>
        <v/>
      </c>
      <c r="S9" s="788">
        <f>IFERROR(1/S$3,1)*SUMIFS(tbl_DCFC[C Montant € HT],tbl_DCFC[OI_Year],S$1,tbl_DCFC[OI_Month],IF(RIGHT(S$2,3)="YTD","&lt;="&amp;LEFT(S$2,2)*1,S$2),tbl_DCFC[BU_Key],$A9)</f>
        <v/>
      </c>
      <c r="T9" s="788">
        <f>IFERROR(1/T$3,1)*SUMIFS(tbl_DCFC[C Montant € HT],tbl_DCFC[OI_Year],T$1,tbl_DCFC[OI_Month],IF(RIGHT(T$2,3)="YTD","&lt;="&amp;LEFT(T$2,2)*1,T$2),tbl_DCFC[BU_Key],$A9)</f>
        <v/>
      </c>
      <c r="V9" s="788">
        <f>E9</f>
        <v/>
      </c>
      <c r="W9" s="788">
        <f>F9</f>
        <v/>
      </c>
      <c r="X9" s="788">
        <f>G9</f>
        <v/>
      </c>
      <c r="Y9" s="788">
        <f>$G9</f>
        <v/>
      </c>
      <c r="Z9" s="788">
        <f>$G9</f>
        <v/>
      </c>
      <c r="AA9" s="788">
        <f>$G9</f>
        <v/>
      </c>
      <c r="AB9" s="788">
        <f>$G9</f>
        <v/>
      </c>
      <c r="AC9" s="788">
        <f>$G9</f>
        <v/>
      </c>
      <c r="AD9" s="788">
        <f>$G9</f>
        <v/>
      </c>
      <c r="AE9" s="788">
        <f>$G9</f>
        <v/>
      </c>
      <c r="AF9" s="788">
        <f>$G9</f>
        <v/>
      </c>
      <c r="AG9" s="788" t="n"/>
      <c r="AH9" s="788">
        <f>IFERROR(1/AH$3,1)*SUMIFS(tbl_DCFC[C Montant € HT],tbl_DCFC[OI_Year],AH$1,tbl_DCFC[OI_Month],IF(RIGHT(AH$2,3)="YTD","&lt;="&amp;LEFT(AH$2,2)*1,AH$2),tbl_DCFC[BU_Key],$A9)</f>
        <v/>
      </c>
      <c r="AI9" s="788">
        <f>AM9/12*LEFT(AI$2,2)*1</f>
        <v/>
      </c>
      <c r="AJ9" s="789">
        <f>AH9-AI9</f>
        <v/>
      </c>
      <c r="AL9" s="788">
        <f>IFERROR(1/AL$3,1)*SUMIFS(tbl_DCFC[C Montant € HT],tbl_DCFC[OI_Year],AL$1,tbl_DCFC[OI_Month],IF(RIGHT(AL$2,3)="YTD","&lt;="&amp;LEFT(AL$2,2)*1,AL$2),tbl_DCFC[BU_Key],$A9)</f>
        <v/>
      </c>
      <c r="AM9" s="788" t="n">
        <v>0</v>
      </c>
    </row>
    <row r="10">
      <c r="A10" t="inlineStr">
        <is>
          <t>TOO</t>
        </is>
      </c>
      <c r="B10" s="267" t="inlineStr">
        <is>
          <t>BU Tooling</t>
        </is>
      </c>
      <c r="C10" s="349" t="inlineStr">
        <is>
          <t>k €</t>
        </is>
      </c>
      <c r="E10" s="788">
        <f>$AL10/E$3</f>
        <v/>
      </c>
      <c r="F10" s="788">
        <f>IFERROR(1/F$3,1)*SUMIFS(Data!$S$3:$S$305,Data!$O$3:$O$305,F$1,Data!$P$3:$P$305,IF(RIGHT(F$2,3)="YTD","&lt;="&amp;LEFT(F$2,2)*1,F$2),Data!$K$3:$K$305,$B10)</f>
        <v/>
      </c>
      <c r="G10" s="788">
        <f>AM10/12</f>
        <v/>
      </c>
      <c r="I10" s="788">
        <f>IFERROR(1/I$3,1)*SUMIFS(tbl_DCFC[C Montant € HT],tbl_DCFC[OI_Year],I$1,tbl_DCFC[OI_Month],IF(RIGHT(I$2,3)="YTD","&lt;="&amp;LEFT(I$2,2)*1,I$2),tbl_DCFC[BU_Key],$A10)</f>
        <v/>
      </c>
      <c r="J10" s="788">
        <f>IFERROR(1/J$3,1)*SUMIFS(tbl_DCFC[C Montant € HT],tbl_DCFC[OI_Year],J$1,tbl_DCFC[OI_Month],IF(RIGHT(J$2,3)="YTD","&lt;="&amp;LEFT(J$2,2)*1,J$2),tbl_DCFC[BU_Key],$A10)</f>
        <v/>
      </c>
      <c r="K10" s="788">
        <f>IFERROR(1/K$3,1)*SUMIFS(tbl_DCFC[C Montant € HT],tbl_DCFC[OI_Year],K$1,tbl_DCFC[OI_Month],IF(RIGHT(K$2,3)="YTD","&lt;="&amp;LEFT(K$2,2)*1,K$2),tbl_DCFC[BU_Key],$A10)</f>
        <v/>
      </c>
      <c r="L10" s="788">
        <f>IFERROR(1/L$3,1)*SUMIFS(tbl_DCFC[C Montant € HT],tbl_DCFC[OI_Year],L$1,tbl_DCFC[OI_Month],IF(RIGHT(L$2,3)="YTD","&lt;="&amp;LEFT(L$2,2)*1,L$2),tbl_DCFC[BU_Key],$A10)</f>
        <v/>
      </c>
      <c r="M10" s="788">
        <f>IFERROR(1/M$3,1)*SUMIFS(tbl_DCFC[C Montant € HT],tbl_DCFC[OI_Year],M$1,tbl_DCFC[OI_Month],IF(RIGHT(M$2,3)="YTD","&lt;="&amp;LEFT(M$2,2)*1,M$2),tbl_DCFC[BU_Key],$A10)</f>
        <v/>
      </c>
      <c r="N10" s="788">
        <f>IFERROR(1/N$3,1)*SUMIFS(tbl_DCFC[C Montant € HT],tbl_DCFC[OI_Year],N$1,tbl_DCFC[OI_Month],IF(RIGHT(N$2,3)="YTD","&lt;="&amp;LEFT(N$2,2)*1,N$2),tbl_DCFC[BU_Key],$A10)</f>
        <v/>
      </c>
      <c r="O10" s="788">
        <f>IFERROR(1/O$3,1)*SUMIFS(tbl_DCFC[C Montant € HT],tbl_DCFC[OI_Year],O$1,tbl_DCFC[OI_Month],IF(RIGHT(O$2,3)="YTD","&lt;="&amp;LEFT(O$2,2)*1,O$2),tbl_DCFC[BU_Key],$A10)</f>
        <v/>
      </c>
      <c r="P10" s="788">
        <f>IFERROR(1/P$3,1)*SUMIFS(tbl_DCFC[C Montant € HT],tbl_DCFC[OI_Year],P$1,tbl_DCFC[OI_Month],IF(RIGHT(P$2,3)="YTD","&lt;="&amp;LEFT(P$2,2)*1,P$2),tbl_DCFC[BU_Key],$A10)</f>
        <v/>
      </c>
      <c r="Q10" s="788">
        <f>IFERROR(1/Q$3,1)*SUMIFS(tbl_DCFC[C Montant € HT],tbl_DCFC[OI_Year],Q$1,tbl_DCFC[OI_Month],IF(RIGHT(Q$2,3)="YTD","&lt;="&amp;LEFT(Q$2,2)*1,Q$2),tbl_DCFC[BU_Key],$A10)</f>
        <v/>
      </c>
      <c r="R10" s="788">
        <f>IFERROR(1/R$3,1)*SUMIFS(tbl_DCFC[C Montant € HT],tbl_DCFC[OI_Year],R$1,tbl_DCFC[OI_Month],IF(RIGHT(R$2,3)="YTD","&lt;="&amp;LEFT(R$2,2)*1,R$2),tbl_DCFC[BU_Key],$A10)</f>
        <v/>
      </c>
      <c r="S10" s="788">
        <f>IFERROR(1/S$3,1)*SUMIFS(tbl_DCFC[C Montant € HT],tbl_DCFC[OI_Year],S$1,tbl_DCFC[OI_Month],IF(RIGHT(S$2,3)="YTD","&lt;="&amp;LEFT(S$2,2)*1,S$2),tbl_DCFC[BU_Key],$A10)</f>
        <v/>
      </c>
      <c r="T10" s="788">
        <f>IFERROR(1/T$3,1)*SUMIFS(tbl_DCFC[C Montant € HT],tbl_DCFC[OI_Year],T$1,tbl_DCFC[OI_Month],IF(RIGHT(T$2,3)="YTD","&lt;="&amp;LEFT(T$2,2)*1,T$2),tbl_DCFC[BU_Key],$A10)</f>
        <v/>
      </c>
      <c r="V10" s="788">
        <f>E10</f>
        <v/>
      </c>
      <c r="W10" s="788">
        <f>F10</f>
        <v/>
      </c>
      <c r="X10" s="788">
        <f>G10</f>
        <v/>
      </c>
      <c r="Y10" s="788">
        <f>$G10</f>
        <v/>
      </c>
      <c r="Z10" s="788">
        <f>$G10</f>
        <v/>
      </c>
      <c r="AA10" s="788">
        <f>$G10</f>
        <v/>
      </c>
      <c r="AB10" s="788">
        <f>$G10</f>
        <v/>
      </c>
      <c r="AC10" s="788">
        <f>$G10</f>
        <v/>
      </c>
      <c r="AD10" s="788">
        <f>$G10</f>
        <v/>
      </c>
      <c r="AE10" s="788">
        <f>$G10</f>
        <v/>
      </c>
      <c r="AF10" s="788">
        <f>$G10</f>
        <v/>
      </c>
      <c r="AG10" s="788" t="n"/>
      <c r="AH10" s="788">
        <f>IFERROR(1/AH$3,1)*SUMIFS(tbl_DCFC[C Montant € HT],tbl_DCFC[OI_Year],AH$1,tbl_DCFC[OI_Month],IF(RIGHT(AH$2,3)="YTD","&lt;="&amp;LEFT(AH$2,2)*1,AH$2),tbl_DCFC[BU_Key],$A10)</f>
        <v/>
      </c>
      <c r="AI10" s="788">
        <f>AM10/12*LEFT(AI$2,2)*1</f>
        <v/>
      </c>
      <c r="AJ10" s="789">
        <f>AH10-AI10</f>
        <v/>
      </c>
      <c r="AL10" s="788">
        <f>IFERROR(1/AL$3,1)*SUMIFS(tbl_DCFC[C Montant € HT],tbl_DCFC[OI_Year],AL$1,tbl_DCFC[OI_Month],IF(RIGHT(AL$2,3)="YTD","&lt;="&amp;LEFT(AL$2,2)*1,AL$2),tbl_DCFC[BU_Key],$A10)</f>
        <v/>
      </c>
      <c r="AM10" s="788" t="n">
        <v>0</v>
      </c>
    </row>
    <row r="11">
      <c r="A11" s="160" t="inlineStr">
        <is>
          <t>SER</t>
        </is>
      </c>
      <c r="B11" s="267" t="inlineStr">
        <is>
          <t>BU Service</t>
        </is>
      </c>
      <c r="C11" s="349" t="inlineStr">
        <is>
          <t>k €</t>
        </is>
      </c>
      <c r="E11" s="788">
        <f>$AL11/E$3</f>
        <v/>
      </c>
      <c r="F11" s="788">
        <f>IFERROR(1/F$3,1)*SUMIFS(Data!$S$3:$S$305,Data!$O$3:$O$305,F$1,Data!$P$3:$P$305,IF(RIGHT(F$2,3)="YTD","&lt;="&amp;LEFT(F$2,2)*1,F$2),Data!$K$3:$K$305,$B11)</f>
        <v/>
      </c>
      <c r="G11" s="788">
        <f>AM11/12</f>
        <v/>
      </c>
      <c r="I11" s="788">
        <f>IFERROR(1/I$3,1)*SUMIFS(tbl_DCFC[C Montant € HT],tbl_DCFC[OI_Year],I$1,tbl_DCFC[OI_Month],IF(RIGHT(I$2,3)="YTD","&lt;="&amp;LEFT(I$2,2)*1,I$2),tbl_DCFC[BU_Key],$A11)</f>
        <v/>
      </c>
      <c r="J11" s="788">
        <f>IFERROR(1/J$3,1)*SUMIFS(tbl_DCFC[C Montant € HT],tbl_DCFC[OI_Year],J$1,tbl_DCFC[OI_Month],IF(RIGHT(J$2,3)="YTD","&lt;="&amp;LEFT(J$2,2)*1,J$2),tbl_DCFC[BU_Key],$A11)</f>
        <v/>
      </c>
      <c r="K11" s="788">
        <f>IFERROR(1/K$3,1)*SUMIFS(tbl_DCFC[C Montant € HT],tbl_DCFC[OI_Year],K$1,tbl_DCFC[OI_Month],IF(RIGHT(K$2,3)="YTD","&lt;="&amp;LEFT(K$2,2)*1,K$2),tbl_DCFC[BU_Key],$A11)</f>
        <v/>
      </c>
      <c r="L11" s="788">
        <f>IFERROR(1/L$3,1)*SUMIFS(tbl_DCFC[C Montant € HT],tbl_DCFC[OI_Year],L$1,tbl_DCFC[OI_Month],IF(RIGHT(L$2,3)="YTD","&lt;="&amp;LEFT(L$2,2)*1,L$2),tbl_DCFC[BU_Key],$A11)</f>
        <v/>
      </c>
      <c r="M11" s="788">
        <f>IFERROR(1/M$3,1)*SUMIFS(tbl_DCFC[C Montant € HT],tbl_DCFC[OI_Year],M$1,tbl_DCFC[OI_Month],IF(RIGHT(M$2,3)="YTD","&lt;="&amp;LEFT(M$2,2)*1,M$2),tbl_DCFC[BU_Key],$A11)</f>
        <v/>
      </c>
      <c r="N11" s="788">
        <f>IFERROR(1/N$3,1)*SUMIFS(tbl_DCFC[C Montant € HT],tbl_DCFC[OI_Year],N$1,tbl_DCFC[OI_Month],IF(RIGHT(N$2,3)="YTD","&lt;="&amp;LEFT(N$2,2)*1,N$2),tbl_DCFC[BU_Key],$A11)</f>
        <v/>
      </c>
      <c r="O11" s="788">
        <f>IFERROR(1/O$3,1)*SUMIFS(tbl_DCFC[C Montant € HT],tbl_DCFC[OI_Year],O$1,tbl_DCFC[OI_Month],IF(RIGHT(O$2,3)="YTD","&lt;="&amp;LEFT(O$2,2)*1,O$2),tbl_DCFC[BU_Key],$A11)</f>
        <v/>
      </c>
      <c r="P11" s="788">
        <f>IFERROR(1/P$3,1)*SUMIFS(tbl_DCFC[C Montant € HT],tbl_DCFC[OI_Year],P$1,tbl_DCFC[OI_Month],IF(RIGHT(P$2,3)="YTD","&lt;="&amp;LEFT(P$2,2)*1,P$2),tbl_DCFC[BU_Key],$A11)</f>
        <v/>
      </c>
      <c r="Q11" s="788">
        <f>IFERROR(1/Q$3,1)*SUMIFS(tbl_DCFC[C Montant € HT],tbl_DCFC[OI_Year],Q$1,tbl_DCFC[OI_Month],IF(RIGHT(Q$2,3)="YTD","&lt;="&amp;LEFT(Q$2,2)*1,Q$2),tbl_DCFC[BU_Key],$A11)</f>
        <v/>
      </c>
      <c r="R11" s="788">
        <f>IFERROR(1/R$3,1)*SUMIFS(tbl_DCFC[C Montant € HT],tbl_DCFC[OI_Year],R$1,tbl_DCFC[OI_Month],IF(RIGHT(R$2,3)="YTD","&lt;="&amp;LEFT(R$2,2)*1,R$2),tbl_DCFC[BU_Key],$A11)</f>
        <v/>
      </c>
      <c r="S11" s="788">
        <f>IFERROR(1/S$3,1)*SUMIFS(tbl_DCFC[C Montant € HT],tbl_DCFC[OI_Year],S$1,tbl_DCFC[OI_Month],IF(RIGHT(S$2,3)="YTD","&lt;="&amp;LEFT(S$2,2)*1,S$2),tbl_DCFC[BU_Key],$A11)</f>
        <v/>
      </c>
      <c r="T11" s="788">
        <f>IFERROR(1/T$3,1)*SUMIFS(tbl_DCFC[C Montant € HT],tbl_DCFC[OI_Year],T$1,tbl_DCFC[OI_Month],IF(RIGHT(T$2,3)="YTD","&lt;="&amp;LEFT(T$2,2)*1,T$2),tbl_DCFC[BU_Key],$A11)</f>
        <v/>
      </c>
      <c r="V11" s="788">
        <f>E11</f>
        <v/>
      </c>
      <c r="W11" s="788">
        <f>F11</f>
        <v/>
      </c>
      <c r="X11" s="788">
        <f>G11</f>
        <v/>
      </c>
      <c r="Y11" s="788">
        <f>$G11</f>
        <v/>
      </c>
      <c r="Z11" s="788">
        <f>$G11</f>
        <v/>
      </c>
      <c r="AA11" s="788">
        <f>$G11</f>
        <v/>
      </c>
      <c r="AB11" s="788">
        <f>$G11</f>
        <v/>
      </c>
      <c r="AC11" s="788">
        <f>$G11</f>
        <v/>
      </c>
      <c r="AD11" s="788">
        <f>$G11</f>
        <v/>
      </c>
      <c r="AE11" s="788">
        <f>$G11</f>
        <v/>
      </c>
      <c r="AF11" s="788">
        <f>$G11</f>
        <v/>
      </c>
      <c r="AG11" s="788" t="n"/>
      <c r="AH11" s="788">
        <f>IFERROR(1/AH$3,1)*SUMIFS(tbl_DCFC[C Montant € HT],tbl_DCFC[OI_Year],AH$1,tbl_DCFC[OI_Month],IF(RIGHT(AH$2,3)="YTD","&lt;="&amp;LEFT(AH$2,2)*1,AH$2),tbl_DCFC[BU_Key],$A11)</f>
        <v/>
      </c>
      <c r="AI11" s="788">
        <f>AM11/12*LEFT(AI$2,2)*1</f>
        <v/>
      </c>
      <c r="AJ11" s="789">
        <f>AH11-AI11</f>
        <v/>
      </c>
      <c r="AL11" s="788">
        <f>IFERROR(1/AL$3,1)*SUMIFS(tbl_DCFC[C Montant € HT],tbl_DCFC[OI_Year],AL$1,tbl_DCFC[OI_Month],IF(RIGHT(AL$2,3)="YTD","&lt;="&amp;LEFT(AL$2,2)*1,AL$2),tbl_DCFC[BU_Key],$A11)</f>
        <v/>
      </c>
      <c r="AM11" s="788" t="n">
        <v>700000</v>
      </c>
    </row>
    <row r="12" customFormat="1" s="329">
      <c r="A12" s="329" t="inlineStr">
        <is>
          <t>INT</t>
        </is>
      </c>
      <c r="B12" s="267" t="inlineStr">
        <is>
          <t>Intercompany</t>
        </is>
      </c>
      <c r="C12" s="260" t="n"/>
      <c r="E12" s="788">
        <f>$AL12/E$3</f>
        <v/>
      </c>
      <c r="F12" s="788">
        <f>IFERROR(1/F$3,1)*SUMIFS(Data!$S$3:$S$305,Data!$O$3:$O$305,F$1,Data!$P$3:$P$305,IF(RIGHT(F$2,3)="YTD","&lt;="&amp;LEFT(F$2,2)*1,F$2),Data!$K$3:$K$305,$B12)</f>
        <v/>
      </c>
      <c r="G12" s="788">
        <f>AM12/12</f>
        <v/>
      </c>
      <c r="I12" s="788">
        <f>IFERROR(1/I$3,1)*SUMIFS(tbl_DCFC[C Montant € HT],tbl_DCFC[OI_Year],I$1,tbl_DCFC[OI_Month],IF(RIGHT(I$2,3)="YTD","&lt;="&amp;LEFT(I$2,2)*1,I$2),tbl_DCFC[BU_Key],$A12)</f>
        <v/>
      </c>
      <c r="J12" s="788">
        <f>IFERROR(1/J$3,1)*SUMIFS(tbl_DCFC[C Montant € HT],tbl_DCFC[OI_Year],J$1,tbl_DCFC[OI_Month],IF(RIGHT(J$2,3)="YTD","&lt;="&amp;LEFT(J$2,2)*1,J$2),tbl_DCFC[BU_Key],$A12)</f>
        <v/>
      </c>
      <c r="K12" s="788">
        <f>IFERROR(1/K$3,1)*SUMIFS(tbl_DCFC[C Montant € HT],tbl_DCFC[OI_Year],K$1,tbl_DCFC[OI_Month],IF(RIGHT(K$2,3)="YTD","&lt;="&amp;LEFT(K$2,2)*1,K$2),tbl_DCFC[BU_Key],$A12)</f>
        <v/>
      </c>
      <c r="L12" s="788">
        <f>IFERROR(1/L$3,1)*SUMIFS(tbl_DCFC[C Montant € HT],tbl_DCFC[OI_Year],L$1,tbl_DCFC[OI_Month],IF(RIGHT(L$2,3)="YTD","&lt;="&amp;LEFT(L$2,2)*1,L$2),tbl_DCFC[BU_Key],$A12)</f>
        <v/>
      </c>
      <c r="M12" s="788">
        <f>IFERROR(1/M$3,1)*SUMIFS(tbl_DCFC[C Montant € HT],tbl_DCFC[OI_Year],M$1,tbl_DCFC[OI_Month],IF(RIGHT(M$2,3)="YTD","&lt;="&amp;LEFT(M$2,2)*1,M$2),tbl_DCFC[BU_Key],$A12)</f>
        <v/>
      </c>
      <c r="N12" s="788">
        <f>IFERROR(1/N$3,1)*SUMIFS(tbl_DCFC[C Montant € HT],tbl_DCFC[OI_Year],N$1,tbl_DCFC[OI_Month],IF(RIGHT(N$2,3)="YTD","&lt;="&amp;LEFT(N$2,2)*1,N$2),tbl_DCFC[BU_Key],$A12)</f>
        <v/>
      </c>
      <c r="O12" s="788">
        <f>IFERROR(1/O$3,1)*SUMIFS(tbl_DCFC[C Montant € HT],tbl_DCFC[OI_Year],O$1,tbl_DCFC[OI_Month],IF(RIGHT(O$2,3)="YTD","&lt;="&amp;LEFT(O$2,2)*1,O$2),tbl_DCFC[BU_Key],$A12)</f>
        <v/>
      </c>
      <c r="P12" s="788">
        <f>IFERROR(1/P$3,1)*SUMIFS(tbl_DCFC[C Montant € HT],tbl_DCFC[OI_Year],P$1,tbl_DCFC[OI_Month],IF(RIGHT(P$2,3)="YTD","&lt;="&amp;LEFT(P$2,2)*1,P$2),tbl_DCFC[BU_Key],$A12)</f>
        <v/>
      </c>
      <c r="Q12" s="788">
        <f>IFERROR(1/Q$3,1)*SUMIFS(tbl_DCFC[C Montant € HT],tbl_DCFC[OI_Year],Q$1,tbl_DCFC[OI_Month],IF(RIGHT(Q$2,3)="YTD","&lt;="&amp;LEFT(Q$2,2)*1,Q$2),tbl_DCFC[BU_Key],$A12)</f>
        <v/>
      </c>
      <c r="R12" s="788">
        <f>IFERROR(1/R$3,1)*SUMIFS(tbl_DCFC[C Montant € HT],tbl_DCFC[OI_Year],R$1,tbl_DCFC[OI_Month],IF(RIGHT(R$2,3)="YTD","&lt;="&amp;LEFT(R$2,2)*1,R$2),tbl_DCFC[BU_Key],$A12)</f>
        <v/>
      </c>
      <c r="S12" s="788">
        <f>IFERROR(1/S$3,1)*SUMIFS(tbl_DCFC[C Montant € HT],tbl_DCFC[OI_Year],S$1,tbl_DCFC[OI_Month],IF(RIGHT(S$2,3)="YTD","&lt;="&amp;LEFT(S$2,2)*1,S$2),tbl_DCFC[BU_Key],$A12)</f>
        <v/>
      </c>
      <c r="T12" s="788">
        <f>IFERROR(1/T$3,1)*SUMIFS(tbl_DCFC[C Montant € HT],tbl_DCFC[OI_Year],T$1,tbl_DCFC[OI_Month],IF(RIGHT(T$2,3)="YTD","&lt;="&amp;LEFT(T$2,2)*1,T$2),tbl_DCFC[BU_Key],$A12)</f>
        <v/>
      </c>
      <c r="V12" s="788">
        <f>E12</f>
        <v/>
      </c>
      <c r="W12" s="788">
        <f>F12</f>
        <v/>
      </c>
      <c r="X12" s="788">
        <f>G12</f>
        <v/>
      </c>
      <c r="Y12" s="788">
        <f>$G12</f>
        <v/>
      </c>
      <c r="Z12" s="788">
        <f>$G12</f>
        <v/>
      </c>
      <c r="AA12" s="788">
        <f>$G12</f>
        <v/>
      </c>
      <c r="AB12" s="788">
        <f>$G12</f>
        <v/>
      </c>
      <c r="AC12" s="788">
        <f>$G12</f>
        <v/>
      </c>
      <c r="AD12" s="788">
        <f>$G12</f>
        <v/>
      </c>
      <c r="AE12" s="788">
        <f>$G12</f>
        <v/>
      </c>
      <c r="AF12" s="788">
        <f>$G12</f>
        <v/>
      </c>
      <c r="AG12" s="788" t="n"/>
      <c r="AH12" s="788">
        <f>IFERROR(1/AH$3,1)*SUMIFS(tbl_DCFC[C Montant € HT],tbl_DCFC[OI_Year],AH$1,tbl_DCFC[OI_Month],IF(RIGHT(AH$2,3)="YTD","&lt;="&amp;LEFT(AH$2,2)*1,AH$2),tbl_DCFC[BU_Key],$A12)</f>
        <v/>
      </c>
      <c r="AI12" s="788">
        <f>AM12/12*LEFT(AI$2,2)*1</f>
        <v/>
      </c>
      <c r="AJ12" s="789">
        <f>AH12-AI12</f>
        <v/>
      </c>
      <c r="AL12" s="788">
        <f>IFERROR(1/AL$3,1)*SUMIFS(tbl_DCFC[C Montant € HT],tbl_DCFC[OI_Year],AL$1,tbl_DCFC[OI_Month],IF(RIGHT(AL$2,3)="YTD","&lt;="&amp;LEFT(AL$2,2)*1,AL$2),tbl_DCFC[BU_Key],$A12)</f>
        <v/>
      </c>
      <c r="AM12" s="790" t="n">
        <v>0</v>
      </c>
    </row>
    <row r="13" customFormat="1" s="329">
      <c r="B13" s="271" t="n"/>
      <c r="C13" s="260" t="n"/>
      <c r="E13" s="784" t="n"/>
      <c r="F13" s="784" t="n"/>
      <c r="G13" s="785" t="n"/>
      <c r="I13" s="785" t="n"/>
      <c r="J13" s="785" t="n"/>
      <c r="K13" s="785" t="n"/>
      <c r="L13" s="785" t="n"/>
      <c r="M13" s="785" t="n"/>
      <c r="N13" s="784" t="n"/>
      <c r="O13" s="784" t="n"/>
      <c r="P13" s="784" t="n"/>
      <c r="Q13" s="784" t="n"/>
      <c r="R13" s="784" t="n"/>
      <c r="S13" s="784" t="n"/>
      <c r="T13" s="784" t="n"/>
      <c r="V13" s="786" t="n"/>
      <c r="W13" s="786" t="n"/>
      <c r="X13" s="786" t="n"/>
      <c r="Y13" s="784" t="n"/>
      <c r="Z13" s="784" t="n"/>
      <c r="AA13" s="784" t="n"/>
      <c r="AB13" s="784" t="n"/>
      <c r="AC13" s="784" t="n"/>
      <c r="AD13" s="784" t="n"/>
      <c r="AE13" s="784" t="n"/>
      <c r="AF13" s="787" t="n"/>
      <c r="AG13" s="787" t="n"/>
      <c r="AH13" s="256" t="n"/>
      <c r="AI13" s="257" t="n"/>
      <c r="AL13" s="256" t="n"/>
      <c r="AM13" s="258" t="n"/>
    </row>
    <row r="14" hidden="1" outlineLevel="1" customFormat="1" s="329">
      <c r="B14" s="336" t="inlineStr">
        <is>
          <t>Order Intake by PSP HYFR Group</t>
        </is>
      </c>
      <c r="C14" s="260" t="n"/>
      <c r="E14" s="784" t="n"/>
      <c r="F14" s="784" t="n"/>
      <c r="G14" s="785" t="n"/>
      <c r="I14" s="785" t="n"/>
      <c r="J14" s="785" t="n"/>
      <c r="K14" s="785" t="n"/>
      <c r="L14" s="785" t="n"/>
      <c r="M14" s="785" t="n"/>
      <c r="N14" s="784" t="n"/>
      <c r="O14" s="784" t="n"/>
      <c r="P14" s="784" t="n"/>
      <c r="Q14" s="784" t="n"/>
      <c r="R14" s="784" t="n"/>
      <c r="S14" s="784" t="n"/>
      <c r="T14" s="784" t="n"/>
      <c r="V14" s="786" t="n"/>
      <c r="W14" s="786" t="n"/>
      <c r="X14" s="786" t="n"/>
      <c r="Y14" s="784" t="n"/>
      <c r="Z14" s="784" t="n"/>
      <c r="AA14" s="784" t="n"/>
      <c r="AB14" s="784" t="n"/>
      <c r="AC14" s="784" t="n"/>
      <c r="AD14" s="784" t="n"/>
      <c r="AE14" s="784" t="n"/>
      <c r="AF14" s="787" t="n"/>
      <c r="AG14" s="787" t="n"/>
      <c r="AH14" s="256" t="n"/>
      <c r="AI14" s="257" t="n"/>
      <c r="AL14" s="256" t="n"/>
      <c r="AM14" s="258" t="n"/>
    </row>
    <row r="15" hidden="1" outlineLevel="1" s="701">
      <c r="A15" s="160" t="inlineStr">
        <is>
          <t>TT-CP-00107-20</t>
        </is>
      </c>
      <c r="B15" s="267" t="inlineStr">
        <is>
          <t>ENGINEERING AIA</t>
        </is>
      </c>
      <c r="C15" s="349" t="inlineStr">
        <is>
          <t>k €</t>
        </is>
      </c>
      <c r="E15" s="788">
        <f>$AL15/E$3</f>
        <v/>
      </c>
      <c r="F15" s="788">
        <f>IFERROR(1/F$3,1)*SUMIFS(Data!$S$3:$S$305,Data!$O$3:$O$305,F$1,Data!$P$3:$P$305,IF(RIGHT(F$2,3)="YTD","&lt;="&amp;LEFT(F$2,2)*1,F$2),Data!$K$3:$K$305,$B15)</f>
        <v/>
      </c>
      <c r="G15" s="788">
        <f>AM15/12</f>
        <v/>
      </c>
      <c r="I15" s="788">
        <f>IFERROR(1/I$3,1)*SUMIFS(Data!$S$3:$S$305,Data!$O$3:$O$305,I$1,Data!$P$3:$P$305,IF(RIGHT(I$2,3)="YTD","&lt;="&amp;LEFT(I$2,2)*1,I$2),Data!$K$3:$K$305,$B15)</f>
        <v/>
      </c>
      <c r="J15" s="788">
        <f>IFERROR(1/J$3,1)*SUMIFS(Data!$S$3:$S$305,Data!$O$3:$O$305,J$1,Data!$P$3:$P$305,IF(RIGHT(J$2,3)="YTD","&lt;="&amp;LEFT(J$2,2)*1,J$2),Data!$K$3:$K$305,$B15)</f>
        <v/>
      </c>
      <c r="K15" s="788">
        <f>IFERROR(1/K$3,1)*SUMIFS(Data!$S$3:$S$305,Data!$O$3:$O$305,K$1,Data!$P$3:$P$305,IF(RIGHT(K$2,3)="YTD","&lt;="&amp;LEFT(K$2,2)*1,K$2),Data!$K$3:$K$305,$B15)</f>
        <v/>
      </c>
      <c r="L15" s="788">
        <f>IFERROR(1/L$3,1)*SUMIFS(Data!$S$3:$S$305,Data!$O$3:$O$305,L$1,Data!$P$3:$P$305,IF(RIGHT(L$2,3)="YTD","&lt;="&amp;LEFT(L$2,2)*1,L$2),Data!$K$3:$K$305,$B15)</f>
        <v/>
      </c>
      <c r="M15" s="788">
        <f>IFERROR(1/M$3,1)*SUMIFS(Data!$S$3:$S$305,Data!$O$3:$O$305,M$1,Data!$P$3:$P$305,IF(RIGHT(M$2,3)="YTD","&lt;="&amp;LEFT(M$2,2)*1,M$2),Data!$K$3:$K$305,$B15)</f>
        <v/>
      </c>
      <c r="N15" s="788">
        <f>SUMIFS(Data!$S$3:$S$305,Data!$O$3:$O$305,N$1,Data!$P$3:$P$305,N$2,Data!$K$3:$K$305,$B15)</f>
        <v/>
      </c>
      <c r="O15" s="788">
        <f>SUMIFS(Data!$S$3:$S$305,Data!$O$3:$O$305,O$1,Data!$P$3:$P$305,O$2,Data!$K$3:$K$305,$B15)</f>
        <v/>
      </c>
      <c r="P15" s="788">
        <f>SUMIFS(Data!$S$3:$S$305,Data!$O$3:$O$305,P$1,Data!$P$3:$P$305,P$2,Data!$K$3:$K$305,$B15)</f>
        <v/>
      </c>
      <c r="Q15" s="788">
        <f>SUMIFS(Data!$S$3:$S$305,Data!$O$3:$O$305,Q$1,Data!$P$3:$P$305,Q$2,Data!$K$3:$K$305,$B15)</f>
        <v/>
      </c>
      <c r="R15" s="788">
        <f>SUMIFS(Data!$S$3:$S$305,Data!$O$3:$O$305,R$1,Data!$P$3:$P$305,R$2,Data!$K$3:$K$305,$B15)</f>
        <v/>
      </c>
      <c r="S15" s="791">
        <f>SUMIFS(Data!$S$3:$S$305,Data!$O$3:$O$305,S$1,Data!$P$3:$P$305,S$2,Data!$K$3:$K$305,$B15)</f>
        <v/>
      </c>
      <c r="T15" s="791">
        <f>SUMIFS(Data!$S$3:$S$305,Data!$O$3:$O$305,T$1,Data!$P$3:$P$305,T$2,Data!$K$3:$K$305,$B15)</f>
        <v/>
      </c>
      <c r="V15" s="788">
        <f>E15</f>
        <v/>
      </c>
      <c r="W15" s="788">
        <f>F15</f>
        <v/>
      </c>
      <c r="X15" s="788">
        <f>G15</f>
        <v/>
      </c>
      <c r="Y15" s="788">
        <f>$G15</f>
        <v/>
      </c>
      <c r="Z15" s="788">
        <f>$G15</f>
        <v/>
      </c>
      <c r="AA15" s="788">
        <f>$G15</f>
        <v/>
      </c>
      <c r="AB15" s="788">
        <f>$G15</f>
        <v/>
      </c>
      <c r="AC15" s="788">
        <f>$G15</f>
        <v/>
      </c>
      <c r="AD15" s="788">
        <f>$G15</f>
        <v/>
      </c>
      <c r="AE15" s="788">
        <f>$G15</f>
        <v/>
      </c>
      <c r="AF15" s="788">
        <f>$G15</f>
        <v/>
      </c>
      <c r="AG15" s="788" t="n"/>
      <c r="AH15" s="788">
        <f>IFERROR(1/AH$3,1)*SUMIFS(Data!$S$3:$S$305,Data!$O$3:$O$305,AH$1,Data!$P$3:$P$305,IF(RIGHT(AH$2,3)="YTD","&lt;="&amp;LEFT(AH$2,2)*1,AH$2),Data!$K$3:$K$305,$B15)</f>
        <v/>
      </c>
      <c r="AI15" s="788">
        <f>AM15/12*LEFT(AI$2,2)*1</f>
        <v/>
      </c>
      <c r="AJ15" s="789">
        <f>AH15-AI15</f>
        <v/>
      </c>
      <c r="AL15" s="788" t="n">
        <v>5075</v>
      </c>
      <c r="AM15" s="788" t="n">
        <v>370000</v>
      </c>
    </row>
    <row r="16" hidden="1" outlineLevel="1" s="701">
      <c r="A16" t="inlineStr">
        <is>
          <t>TT-CP-00108-20</t>
        </is>
      </c>
      <c r="B16" s="267" t="inlineStr">
        <is>
          <t>ENGINEERING IC</t>
        </is>
      </c>
      <c r="C16" s="349" t="inlineStr">
        <is>
          <t>k €</t>
        </is>
      </c>
      <c r="E16" s="788">
        <f>$AL16/E$3</f>
        <v/>
      </c>
      <c r="F16" s="788">
        <f>IFERROR(1/F$3,1)*SUMIFS(Data!$S$3:$S$305,Data!$O$3:$O$305,F$1,Data!$P$3:$P$305,IF(RIGHT(F$2,3)="YTD","&lt;="&amp;LEFT(F$2,2)*1,F$2),Data!$K$3:$K$305,$B16)</f>
        <v/>
      </c>
      <c r="G16" s="788">
        <f>AM16/12</f>
        <v/>
      </c>
      <c r="I16" s="788">
        <f>IFERROR(1/I$3,1)*SUMIFS(Data!$S$3:$S$305,Data!$O$3:$O$305,I$1,Data!$P$3:$P$305,IF(RIGHT(I$2,3)="YTD","&lt;="&amp;LEFT(I$2,2)*1,I$2),Data!$K$3:$K$305,$B16)</f>
        <v/>
      </c>
      <c r="J16" s="788">
        <f>IFERROR(1/J$3,1)*SUMIFS(Data!$S$3:$S$305,Data!$O$3:$O$305,J$1,Data!$P$3:$P$305,IF(RIGHT(J$2,3)="YTD","&lt;="&amp;LEFT(J$2,2)*1,J$2),Data!$K$3:$K$305,$B16)</f>
        <v/>
      </c>
      <c r="K16" s="788">
        <f>IFERROR(1/K$3,1)*SUMIFS(Data!$S$3:$S$305,Data!$O$3:$O$305,K$1,Data!$P$3:$P$305,IF(RIGHT(K$2,3)="YTD","&lt;="&amp;LEFT(K$2,2)*1,K$2),Data!$K$3:$K$305,$B16)</f>
        <v/>
      </c>
      <c r="L16" s="788">
        <f>IFERROR(1/L$3,1)*SUMIFS(Data!$S$3:$S$305,Data!$O$3:$O$305,L$1,Data!$P$3:$P$305,IF(RIGHT(L$2,3)="YTD","&lt;="&amp;LEFT(L$2,2)*1,L$2),Data!$K$3:$K$305,$B16)</f>
        <v/>
      </c>
      <c r="M16" s="788">
        <f>IFERROR(1/M$3,1)*SUMIFS(Data!$S$3:$S$305,Data!$O$3:$O$305,M$1,Data!$P$3:$P$305,IF(RIGHT(M$2,3)="YTD","&lt;="&amp;LEFT(M$2,2)*1,M$2),Data!$K$3:$K$305,$B16)</f>
        <v/>
      </c>
      <c r="N16" s="788">
        <f>SUMIFS(Data!$S$3:$S$305,Data!$O$3:$O$305,N$1,Data!$P$3:$P$305,N$2,Data!$K$3:$K$305,$B16)</f>
        <v/>
      </c>
      <c r="O16" s="788">
        <f>SUMIFS(Data!$S$3:$S$305,Data!$O$3:$O$305,O$1,Data!$P$3:$P$305,O$2,Data!$K$3:$K$305,$B16)</f>
        <v/>
      </c>
      <c r="P16" s="788">
        <f>SUMIFS(Data!$S$3:$S$305,Data!$O$3:$O$305,P$1,Data!$P$3:$P$305,P$2,Data!$K$3:$K$305,$B16)</f>
        <v/>
      </c>
      <c r="Q16" s="788">
        <f>SUMIFS(Data!$S$3:$S$305,Data!$O$3:$O$305,Q$1,Data!$P$3:$P$305,Q$2,Data!$K$3:$K$305,$B16)</f>
        <v/>
      </c>
      <c r="R16" s="788">
        <f>SUMIFS(Data!$S$3:$S$305,Data!$O$3:$O$305,R$1,Data!$P$3:$P$305,R$2,Data!$K$3:$K$305,$B16)</f>
        <v/>
      </c>
      <c r="S16" s="791">
        <f>SUMIFS(Data!$S$3:$S$305,Data!$O$3:$O$305,S$1,Data!$P$3:$P$305,S$2,Data!$K$3:$K$305,$B16)</f>
        <v/>
      </c>
      <c r="T16" s="791">
        <f>SUMIFS(Data!$S$3:$S$305,Data!$O$3:$O$305,T$1,Data!$P$3:$P$305,T$2,Data!$K$3:$K$305,$B16)</f>
        <v/>
      </c>
      <c r="V16" s="788">
        <f>E16</f>
        <v/>
      </c>
      <c r="W16" s="788">
        <f>F16</f>
        <v/>
      </c>
      <c r="X16" s="788">
        <f>G16</f>
        <v/>
      </c>
      <c r="Y16" s="788">
        <f>$G16</f>
        <v/>
      </c>
      <c r="Z16" s="788">
        <f>$G16</f>
        <v/>
      </c>
      <c r="AA16" s="788">
        <f>$G16</f>
        <v/>
      </c>
      <c r="AB16" s="788">
        <f>$G16</f>
        <v/>
      </c>
      <c r="AC16" s="788">
        <f>$G16</f>
        <v/>
      </c>
      <c r="AD16" s="788">
        <f>$G16</f>
        <v/>
      </c>
      <c r="AE16" s="788">
        <f>$G16</f>
        <v/>
      </c>
      <c r="AF16" s="788">
        <f>$G16</f>
        <v/>
      </c>
      <c r="AG16" s="788" t="n"/>
      <c r="AH16" s="788">
        <f>IFERROR(1/AH$3,1)*SUMIFS(Data!$S$3:$S$305,Data!$O$3:$O$305,AH$1,Data!$P$3:$P$305,IF(RIGHT(AH$2,3)="YTD","&lt;="&amp;LEFT(AH$2,2)*1,AH$2),Data!$K$3:$K$305,$B16)</f>
        <v/>
      </c>
      <c r="AI16" s="788">
        <f>AM16/12*LEFT(AI$2,2)*1</f>
        <v/>
      </c>
      <c r="AJ16" s="789">
        <f>AH16-AI16</f>
        <v/>
      </c>
      <c r="AL16" s="788" t="n">
        <v>11490</v>
      </c>
      <c r="AM16" s="788" t="n">
        <v>0</v>
      </c>
    </row>
    <row r="17" hidden="1" outlineLevel="1" s="701">
      <c r="B17" s="267" t="inlineStr">
        <is>
          <t>FCP AIA</t>
        </is>
      </c>
      <c r="C17" s="349" t="inlineStr">
        <is>
          <t>k €</t>
        </is>
      </c>
      <c r="E17" s="788">
        <f>$AL17/E$3</f>
        <v/>
      </c>
      <c r="F17" s="788">
        <f>IFERROR(1/F$3,1)*SUMIFS(Data!$S$3:$S$305,Data!$O$3:$O$305,F$1,Data!$P$3:$P$305,IF(RIGHT(F$2,3)="YTD","&lt;="&amp;LEFT(F$2,2)*1,F$2),Data!$K$3:$K$305,$B17)</f>
        <v/>
      </c>
      <c r="G17" s="788">
        <f>AM17/12</f>
        <v/>
      </c>
      <c r="I17" s="788">
        <f>IFERROR(1/I$3,1)*SUMIFS(Data!$S$3:$S$305,Data!$O$3:$O$305,I$1,Data!$P$3:$P$305,IF(RIGHT(I$2,3)="YTD","&lt;="&amp;LEFT(I$2,2)*1,I$2),Data!$K$3:$K$305,$B17)</f>
        <v/>
      </c>
      <c r="J17" s="788">
        <f>IFERROR(1/J$3,1)*SUMIFS(Data!$S$3:$S$305,Data!$O$3:$O$305,J$1,Data!$P$3:$P$305,IF(RIGHT(J$2,3)="YTD","&lt;="&amp;LEFT(J$2,2)*1,J$2),Data!$K$3:$K$305,$B17)</f>
        <v/>
      </c>
      <c r="K17" s="788">
        <f>IFERROR(1/K$3,1)*SUMIFS(Data!$S$3:$S$305,Data!$O$3:$O$305,K$1,Data!$P$3:$P$305,IF(RIGHT(K$2,3)="YTD","&lt;="&amp;LEFT(K$2,2)*1,K$2),Data!$K$3:$K$305,$B17)</f>
        <v/>
      </c>
      <c r="L17" s="788">
        <f>IFERROR(1/L$3,1)*SUMIFS(Data!$S$3:$S$305,Data!$O$3:$O$305,L$1,Data!$P$3:$P$305,IF(RIGHT(L$2,3)="YTD","&lt;="&amp;LEFT(L$2,2)*1,L$2),Data!$K$3:$K$305,$B17)</f>
        <v/>
      </c>
      <c r="M17" s="788">
        <f>IFERROR(1/M$3,1)*SUMIFS(Data!$S$3:$S$305,Data!$O$3:$O$305,M$1,Data!$P$3:$P$305,IF(RIGHT(M$2,3)="YTD","&lt;="&amp;LEFT(M$2,2)*1,M$2),Data!$K$3:$K$305,$B17)</f>
        <v/>
      </c>
      <c r="N17" s="788">
        <f>SUMIFS(Data!$S$3:$S$305,Data!$O$3:$O$305,N$1,Data!$P$3:$P$305,N$2,Data!$K$3:$K$305,$B17)</f>
        <v/>
      </c>
      <c r="O17" s="788">
        <f>SUMIFS(Data!$S$3:$S$305,Data!$O$3:$O$305,O$1,Data!$P$3:$P$305,O$2,Data!$K$3:$K$305,$B17)</f>
        <v/>
      </c>
      <c r="P17" s="788">
        <f>SUMIFS(Data!$S$3:$S$305,Data!$O$3:$O$305,P$1,Data!$P$3:$P$305,P$2,Data!$K$3:$K$305,$B17)</f>
        <v/>
      </c>
      <c r="Q17" s="788">
        <f>SUMIFS(Data!$S$3:$S$305,Data!$O$3:$O$305,Q$1,Data!$P$3:$P$305,Q$2,Data!$K$3:$K$305,$B17)</f>
        <v/>
      </c>
      <c r="R17" s="788">
        <f>SUMIFS(Data!$S$3:$S$305,Data!$O$3:$O$305,R$1,Data!$P$3:$P$305,R$2,Data!$K$3:$K$305,$B17)</f>
        <v/>
      </c>
      <c r="S17" s="791">
        <f>SUMIFS(Data!$S$3:$S$305,Data!$O$3:$O$305,S$1,Data!$P$3:$P$305,S$2,Data!$K$3:$K$305,$B17)</f>
        <v/>
      </c>
      <c r="T17" s="791">
        <f>SUMIFS(Data!$S$3:$S$305,Data!$O$3:$O$305,T$1,Data!$P$3:$P$305,T$2,Data!$K$3:$K$305,$B17)</f>
        <v/>
      </c>
      <c r="V17" s="788">
        <f>E17</f>
        <v/>
      </c>
      <c r="W17" s="788">
        <f>F17</f>
        <v/>
      </c>
      <c r="X17" s="788">
        <f>G17</f>
        <v/>
      </c>
      <c r="Y17" s="788">
        <f>$G17</f>
        <v/>
      </c>
      <c r="Z17" s="788">
        <f>$G17</f>
        <v/>
      </c>
      <c r="AA17" s="788">
        <f>$G17</f>
        <v/>
      </c>
      <c r="AB17" s="788">
        <f>$G17</f>
        <v/>
      </c>
      <c r="AC17" s="788">
        <f>$G17</f>
        <v/>
      </c>
      <c r="AD17" s="788">
        <f>$G17</f>
        <v/>
      </c>
      <c r="AE17" s="788">
        <f>$G17</f>
        <v/>
      </c>
      <c r="AF17" s="788">
        <f>$G17</f>
        <v/>
      </c>
      <c r="AG17" s="788" t="n"/>
      <c r="AH17" s="788">
        <f>IFERROR(1/AH$3,1)*SUMIFS(Data!$S$3:$S$305,Data!$O$3:$O$305,AH$1,Data!$P$3:$P$305,IF(RIGHT(AH$2,3)="YTD","&lt;="&amp;LEFT(AH$2,2)*1,AH$2),Data!$K$3:$K$305,$B17)</f>
        <v/>
      </c>
      <c r="AI17" s="788">
        <f>AM17/12*LEFT(AI$2,2)*1</f>
        <v/>
      </c>
      <c r="AJ17" s="789">
        <f>AH17-AI17</f>
        <v/>
      </c>
      <c r="AL17" s="788" t="n">
        <v>534520</v>
      </c>
      <c r="AM17" s="788" t="n">
        <v>0</v>
      </c>
    </row>
    <row r="18" hidden="1" outlineLevel="1" s="701">
      <c r="A18" t="inlineStr">
        <is>
          <t>TT-CP-00103-20</t>
        </is>
      </c>
      <c r="B18" s="267" t="inlineStr">
        <is>
          <t>FCP OTHER AIA</t>
        </is>
      </c>
      <c r="C18" s="349" t="inlineStr">
        <is>
          <t>k €</t>
        </is>
      </c>
      <c r="E18" s="788">
        <f>$AL18/E$3</f>
        <v/>
      </c>
      <c r="F18" s="788">
        <f>IFERROR(1/F$3,1)*SUMIFS(Data!$S$3:$S$305,Data!$O$3:$O$305,F$1,Data!$P$3:$P$305,IF(RIGHT(F$2,3)="YTD","&lt;="&amp;LEFT(F$2,2)*1,F$2),Data!$K$3:$K$305,$B18)</f>
        <v/>
      </c>
      <c r="G18" s="788">
        <f>AM18/12</f>
        <v/>
      </c>
      <c r="I18" s="788">
        <f>IFERROR(1/I$3,1)*SUMIFS(Data!$S$3:$S$305,Data!$O$3:$O$305,I$1,Data!$P$3:$P$305,IF(RIGHT(I$2,3)="YTD","&lt;="&amp;LEFT(I$2,2)*1,I$2),Data!$K$3:$K$305,$B18)</f>
        <v/>
      </c>
      <c r="J18" s="788">
        <f>IFERROR(1/J$3,1)*SUMIFS(Data!$S$3:$S$305,Data!$O$3:$O$305,J$1,Data!$P$3:$P$305,IF(RIGHT(J$2,3)="YTD","&lt;="&amp;LEFT(J$2,2)*1,J$2),Data!$K$3:$K$305,$B18)</f>
        <v/>
      </c>
      <c r="K18" s="788">
        <f>IFERROR(1/K$3,1)*SUMIFS(Data!$S$3:$S$305,Data!$O$3:$O$305,K$1,Data!$P$3:$P$305,IF(RIGHT(K$2,3)="YTD","&lt;="&amp;LEFT(K$2,2)*1,K$2),Data!$K$3:$K$305,$B18)</f>
        <v/>
      </c>
      <c r="L18" s="788">
        <f>IFERROR(1/L$3,1)*SUMIFS(Data!$S$3:$S$305,Data!$O$3:$O$305,L$1,Data!$P$3:$P$305,IF(RIGHT(L$2,3)="YTD","&lt;="&amp;LEFT(L$2,2)*1,L$2),Data!$K$3:$K$305,$B18)</f>
        <v/>
      </c>
      <c r="M18" s="788">
        <f>IFERROR(1/M$3,1)*SUMIFS(Data!$S$3:$S$305,Data!$O$3:$O$305,M$1,Data!$P$3:$P$305,IF(RIGHT(M$2,3)="YTD","&lt;="&amp;LEFT(M$2,2)*1,M$2),Data!$K$3:$K$305,$B18)</f>
        <v/>
      </c>
      <c r="N18" s="788">
        <f>SUMIFS(Data!$S$3:$S$305,Data!$O$3:$O$305,N$1,Data!$P$3:$P$305,N$2,Data!$K$3:$K$305,$B18)</f>
        <v/>
      </c>
      <c r="O18" s="788">
        <f>SUMIFS(Data!$S$3:$S$305,Data!$O$3:$O$305,O$1,Data!$P$3:$P$305,O$2,Data!$K$3:$K$305,$B18)</f>
        <v/>
      </c>
      <c r="P18" s="788">
        <f>SUMIFS(Data!$S$3:$S$305,Data!$O$3:$O$305,P$1,Data!$P$3:$P$305,P$2,Data!$K$3:$K$305,$B18)</f>
        <v/>
      </c>
      <c r="Q18" s="788">
        <f>SUMIFS(Data!$S$3:$S$305,Data!$O$3:$O$305,Q$1,Data!$P$3:$P$305,Q$2,Data!$K$3:$K$305,$B18)</f>
        <v/>
      </c>
      <c r="R18" s="788">
        <f>SUMIFS(Data!$S$3:$S$305,Data!$O$3:$O$305,R$1,Data!$P$3:$P$305,R$2,Data!$K$3:$K$305,$B18)</f>
        <v/>
      </c>
      <c r="S18" s="791">
        <f>SUMIFS(Data!$S$3:$S$305,Data!$O$3:$O$305,S$1,Data!$P$3:$P$305,S$2,Data!$K$3:$K$305,$B18)</f>
        <v/>
      </c>
      <c r="T18" s="791">
        <f>SUMIFS(Data!$S$3:$S$305,Data!$O$3:$O$305,T$1,Data!$P$3:$P$305,T$2,Data!$K$3:$K$305,$B18)</f>
        <v/>
      </c>
      <c r="V18" s="788">
        <f>E18</f>
        <v/>
      </c>
      <c r="W18" s="788">
        <f>F18</f>
        <v/>
      </c>
      <c r="X18" s="788">
        <f>G18</f>
        <v/>
      </c>
      <c r="Y18" s="788">
        <f>$G18</f>
        <v/>
      </c>
      <c r="Z18" s="788">
        <f>$G18</f>
        <v/>
      </c>
      <c r="AA18" s="788">
        <f>$G18</f>
        <v/>
      </c>
      <c r="AB18" s="788">
        <f>$G18</f>
        <v/>
      </c>
      <c r="AC18" s="788">
        <f>$G18</f>
        <v/>
      </c>
      <c r="AD18" s="788">
        <f>$G18</f>
        <v/>
      </c>
      <c r="AE18" s="788">
        <f>$G18</f>
        <v/>
      </c>
      <c r="AF18" s="788">
        <f>$G18</f>
        <v/>
      </c>
      <c r="AG18" s="788" t="n"/>
      <c r="AH18" s="788">
        <f>IFERROR(1/AH$3,1)*SUMIFS(Data!$S$3:$S$305,Data!$O$3:$O$305,AH$1,Data!$P$3:$P$305,IF(RIGHT(AH$2,3)="YTD","&lt;="&amp;LEFT(AH$2,2)*1,AH$2),Data!$K$3:$K$305,$B18)</f>
        <v/>
      </c>
      <c r="AI18" s="788">
        <f>AM18/12*LEFT(AI$2,2)*1</f>
        <v/>
      </c>
      <c r="AJ18" s="789">
        <f>AH18-AI18</f>
        <v/>
      </c>
      <c r="AL18" s="788" t="n">
        <v>13410</v>
      </c>
      <c r="AM18" s="788" t="n">
        <v>0</v>
      </c>
    </row>
    <row r="19" hidden="1" outlineLevel="1" s="701">
      <c r="A19" t="inlineStr">
        <is>
          <t>TT-CP-00109-20</t>
        </is>
      </c>
      <c r="B19" s="267" t="inlineStr">
        <is>
          <t>GSE to AIA</t>
        </is>
      </c>
      <c r="C19" s="349" t="inlineStr">
        <is>
          <t>k €</t>
        </is>
      </c>
      <c r="E19" s="788">
        <f>$AL19/E$3</f>
        <v/>
      </c>
      <c r="F19" s="788">
        <f>IFERROR(1/F$3,1)*SUMIFS(Data!$S$3:$S$305,Data!$O$3:$O$305,F$1,Data!$P$3:$P$305,IF(RIGHT(F$2,3)="YTD","&lt;="&amp;LEFT(F$2,2)*1,F$2),Data!$K$3:$K$305,$B19)</f>
        <v/>
      </c>
      <c r="G19" s="788">
        <f>AM19/12</f>
        <v/>
      </c>
      <c r="I19" s="788">
        <f>IFERROR(1/I$3,1)*SUMIFS(Data!$S$3:$S$305,Data!$O$3:$O$305,I$1,Data!$P$3:$P$305,IF(RIGHT(I$2,3)="YTD","&lt;="&amp;LEFT(I$2,2)*1,I$2),Data!$K$3:$K$305,$B19)</f>
        <v/>
      </c>
      <c r="J19" s="788">
        <f>IFERROR(1/J$3,1)*SUMIFS(Data!$S$3:$S$305,Data!$O$3:$O$305,J$1,Data!$P$3:$P$305,IF(RIGHT(J$2,3)="YTD","&lt;="&amp;LEFT(J$2,2)*1,J$2),Data!$K$3:$K$305,$B19)</f>
        <v/>
      </c>
      <c r="K19" s="788">
        <f>IFERROR(1/K$3,1)*SUMIFS(Data!$S$3:$S$305,Data!$O$3:$O$305,K$1,Data!$P$3:$P$305,IF(RIGHT(K$2,3)="YTD","&lt;="&amp;LEFT(K$2,2)*1,K$2),Data!$K$3:$K$305,$B19)</f>
        <v/>
      </c>
      <c r="L19" s="788">
        <f>IFERROR(1/L$3,1)*SUMIFS(Data!$S$3:$S$305,Data!$O$3:$O$305,L$1,Data!$P$3:$P$305,IF(RIGHT(L$2,3)="YTD","&lt;="&amp;LEFT(L$2,2)*1,L$2),Data!$K$3:$K$305,$B19)</f>
        <v/>
      </c>
      <c r="M19" s="788">
        <f>IFERROR(1/M$3,1)*SUMIFS(Data!$S$3:$S$305,Data!$O$3:$O$305,M$1,Data!$P$3:$P$305,IF(RIGHT(M$2,3)="YTD","&lt;="&amp;LEFT(M$2,2)*1,M$2),Data!$K$3:$K$305,$B19)</f>
        <v/>
      </c>
      <c r="N19" s="788">
        <f>SUMIFS(Data!$S$3:$S$305,Data!$O$3:$O$305,N$1,Data!$P$3:$P$305,N$2,Data!$K$3:$K$305,$B19)</f>
        <v/>
      </c>
      <c r="O19" s="788">
        <f>SUMIFS(Data!$S$3:$S$305,Data!$O$3:$O$305,O$1,Data!$P$3:$P$305,O$2,Data!$K$3:$K$305,$B19)</f>
        <v/>
      </c>
      <c r="P19" s="788">
        <f>SUMIFS(Data!$S$3:$S$305,Data!$O$3:$O$305,P$1,Data!$P$3:$P$305,P$2,Data!$K$3:$K$305,$B19)</f>
        <v/>
      </c>
      <c r="Q19" s="788">
        <f>SUMIFS(Data!$S$3:$S$305,Data!$O$3:$O$305,Q$1,Data!$P$3:$P$305,Q$2,Data!$K$3:$K$305,$B19)</f>
        <v/>
      </c>
      <c r="R19" s="788">
        <f>SUMIFS(Data!$S$3:$S$305,Data!$O$3:$O$305,R$1,Data!$P$3:$P$305,R$2,Data!$K$3:$K$305,$B19)</f>
        <v/>
      </c>
      <c r="S19" s="791">
        <f>SUMIFS(Data!$S$3:$S$305,Data!$O$3:$O$305,S$1,Data!$P$3:$P$305,S$2,Data!$K$3:$K$305,$B19)</f>
        <v/>
      </c>
      <c r="T19" s="791">
        <f>SUMIFS(Data!$S$3:$S$305,Data!$O$3:$O$305,T$1,Data!$P$3:$P$305,T$2,Data!$K$3:$K$305,$B19)</f>
        <v/>
      </c>
      <c r="V19" s="788">
        <f>E19</f>
        <v/>
      </c>
      <c r="W19" s="788">
        <f>F19</f>
        <v/>
      </c>
      <c r="X19" s="788">
        <f>G19</f>
        <v/>
      </c>
      <c r="Y19" s="788">
        <f>$G19</f>
        <v/>
      </c>
      <c r="Z19" s="788">
        <f>$G19</f>
        <v/>
      </c>
      <c r="AA19" s="788">
        <f>$G19</f>
        <v/>
      </c>
      <c r="AB19" s="788">
        <f>$G19</f>
        <v/>
      </c>
      <c r="AC19" s="788">
        <f>$G19</f>
        <v/>
      </c>
      <c r="AD19" s="788">
        <f>$G19</f>
        <v/>
      </c>
      <c r="AE19" s="788">
        <f>$G19</f>
        <v/>
      </c>
      <c r="AF19" s="788">
        <f>$G19</f>
        <v/>
      </c>
      <c r="AG19" s="788" t="n"/>
      <c r="AH19" s="788">
        <f>IFERROR(1/AH$3,1)*SUMIFS(Data!$S$3:$S$305,Data!$O$3:$O$305,AH$1,Data!$P$3:$P$305,IF(RIGHT(AH$2,3)="YTD","&lt;="&amp;LEFT(AH$2,2)*1,AH$2),Data!$K$3:$K$305,$B19)</f>
        <v/>
      </c>
      <c r="AI19" s="788">
        <f>AM19/12*LEFT(AI$2,2)*1</f>
        <v/>
      </c>
      <c r="AJ19" s="789">
        <f>AH19-AI19</f>
        <v/>
      </c>
      <c r="AL19" s="788" t="n">
        <v>103515</v>
      </c>
      <c r="AM19" s="790" t="n">
        <v>0</v>
      </c>
    </row>
    <row r="20" hidden="1" outlineLevel="1" s="701">
      <c r="A20" s="160" t="inlineStr">
        <is>
          <t>TT-CP-00101-20</t>
        </is>
      </c>
      <c r="B20" s="267" t="inlineStr">
        <is>
          <t>SERVICE AIA</t>
        </is>
      </c>
      <c r="C20" s="349" t="inlineStr">
        <is>
          <t>k €</t>
        </is>
      </c>
      <c r="E20" s="788">
        <f>$AL20/E$3</f>
        <v/>
      </c>
      <c r="F20" s="788">
        <f>IFERROR(1/F$3,1)*SUMIFS(Data!$S$3:$S$305,Data!$O$3:$O$305,F$1,Data!$P$3:$P$305,IF(RIGHT(F$2,3)="YTD","&lt;="&amp;LEFT(F$2,2)*1,F$2),Data!$K$3:$K$305,$B20)</f>
        <v/>
      </c>
      <c r="G20" s="788">
        <f>AM20/12</f>
        <v/>
      </c>
      <c r="I20" s="788">
        <f>IFERROR(1/I$3,1)*SUMIFS(Data!$S$3:$S$305,Data!$O$3:$O$305,I$1,Data!$P$3:$P$305,IF(RIGHT(I$2,3)="YTD","&lt;="&amp;LEFT(I$2,2)*1,I$2),Data!$K$3:$K$305,$B20)</f>
        <v/>
      </c>
      <c r="J20" s="788">
        <f>IFERROR(1/J$3,1)*SUMIFS(Data!$S$3:$S$305,Data!$O$3:$O$305,J$1,Data!$P$3:$P$305,IF(RIGHT(J$2,3)="YTD","&lt;="&amp;LEFT(J$2,2)*1,J$2),Data!$K$3:$K$305,$B20)</f>
        <v/>
      </c>
      <c r="K20" s="788">
        <f>IFERROR(1/K$3,1)*SUMIFS(Data!$S$3:$S$305,Data!$O$3:$O$305,K$1,Data!$P$3:$P$305,IF(RIGHT(K$2,3)="YTD","&lt;="&amp;LEFT(K$2,2)*1,K$2),Data!$K$3:$K$305,$B20)</f>
        <v/>
      </c>
      <c r="L20" s="788">
        <f>IFERROR(1/L$3,1)*SUMIFS(Data!$S$3:$S$305,Data!$O$3:$O$305,L$1,Data!$P$3:$P$305,IF(RIGHT(L$2,3)="YTD","&lt;="&amp;LEFT(L$2,2)*1,L$2),Data!$K$3:$K$305,$B20)</f>
        <v/>
      </c>
      <c r="M20" s="788">
        <f>IFERROR(1/M$3,1)*SUMIFS(Data!$S$3:$S$305,Data!$O$3:$O$305,M$1,Data!$P$3:$P$305,IF(RIGHT(M$2,3)="YTD","&lt;="&amp;LEFT(M$2,2)*1,M$2),Data!$K$3:$K$305,$B20)</f>
        <v/>
      </c>
      <c r="N20" s="788">
        <f>SUMIFS(Data!$S$3:$S$305,Data!$O$3:$O$305,N$1,Data!$P$3:$P$305,N$2,Data!$K$3:$K$305,$B20)</f>
        <v/>
      </c>
      <c r="O20" s="788">
        <f>SUMIFS(Data!$S$3:$S$305,Data!$O$3:$O$305,O$1,Data!$P$3:$P$305,O$2,Data!$K$3:$K$305,$B20)</f>
        <v/>
      </c>
      <c r="P20" s="788">
        <f>SUMIFS(Data!$S$3:$S$305,Data!$O$3:$O$305,P$1,Data!$P$3:$P$305,P$2,Data!$K$3:$K$305,$B20)</f>
        <v/>
      </c>
      <c r="Q20" s="788">
        <f>SUMIFS(Data!$S$3:$S$305,Data!$O$3:$O$305,Q$1,Data!$P$3:$P$305,Q$2,Data!$K$3:$K$305,$B20)</f>
        <v/>
      </c>
      <c r="R20" s="788">
        <f>SUMIFS(Data!$S$3:$S$305,Data!$O$3:$O$305,R$1,Data!$P$3:$P$305,R$2,Data!$K$3:$K$305,$B20)</f>
        <v/>
      </c>
      <c r="S20" s="791">
        <f>SUMIFS(Data!$S$3:$S$305,Data!$O$3:$O$305,S$1,Data!$P$3:$P$305,S$2,Data!$K$3:$K$305,$B20)</f>
        <v/>
      </c>
      <c r="T20" s="791">
        <f>SUMIFS(Data!$S$3:$S$305,Data!$O$3:$O$305,T$1,Data!$P$3:$P$305,T$2,Data!$K$3:$K$305,$B20)</f>
        <v/>
      </c>
      <c r="V20" s="788">
        <f>E20</f>
        <v/>
      </c>
      <c r="W20" s="788">
        <f>F20</f>
        <v/>
      </c>
      <c r="X20" s="788">
        <f>G20</f>
        <v/>
      </c>
      <c r="Y20" s="788">
        <f>$G20</f>
        <v/>
      </c>
      <c r="Z20" s="788">
        <f>$G20</f>
        <v/>
      </c>
      <c r="AA20" s="788">
        <f>$G20</f>
        <v/>
      </c>
      <c r="AB20" s="788">
        <f>$G20</f>
        <v/>
      </c>
      <c r="AC20" s="788">
        <f>$G20</f>
        <v/>
      </c>
      <c r="AD20" s="788">
        <f>$G20</f>
        <v/>
      </c>
      <c r="AE20" s="788">
        <f>$G20</f>
        <v/>
      </c>
      <c r="AF20" s="788">
        <f>$G20</f>
        <v/>
      </c>
      <c r="AG20" s="788" t="n"/>
      <c r="AH20" s="788">
        <f>IFERROR(1/AH$3,1)*SUMIFS(Data!$S$3:$S$305,Data!$O$3:$O$305,AH$1,Data!$P$3:$P$305,IF(RIGHT(AH$2,3)="YTD","&lt;="&amp;LEFT(AH$2,2)*1,AH$2),Data!$K$3:$K$305,$B20)</f>
        <v/>
      </c>
      <c r="AI20" s="788">
        <f>AM20/12*LEFT(AI$2,2)*1</f>
        <v/>
      </c>
      <c r="AJ20" s="789">
        <f>AH20-AI20</f>
        <v/>
      </c>
      <c r="AL20" s="788" t="n">
        <v>113419</v>
      </c>
      <c r="AM20" s="790" t="n">
        <v>250000</v>
      </c>
    </row>
    <row r="21" hidden="1" outlineLevel="1" s="701">
      <c r="A21" s="160" t="inlineStr">
        <is>
          <t>TT-CP-00102-20</t>
        </is>
      </c>
      <c r="B21" s="267" t="inlineStr">
        <is>
          <t>SERVICE IC</t>
        </is>
      </c>
      <c r="C21" s="349" t="inlineStr">
        <is>
          <t>k €</t>
        </is>
      </c>
      <c r="E21" s="788">
        <f>$AL21/E$3</f>
        <v/>
      </c>
      <c r="F21" s="788">
        <f>IFERROR(1/F$3,1)*SUMIFS(Data!$S$3:$S$305,Data!$O$3:$O$305,F$1,Data!$P$3:$P$305,IF(RIGHT(F$2,3)="YTD","&lt;="&amp;LEFT(F$2,2)*1,F$2),Data!$K$3:$K$305,$B21)</f>
        <v/>
      </c>
      <c r="G21" s="788">
        <f>AM21/12</f>
        <v/>
      </c>
      <c r="I21" s="788">
        <f>IFERROR(1/I$3,1)*SUMIFS(Data!$S$3:$S$305,Data!$O$3:$O$305,I$1,Data!$P$3:$P$305,IF(RIGHT(I$2,3)="YTD","&lt;="&amp;LEFT(I$2,2)*1,I$2),Data!$K$3:$K$305,$B21)</f>
        <v/>
      </c>
      <c r="J21" s="788">
        <f>IFERROR(1/J$3,1)*SUMIFS(Data!$S$3:$S$305,Data!$O$3:$O$305,J$1,Data!$P$3:$P$305,IF(RIGHT(J$2,3)="YTD","&lt;="&amp;LEFT(J$2,2)*1,J$2),Data!$K$3:$K$305,$B21)</f>
        <v/>
      </c>
      <c r="K21" s="788">
        <f>IFERROR(1/K$3,1)*SUMIFS(Data!$S$3:$S$305,Data!$O$3:$O$305,K$1,Data!$P$3:$P$305,IF(RIGHT(K$2,3)="YTD","&lt;="&amp;LEFT(K$2,2)*1,K$2),Data!$K$3:$K$305,$B21)</f>
        <v/>
      </c>
      <c r="L21" s="788">
        <f>IFERROR(1/L$3,1)*SUMIFS(Data!$S$3:$S$305,Data!$O$3:$O$305,L$1,Data!$P$3:$P$305,IF(RIGHT(L$2,3)="YTD","&lt;="&amp;LEFT(L$2,2)*1,L$2),Data!$K$3:$K$305,$B21)</f>
        <v/>
      </c>
      <c r="M21" s="788">
        <f>IFERROR(1/M$3,1)*SUMIFS(Data!$S$3:$S$305,Data!$O$3:$O$305,M$1,Data!$P$3:$P$305,IF(RIGHT(M$2,3)="YTD","&lt;="&amp;LEFT(M$2,2)*1,M$2),Data!$K$3:$K$305,$B21)</f>
        <v/>
      </c>
      <c r="N21" s="788">
        <f>SUMIFS(Data!$S$3:$S$305,Data!$O$3:$O$305,N$1,Data!$P$3:$P$305,N$2,Data!$K$3:$K$305,$B21)</f>
        <v/>
      </c>
      <c r="O21" s="788">
        <f>SUMIFS(Data!$S$3:$S$305,Data!$O$3:$O$305,O$1,Data!$P$3:$P$305,O$2,Data!$K$3:$K$305,$B21)</f>
        <v/>
      </c>
      <c r="P21" s="788">
        <f>SUMIFS(Data!$S$3:$S$305,Data!$O$3:$O$305,P$1,Data!$P$3:$P$305,P$2,Data!$K$3:$K$305,$B21)</f>
        <v/>
      </c>
      <c r="Q21" s="788">
        <f>SUMIFS(Data!$S$3:$S$305,Data!$O$3:$O$305,Q$1,Data!$P$3:$P$305,Q$2,Data!$K$3:$K$305,$B21)</f>
        <v/>
      </c>
      <c r="R21" s="788">
        <f>SUMIFS(Data!$S$3:$S$305,Data!$O$3:$O$305,R$1,Data!$P$3:$P$305,R$2,Data!$K$3:$K$305,$B21)</f>
        <v/>
      </c>
      <c r="S21" s="791">
        <f>SUMIFS(Data!$S$3:$S$305,Data!$O$3:$O$305,S$1,Data!$P$3:$P$305,S$2,Data!$K$3:$K$305,$B21)</f>
        <v/>
      </c>
      <c r="T21" s="791">
        <f>SUMIFS(Data!$S$3:$S$305,Data!$O$3:$O$305,T$1,Data!$P$3:$P$305,T$2,Data!$K$3:$K$305,$B21)</f>
        <v/>
      </c>
      <c r="V21" s="788">
        <f>E21</f>
        <v/>
      </c>
      <c r="W21" s="788">
        <f>F21</f>
        <v/>
      </c>
      <c r="X21" s="788">
        <f>G21</f>
        <v/>
      </c>
      <c r="Y21" s="788">
        <f>$G21</f>
        <v/>
      </c>
      <c r="Z21" s="788">
        <f>$G21</f>
        <v/>
      </c>
      <c r="AA21" s="788">
        <f>$G21</f>
        <v/>
      </c>
      <c r="AB21" s="788">
        <f>$G21</f>
        <v/>
      </c>
      <c r="AC21" s="788">
        <f>$G21</f>
        <v/>
      </c>
      <c r="AD21" s="788">
        <f>$G21</f>
        <v/>
      </c>
      <c r="AE21" s="788">
        <f>$G21</f>
        <v/>
      </c>
      <c r="AF21" s="788">
        <f>$G21</f>
        <v/>
      </c>
      <c r="AG21" s="788" t="n"/>
      <c r="AH21" s="788">
        <f>IFERROR(1/AH$3,1)*SUMIFS(Data!$S$3:$S$305,Data!$O$3:$O$305,AH$1,Data!$P$3:$P$305,IF(RIGHT(AH$2,3)="YTD","&lt;="&amp;LEFT(AH$2,2)*1,AH$2),Data!$K$3:$K$305,$B21)</f>
        <v/>
      </c>
      <c r="AI21" s="788">
        <f>AM21/12*LEFT(AI$2,2)*1</f>
        <v/>
      </c>
      <c r="AJ21" s="789">
        <f>AH21-AI21</f>
        <v/>
      </c>
      <c r="AL21" s="788" t="n">
        <v>66513</v>
      </c>
      <c r="AM21" s="790" t="n">
        <v>45000</v>
      </c>
    </row>
    <row r="22" hidden="1" outlineLevel="1" s="701">
      <c r="A22" s="160" t="inlineStr">
        <is>
          <t>TT-CP-00100-20</t>
        </is>
      </c>
      <c r="B22" s="267" t="inlineStr">
        <is>
          <t>SERVICE OTHER AIA</t>
        </is>
      </c>
      <c r="C22" s="349" t="inlineStr">
        <is>
          <t>k €</t>
        </is>
      </c>
      <c r="E22" s="788">
        <f>$AL22/E$3</f>
        <v/>
      </c>
      <c r="F22" s="788">
        <f>IFERROR(1/F$3,1)*SUMIFS(Data!$S$3:$S$305,Data!$O$3:$O$305,F$1,Data!$P$3:$P$305,IF(RIGHT(F$2,3)="YTD","&lt;="&amp;LEFT(F$2,2)*1,F$2),Data!$K$3:$K$305,$B22)</f>
        <v/>
      </c>
      <c r="G22" s="788">
        <f>AM22/12</f>
        <v/>
      </c>
      <c r="I22" s="788">
        <f>IFERROR(1/I$3,1)*SUMIFS(Data!$S$3:$S$305,Data!$O$3:$O$305,I$1,Data!$P$3:$P$305,IF(RIGHT(I$2,3)="YTD","&lt;="&amp;LEFT(I$2,2)*1,I$2),Data!$K$3:$K$305,$B22)</f>
        <v/>
      </c>
      <c r="J22" s="788">
        <f>IFERROR(1/J$3,1)*SUMIFS(Data!$S$3:$S$305,Data!$O$3:$O$305,J$1,Data!$P$3:$P$305,IF(RIGHT(J$2,3)="YTD","&lt;="&amp;LEFT(J$2,2)*1,J$2),Data!$K$3:$K$305,$B22)</f>
        <v/>
      </c>
      <c r="K22" s="788">
        <f>IFERROR(1/K$3,1)*SUMIFS(Data!$S$3:$S$305,Data!$O$3:$O$305,K$1,Data!$P$3:$P$305,IF(RIGHT(K$2,3)="YTD","&lt;="&amp;LEFT(K$2,2)*1,K$2),Data!$K$3:$K$305,$B22)</f>
        <v/>
      </c>
      <c r="L22" s="788">
        <f>IFERROR(1/L$3,1)*SUMIFS(Data!$S$3:$S$305,Data!$O$3:$O$305,L$1,Data!$P$3:$P$305,IF(RIGHT(L$2,3)="YTD","&lt;="&amp;LEFT(L$2,2)*1,L$2),Data!$K$3:$K$305,$B22)</f>
        <v/>
      </c>
      <c r="M22" s="788">
        <f>IFERROR(1/M$3,1)*SUMIFS(Data!$S$3:$S$305,Data!$O$3:$O$305,M$1,Data!$P$3:$P$305,IF(RIGHT(M$2,3)="YTD","&lt;="&amp;LEFT(M$2,2)*1,M$2),Data!$K$3:$K$305,$B22)</f>
        <v/>
      </c>
      <c r="N22" s="788">
        <f>SUMIFS(Data!$S$3:$S$305,Data!$O$3:$O$305,N$1,Data!$P$3:$P$305,N$2,Data!$K$3:$K$305,$B22)</f>
        <v/>
      </c>
      <c r="O22" s="788">
        <f>SUMIFS(Data!$S$3:$S$305,Data!$O$3:$O$305,O$1,Data!$P$3:$P$305,O$2,Data!$K$3:$K$305,$B22)</f>
        <v/>
      </c>
      <c r="P22" s="788">
        <f>SUMIFS(Data!$S$3:$S$305,Data!$O$3:$O$305,P$1,Data!$P$3:$P$305,P$2,Data!$K$3:$K$305,$B22)</f>
        <v/>
      </c>
      <c r="Q22" s="788">
        <f>SUMIFS(Data!$S$3:$S$305,Data!$O$3:$O$305,Q$1,Data!$P$3:$P$305,Q$2,Data!$K$3:$K$305,$B22)</f>
        <v/>
      </c>
      <c r="R22" s="788">
        <f>SUMIFS(Data!$S$3:$S$305,Data!$O$3:$O$305,R$1,Data!$P$3:$P$305,R$2,Data!$K$3:$K$305,$B22)</f>
        <v/>
      </c>
      <c r="S22" s="791">
        <f>SUMIFS(Data!$S$3:$S$305,Data!$O$3:$O$305,S$1,Data!$P$3:$P$305,S$2,Data!$K$3:$K$305,$B22)</f>
        <v/>
      </c>
      <c r="T22" s="791">
        <f>SUMIFS(Data!$S$3:$S$305,Data!$O$3:$O$305,T$1,Data!$P$3:$P$305,T$2,Data!$K$3:$K$305,$B22)</f>
        <v/>
      </c>
      <c r="V22" s="788">
        <f>E22</f>
        <v/>
      </c>
      <c r="W22" s="788">
        <f>F22</f>
        <v/>
      </c>
      <c r="X22" s="788">
        <f>G22</f>
        <v/>
      </c>
      <c r="Y22" s="788">
        <f>$G22</f>
        <v/>
      </c>
      <c r="Z22" s="788">
        <f>$G22</f>
        <v/>
      </c>
      <c r="AA22" s="788">
        <f>$G22</f>
        <v/>
      </c>
      <c r="AB22" s="788">
        <f>$G22</f>
        <v/>
      </c>
      <c r="AC22" s="788">
        <f>$G22</f>
        <v/>
      </c>
      <c r="AD22" s="788">
        <f>$G22</f>
        <v/>
      </c>
      <c r="AE22" s="788">
        <f>$G22</f>
        <v/>
      </c>
      <c r="AF22" s="788">
        <f>$G22</f>
        <v/>
      </c>
      <c r="AG22" s="788" t="n"/>
      <c r="AH22" s="788">
        <f>IFERROR(1/AH$3,1)*SUMIFS(Data!$S$3:$S$305,Data!$O$3:$O$305,AH$1,Data!$P$3:$P$305,IF(RIGHT(AH$2,3)="YTD","&lt;="&amp;LEFT(AH$2,2)*1,AH$2),Data!$K$3:$K$305,$B22)</f>
        <v/>
      </c>
      <c r="AI22" s="788">
        <f>AM22/12*LEFT(AI$2,2)*1</f>
        <v/>
      </c>
      <c r="AJ22" s="789">
        <f>AH22-AI22</f>
        <v/>
      </c>
      <c r="AL22" s="788" t="n">
        <v>3650</v>
      </c>
      <c r="AM22" s="788" t="n">
        <v>250000</v>
      </c>
    </row>
    <row r="23" hidden="1" outlineLevel="1" s="701">
      <c r="A23" t="inlineStr">
        <is>
          <t>TT-CP-00110-20</t>
        </is>
      </c>
      <c r="B23" s="267" t="inlineStr">
        <is>
          <t>TRADING OTHER AIA</t>
        </is>
      </c>
      <c r="C23" s="349" t="inlineStr">
        <is>
          <t>k €</t>
        </is>
      </c>
      <c r="E23" s="788">
        <f>$AL23/E$3</f>
        <v/>
      </c>
      <c r="F23" s="788">
        <f>IFERROR(1/F$3,1)*SUMIFS(Data!$S$3:$S$305,Data!$O$3:$O$305,F$1,Data!$P$3:$P$305,IF(RIGHT(F$2,3)="YTD","&lt;="&amp;LEFT(F$2,2)*1,F$2),Data!$K$3:$K$305,$B23)</f>
        <v/>
      </c>
      <c r="G23" s="788">
        <f>AM23/12</f>
        <v/>
      </c>
      <c r="I23" s="788">
        <f>IFERROR(1/I$3,1)*SUMIFS(Data!$S$3:$S$305,Data!$O$3:$O$305,I$1,Data!$P$3:$P$305,IF(RIGHT(I$2,3)="YTD","&lt;="&amp;LEFT(I$2,2)*1,I$2),Data!$K$3:$K$305,$B23)</f>
        <v/>
      </c>
      <c r="J23" s="788">
        <f>IFERROR(1/J$3,1)*SUMIFS(Data!$S$3:$S$305,Data!$O$3:$O$305,J$1,Data!$P$3:$P$305,IF(RIGHT(J$2,3)="YTD","&lt;="&amp;LEFT(J$2,2)*1,J$2),Data!$K$3:$K$305,$B23)</f>
        <v/>
      </c>
      <c r="K23" s="788">
        <f>IFERROR(1/K$3,1)*SUMIFS(Data!$S$3:$S$305,Data!$O$3:$O$305,K$1,Data!$P$3:$P$305,IF(RIGHT(K$2,3)="YTD","&lt;="&amp;LEFT(K$2,2)*1,K$2),Data!$K$3:$K$305,$B23)</f>
        <v/>
      </c>
      <c r="L23" s="788">
        <f>IFERROR(1/L$3,1)*SUMIFS(Data!$S$3:$S$305,Data!$O$3:$O$305,L$1,Data!$P$3:$P$305,IF(RIGHT(L$2,3)="YTD","&lt;="&amp;LEFT(L$2,2)*1,L$2),Data!$K$3:$K$305,$B23)</f>
        <v/>
      </c>
      <c r="M23" s="788">
        <f>IFERROR(1/M$3,1)*SUMIFS(Data!$S$3:$S$305,Data!$O$3:$O$305,M$1,Data!$P$3:$P$305,IF(RIGHT(M$2,3)="YTD","&lt;="&amp;LEFT(M$2,2)*1,M$2),Data!$K$3:$K$305,$B23)</f>
        <v/>
      </c>
      <c r="N23" s="788">
        <f>SUMIFS(Data!$S$3:$S$305,Data!$O$3:$O$305,N$1,Data!$P$3:$P$305,N$2,Data!$K$3:$K$305,$B23)</f>
        <v/>
      </c>
      <c r="O23" s="788">
        <f>SUMIFS(Data!$S$3:$S$305,Data!$O$3:$O$305,O$1,Data!$P$3:$P$305,O$2,Data!$K$3:$K$305,$B23)</f>
        <v/>
      </c>
      <c r="P23" s="788">
        <f>SUMIFS(Data!$S$3:$S$305,Data!$O$3:$O$305,P$1,Data!$P$3:$P$305,P$2,Data!$K$3:$K$305,$B23)</f>
        <v/>
      </c>
      <c r="Q23" s="788">
        <f>SUMIFS(Data!$S$3:$S$305,Data!$O$3:$O$305,Q$1,Data!$P$3:$P$305,Q$2,Data!$K$3:$K$305,$B23)</f>
        <v/>
      </c>
      <c r="R23" s="788">
        <f>SUMIFS(Data!$S$3:$S$305,Data!$O$3:$O$305,R$1,Data!$P$3:$P$305,R$2,Data!$K$3:$K$305,$B23)</f>
        <v/>
      </c>
      <c r="S23" s="791">
        <f>SUMIFS(Data!$S$3:$S$305,Data!$O$3:$O$305,S$1,Data!$P$3:$P$305,S$2,Data!$K$3:$K$305,$B23)</f>
        <v/>
      </c>
      <c r="T23" s="791">
        <f>SUMIFS(Data!$S$3:$S$305,Data!$O$3:$O$305,T$1,Data!$P$3:$P$305,T$2,Data!$K$3:$K$305,$B23)</f>
        <v/>
      </c>
      <c r="V23" s="788">
        <f>E23</f>
        <v/>
      </c>
      <c r="W23" s="788">
        <f>F23</f>
        <v/>
      </c>
      <c r="X23" s="788">
        <f>G23</f>
        <v/>
      </c>
      <c r="Y23" s="788">
        <f>$G23</f>
        <v/>
      </c>
      <c r="Z23" s="788">
        <f>$G23</f>
        <v/>
      </c>
      <c r="AA23" s="788">
        <f>$G23</f>
        <v/>
      </c>
      <c r="AB23" s="788">
        <f>$G23</f>
        <v/>
      </c>
      <c r="AC23" s="788">
        <f>$G23</f>
        <v/>
      </c>
      <c r="AD23" s="788">
        <f>$G23</f>
        <v/>
      </c>
      <c r="AE23" s="788">
        <f>$G23</f>
        <v/>
      </c>
      <c r="AF23" s="788">
        <f>$G23</f>
        <v/>
      </c>
      <c r="AG23" s="788" t="n"/>
      <c r="AH23" s="788">
        <f>IFERROR(1/AH$3,1)*SUMIFS(Data!$S$3:$S$305,Data!$O$3:$O$305,AH$1,Data!$P$3:$P$305,IF(RIGHT(AH$2,3)="YTD","&lt;="&amp;LEFT(AH$2,2)*1,AH$2),Data!$K$3:$K$305,$B23)</f>
        <v/>
      </c>
      <c r="AI23" s="788">
        <f>AM23/12*LEFT(AI$2,2)*1</f>
        <v/>
      </c>
      <c r="AJ23" s="789">
        <f>AH23-AI23</f>
        <v/>
      </c>
      <c r="AL23" s="788" t="n">
        <v>851592</v>
      </c>
      <c r="AM23" s="788" t="n">
        <v>0</v>
      </c>
    </row>
    <row r="24" hidden="1" outlineLevel="1" s="701">
      <c r="B24" s="267" t="inlineStr">
        <is>
          <t>TRADING AIA</t>
        </is>
      </c>
      <c r="C24" s="349" t="inlineStr">
        <is>
          <t>k €</t>
        </is>
      </c>
      <c r="E24" s="788">
        <f>$AL24/E$3</f>
        <v/>
      </c>
      <c r="F24" s="788">
        <f>IFERROR(1/F$3,1)*SUMIFS(Data!$S$3:$S$305,Data!$O$3:$O$305,F$1,Data!$P$3:$P$305,IF(RIGHT(F$2,3)="YTD","&lt;="&amp;LEFT(F$2,2)*1,F$2),Data!$K$3:$K$305,$B24)</f>
        <v/>
      </c>
      <c r="G24" s="788">
        <f>AM24/12</f>
        <v/>
      </c>
      <c r="I24" s="788">
        <f>IFERROR(1/I$3,1)*SUMIFS(Data!$S$3:$S$305,Data!$O$3:$O$305,I$1,Data!$P$3:$P$305,IF(RIGHT(I$2,3)="YTD","&lt;="&amp;LEFT(I$2,2)*1,I$2),Data!$K$3:$K$305,$B24)</f>
        <v/>
      </c>
      <c r="J24" s="788">
        <f>IFERROR(1/J$3,1)*SUMIFS(Data!$S$3:$S$305,Data!$O$3:$O$305,J$1,Data!$P$3:$P$305,IF(RIGHT(J$2,3)="YTD","&lt;="&amp;LEFT(J$2,2)*1,J$2),Data!$K$3:$K$305,$B24)</f>
        <v/>
      </c>
      <c r="K24" s="788">
        <f>IFERROR(1/K$3,1)*SUMIFS(Data!$S$3:$S$305,Data!$O$3:$O$305,K$1,Data!$P$3:$P$305,IF(RIGHT(K$2,3)="YTD","&lt;="&amp;LEFT(K$2,2)*1,K$2),Data!$K$3:$K$305,$B24)</f>
        <v/>
      </c>
      <c r="L24" s="788">
        <f>IFERROR(1/L$3,1)*SUMIFS(Data!$S$3:$S$305,Data!$O$3:$O$305,L$1,Data!$P$3:$P$305,IF(RIGHT(L$2,3)="YTD","&lt;="&amp;LEFT(L$2,2)*1,L$2),Data!$K$3:$K$305,$B24)</f>
        <v/>
      </c>
      <c r="M24" s="788">
        <f>IFERROR(1/M$3,1)*SUMIFS(Data!$S$3:$S$305,Data!$O$3:$O$305,M$1,Data!$P$3:$P$305,IF(RIGHT(M$2,3)="YTD","&lt;="&amp;LEFT(M$2,2)*1,M$2),Data!$K$3:$K$305,$B24)</f>
        <v/>
      </c>
      <c r="N24" s="788">
        <f>SUMIFS(Data!$S$3:$S$305,Data!$O$3:$O$305,N$1,Data!$P$3:$P$305,N$2,Data!$K$3:$K$305,$B24)</f>
        <v/>
      </c>
      <c r="O24" s="788">
        <f>SUMIFS(Data!$S$3:$S$305,Data!$O$3:$O$305,O$1,Data!$P$3:$P$305,O$2,Data!$K$3:$K$305,$B24)</f>
        <v/>
      </c>
      <c r="P24" s="788">
        <f>SUMIFS(Data!$S$3:$S$305,Data!$O$3:$O$305,P$1,Data!$P$3:$P$305,P$2,Data!$K$3:$K$305,$B24)</f>
        <v/>
      </c>
      <c r="Q24" s="788">
        <f>SUMIFS(Data!$S$3:$S$305,Data!$O$3:$O$305,Q$1,Data!$P$3:$P$305,Q$2,Data!$K$3:$K$305,$B24)</f>
        <v/>
      </c>
      <c r="R24" s="788">
        <f>SUMIFS(Data!$S$3:$S$305,Data!$O$3:$O$305,R$1,Data!$P$3:$P$305,R$2,Data!$K$3:$K$305,$B24)</f>
        <v/>
      </c>
      <c r="S24" s="791">
        <f>SUMIFS(Data!$S$3:$S$305,Data!$O$3:$O$305,S$1,Data!$P$3:$P$305,S$2,Data!$K$3:$K$305,$B24)</f>
        <v/>
      </c>
      <c r="T24" s="791">
        <f>SUMIFS(Data!$S$3:$S$305,Data!$O$3:$O$305,T$1,Data!$P$3:$P$305,T$2,Data!$K$3:$K$305,$B24)</f>
        <v/>
      </c>
      <c r="V24" s="788">
        <f>E24</f>
        <v/>
      </c>
      <c r="W24" s="788">
        <f>F24</f>
        <v/>
      </c>
      <c r="X24" s="788">
        <f>G24</f>
        <v/>
      </c>
      <c r="Y24" s="788">
        <f>$G24</f>
        <v/>
      </c>
      <c r="Z24" s="788">
        <f>$G24</f>
        <v/>
      </c>
      <c r="AA24" s="788">
        <f>$G24</f>
        <v/>
      </c>
      <c r="AB24" s="788">
        <f>$G24</f>
        <v/>
      </c>
      <c r="AC24" s="788">
        <f>$G24</f>
        <v/>
      </c>
      <c r="AD24" s="788">
        <f>$G24</f>
        <v/>
      </c>
      <c r="AE24" s="788">
        <f>$G24</f>
        <v/>
      </c>
      <c r="AF24" s="788">
        <f>$G24</f>
        <v/>
      </c>
      <c r="AG24" s="788" t="n"/>
      <c r="AH24" s="788">
        <f>IFERROR(1/AH$3,1)*SUMIFS(Data!$S$3:$S$305,Data!$O$3:$O$305,AH$1,Data!$P$3:$P$305,IF(RIGHT(AH$2,3)="YTD","&lt;="&amp;LEFT(AH$2,2)*1,AH$2),Data!$K$3:$K$305,$B24)</f>
        <v/>
      </c>
      <c r="AI24" s="788">
        <f>AM24/12*LEFT(AI$2,2)*1</f>
        <v/>
      </c>
      <c r="AJ24" s="789">
        <f>AH24-AI24</f>
        <v/>
      </c>
      <c r="AL24" s="788" t="n">
        <v>2741614</v>
      </c>
      <c r="AM24" s="788" t="n">
        <v>0</v>
      </c>
    </row>
    <row r="25" hidden="1" outlineLevel="1" customFormat="1" s="329">
      <c r="B25" s="265" t="inlineStr">
        <is>
          <t>TOTAL HYFR</t>
        </is>
      </c>
      <c r="C25" s="246" t="n"/>
      <c r="E25" s="790" t="n"/>
      <c r="F25" s="790" t="n"/>
      <c r="G25" s="790" t="n"/>
      <c r="I25" s="792">
        <f>SUM(I15:I24)</f>
        <v/>
      </c>
      <c r="J25" s="792">
        <f>SUM(J15:J24)</f>
        <v/>
      </c>
      <c r="K25" s="792">
        <f>SUM(K15:K24)</f>
        <v/>
      </c>
      <c r="L25" s="792">
        <f>SUM(L15:L24)</f>
        <v/>
      </c>
      <c r="M25" s="792">
        <f>SUM(M15:M24)</f>
        <v/>
      </c>
      <c r="N25" s="792">
        <f>SUM(N15:N24)</f>
        <v/>
      </c>
      <c r="O25" s="792">
        <f>SUM(O15:O24)</f>
        <v/>
      </c>
      <c r="P25" s="792">
        <f>SUM(P15:P24)</f>
        <v/>
      </c>
      <c r="Q25" s="792">
        <f>SUM(Q15:Q24)</f>
        <v/>
      </c>
      <c r="R25" s="792">
        <f>SUM(R15:R24)</f>
        <v/>
      </c>
      <c r="S25" s="792">
        <f>SUM(S15:S24)</f>
        <v/>
      </c>
      <c r="T25" s="792">
        <f>SUM(T15:T24)</f>
        <v/>
      </c>
      <c r="U25" s="792" t="n"/>
      <c r="V25" s="792">
        <f>SUM(V15:V24)</f>
        <v/>
      </c>
      <c r="W25" s="792">
        <f>SUM(W15:W24)</f>
        <v/>
      </c>
      <c r="X25" s="792">
        <f>SUM(X15:X24)</f>
        <v/>
      </c>
      <c r="Y25" s="792">
        <f>SUM(Y15:Y24)</f>
        <v/>
      </c>
      <c r="Z25" s="792">
        <f>SUM(Z15:Z24)</f>
        <v/>
      </c>
      <c r="AA25" s="792">
        <f>SUM(AA15:AA24)</f>
        <v/>
      </c>
      <c r="AB25" s="790" t="n"/>
      <c r="AC25" s="790" t="n"/>
      <c r="AD25" s="790" t="n"/>
      <c r="AE25" s="788">
        <f>$G25</f>
        <v/>
      </c>
      <c r="AF25" s="788">
        <f>$G25</f>
        <v/>
      </c>
      <c r="AG25" s="790" t="n"/>
      <c r="AH25" s="788">
        <f>SUM(AH15:AH24)</f>
        <v/>
      </c>
      <c r="AI25" s="788">
        <f>SUM(AI15:AI24)</f>
        <v/>
      </c>
      <c r="AJ25" s="789">
        <f>SUM(AJ15:AJ24)</f>
        <v/>
      </c>
      <c r="AL25" s="790">
        <f>SUM(AL15:AL24)</f>
        <v/>
      </c>
      <c r="AM25" s="790">
        <f>SUM(AM15:AM24)</f>
        <v/>
      </c>
    </row>
    <row r="26" hidden="1" outlineLevel="1" s="701">
      <c r="B26" s="266" t="inlineStr">
        <is>
          <t>GSE (HYKG)</t>
        </is>
      </c>
      <c r="C26" s="266" t="inlineStr">
        <is>
          <t>k €</t>
        </is>
      </c>
      <c r="E26" s="793">
        <f>AL26/12*LEFT($F$2,2)</f>
        <v/>
      </c>
      <c r="F26" s="793">
        <f>SUM(I26:T26)/LEFT($F$2,2)</f>
        <v/>
      </c>
      <c r="G26" s="793">
        <f>AL26/12</f>
        <v/>
      </c>
      <c r="I26" s="794">
        <f>Reporting!C65</f>
        <v/>
      </c>
      <c r="J26" s="794">
        <f>Reporting!D65</f>
        <v/>
      </c>
      <c r="K26" s="794">
        <f>Reporting!E65</f>
        <v/>
      </c>
      <c r="L26" s="794">
        <f>Reporting!F65</f>
        <v/>
      </c>
      <c r="M26" s="794">
        <f>Reporting!G65</f>
        <v/>
      </c>
      <c r="N26" s="794">
        <f>Reporting!H65</f>
        <v/>
      </c>
      <c r="O26" s="794">
        <f>Reporting!I65</f>
        <v/>
      </c>
      <c r="P26" s="794">
        <f>Reporting!J65</f>
        <v/>
      </c>
      <c r="Q26" s="794">
        <f>Reporting!K65</f>
        <v/>
      </c>
      <c r="R26" s="794">
        <f>Reporting!L65</f>
        <v/>
      </c>
      <c r="S26" s="794">
        <f>Reporting!M65</f>
        <v/>
      </c>
      <c r="T26" s="794">
        <f>Reporting!N65</f>
        <v/>
      </c>
      <c r="V26" s="793">
        <f>E27</f>
        <v/>
      </c>
      <c r="W26" s="793">
        <f>F27</f>
        <v/>
      </c>
      <c r="X26" s="793">
        <f>G27</f>
        <v/>
      </c>
      <c r="Y26" s="793">
        <f>$G$26</f>
        <v/>
      </c>
      <c r="Z26" s="793">
        <f>$G$26</f>
        <v/>
      </c>
      <c r="AA26" s="793">
        <f>$G$26</f>
        <v/>
      </c>
      <c r="AB26" s="793">
        <f>$G$26</f>
        <v/>
      </c>
      <c r="AC26" s="793">
        <f>$G$26</f>
        <v/>
      </c>
      <c r="AD26" s="793">
        <f>$G$26</f>
        <v/>
      </c>
      <c r="AE26" s="793">
        <f>$G$26</f>
        <v/>
      </c>
      <c r="AF26" s="793">
        <f>$G$26</f>
        <v/>
      </c>
      <c r="AG26" s="793" t="n"/>
      <c r="AH26" s="793">
        <f>SUM(I26:T26)</f>
        <v/>
      </c>
      <c r="AI26" s="793">
        <f>AM26/12*$C$5</f>
        <v/>
      </c>
      <c r="AJ26" s="795">
        <f>AH26-AI26</f>
        <v/>
      </c>
      <c r="AL26" s="793" t="n">
        <v>2741614</v>
      </c>
      <c r="AM26" s="796" t="n">
        <v>6630000</v>
      </c>
    </row>
    <row r="27" hidden="1" outlineLevel="1" customFormat="1" s="329">
      <c r="B27" s="265" t="n"/>
      <c r="C27" s="265" t="inlineStr">
        <is>
          <t>k €</t>
        </is>
      </c>
      <c r="E27" s="790" t="n"/>
      <c r="F27" s="790" t="n"/>
      <c r="G27" s="790" t="n"/>
      <c r="I27" s="792">
        <f>I25+I26</f>
        <v/>
      </c>
      <c r="J27" s="792">
        <f>J25+J26</f>
        <v/>
      </c>
      <c r="K27" s="792">
        <f>K25+K26</f>
        <v/>
      </c>
      <c r="L27" s="792">
        <f>L25+L26</f>
        <v/>
      </c>
      <c r="M27" s="792">
        <f>M25+M26</f>
        <v/>
      </c>
      <c r="N27" s="792">
        <f>N25+N26</f>
        <v/>
      </c>
      <c r="O27" s="792">
        <f>O25+O26</f>
        <v/>
      </c>
      <c r="P27" s="792">
        <f>P25+P26</f>
        <v/>
      </c>
      <c r="Q27" s="792">
        <f>Q25+Q26</f>
        <v/>
      </c>
      <c r="R27" s="792">
        <f>R25+R26</f>
        <v/>
      </c>
      <c r="S27" s="792">
        <f>S25+S26</f>
        <v/>
      </c>
      <c r="T27" s="792">
        <f>T25+T26</f>
        <v/>
      </c>
      <c r="U27" s="792" t="n"/>
      <c r="V27" s="792">
        <f>V25+V26</f>
        <v/>
      </c>
      <c r="W27" s="792">
        <f>W25+W26</f>
        <v/>
      </c>
      <c r="X27" s="792">
        <f>X25+X26</f>
        <v/>
      </c>
      <c r="Y27" s="792">
        <f>Y25+Y26</f>
        <v/>
      </c>
      <c r="Z27" s="792">
        <f>Z25+Z26</f>
        <v/>
      </c>
      <c r="AA27" s="792">
        <f>AA25+AA26</f>
        <v/>
      </c>
      <c r="AB27" s="797" t="n"/>
      <c r="AC27" s="797" t="n"/>
      <c r="AD27" s="797" t="n"/>
      <c r="AE27" s="797" t="n"/>
      <c r="AF27" s="797" t="n"/>
      <c r="AG27" s="797" t="n"/>
      <c r="AH27" s="790">
        <f>SUM(I27:K27)</f>
        <v/>
      </c>
      <c r="AI27" s="790" t="n"/>
      <c r="AJ27" s="797" t="n"/>
      <c r="AL27" s="790">
        <f>SUM(M27:O27)</f>
        <v/>
      </c>
      <c r="AM27" s="797" t="n"/>
    </row>
    <row r="28" collapsed="1" customFormat="1" s="329">
      <c r="B28" s="265" t="n"/>
      <c r="C28" s="265" t="n"/>
      <c r="E28" s="790" t="n"/>
      <c r="F28" s="790" t="n"/>
      <c r="G28" s="790" t="n"/>
      <c r="I28" s="792" t="n"/>
      <c r="J28" s="792" t="n"/>
      <c r="K28" s="792" t="n"/>
      <c r="L28" s="792" t="n"/>
      <c r="M28" s="792" t="n"/>
      <c r="N28" s="792" t="n"/>
      <c r="O28" s="792" t="n"/>
      <c r="P28" s="792" t="n"/>
      <c r="Q28" s="792" t="n"/>
      <c r="R28" s="792" t="n"/>
      <c r="S28" s="792" t="n"/>
      <c r="T28" s="792" t="n"/>
      <c r="V28" s="797" t="n"/>
      <c r="W28" s="797" t="n"/>
      <c r="X28" s="797" t="n"/>
      <c r="Y28" s="797" t="n"/>
      <c r="Z28" s="797" t="n"/>
      <c r="AA28" s="797" t="n"/>
      <c r="AB28" s="797" t="n"/>
      <c r="AC28" s="797" t="n"/>
      <c r="AD28" s="797" t="n"/>
      <c r="AE28" s="797" t="n"/>
      <c r="AF28" s="797" t="n"/>
      <c r="AG28" s="797" t="n"/>
      <c r="AH28" s="790" t="n"/>
      <c r="AI28" s="790" t="n"/>
      <c r="AJ28" s="797" t="n"/>
      <c r="AL28" s="790" t="n"/>
      <c r="AM28" s="797" t="n"/>
    </row>
    <row r="29">
      <c r="B29" s="267" t="n"/>
      <c r="E29" s="798" t="n"/>
      <c r="F29" s="798" t="n"/>
      <c r="G29" s="799" t="n"/>
      <c r="I29" s="799" t="n"/>
      <c r="J29" s="799" t="n"/>
      <c r="K29" s="799" t="n"/>
      <c r="L29" s="799" t="n"/>
      <c r="M29" s="799" t="n"/>
      <c r="N29" s="799" t="n"/>
      <c r="O29" s="799" t="n"/>
      <c r="P29" s="799" t="n"/>
      <c r="Q29" s="799" t="n"/>
      <c r="R29" s="799" t="n"/>
      <c r="S29" s="799" t="n"/>
      <c r="T29" s="799" t="n"/>
      <c r="V29" s="799" t="n"/>
      <c r="W29" s="799" t="n"/>
      <c r="X29" s="799" t="n"/>
      <c r="Y29" s="800" t="n"/>
      <c r="Z29" s="800" t="n"/>
      <c r="AA29" s="800" t="n"/>
      <c r="AB29" s="800" t="n"/>
      <c r="AC29" s="800" t="n"/>
      <c r="AD29" s="800" t="n"/>
      <c r="AE29" s="800" t="n"/>
      <c r="AF29" s="800" t="n"/>
      <c r="AG29" s="788" t="n"/>
      <c r="AH29" s="800" t="n"/>
      <c r="AI29" s="800" t="n"/>
      <c r="AJ29" s="801" t="n"/>
      <c r="AL29" s="800" t="n"/>
      <c r="AM29" s="800" t="n"/>
    </row>
    <row r="30" customFormat="1" s="160">
      <c r="C30" s="246" t="n"/>
      <c r="E30" s="802" t="inlineStr">
        <is>
          <t>Ø 2021</t>
        </is>
      </c>
      <c r="F30" s="269" t="inlineStr">
        <is>
          <t>Ø 2022</t>
        </is>
      </c>
      <c r="G30" s="803" t="inlineStr">
        <is>
          <t>Ø 2022</t>
        </is>
      </c>
      <c r="I30" s="269">
        <f>TEXT(I$2,"00")&amp;" "&amp;I$1</f>
        <v/>
      </c>
      <c r="J30" s="269">
        <f>TEXT(J$2,"00")&amp;" "&amp;J$1</f>
        <v/>
      </c>
      <c r="K30" s="269">
        <f>TEXT(K$2,"00")&amp;" "&amp;K$1</f>
        <v/>
      </c>
      <c r="L30" s="269">
        <f>TEXT(L$2,"00")&amp;" "&amp;L$1</f>
        <v/>
      </c>
      <c r="M30" s="269">
        <f>TEXT(M$2,"00")&amp;" "&amp;M$1</f>
        <v/>
      </c>
      <c r="N30" s="269">
        <f>TEXT(N$2,"00")&amp;" "&amp;N$1</f>
        <v/>
      </c>
      <c r="O30" s="269">
        <f>TEXT(O$2,"00")&amp;" "&amp;O$1</f>
        <v/>
      </c>
      <c r="P30" s="269">
        <f>TEXT(P$2,"00")&amp;" "&amp;P$1</f>
        <v/>
      </c>
      <c r="Q30" s="269">
        <f>TEXT(Q$2,"00")&amp;" "&amp;Q$1</f>
        <v/>
      </c>
      <c r="R30" s="269">
        <f>TEXT(R$2,"00")&amp;" "&amp;R$1</f>
        <v/>
      </c>
      <c r="S30" s="269">
        <f>TEXT(S$2,"00")&amp;" "&amp;S$1</f>
        <v/>
      </c>
      <c r="T30" s="269">
        <f>TEXT(T$2,"00")&amp;" "&amp;T$1</f>
        <v/>
      </c>
      <c r="V30" s="782">
        <f>TEXT(V$2,"00")&amp;" "&amp;V$1</f>
        <v/>
      </c>
      <c r="W30" s="782">
        <f>TEXT(W$2,"00")&amp;" "&amp;W$1</f>
        <v/>
      </c>
      <c r="X30" s="782">
        <f>TEXT(X$2,"00")&amp;" "&amp;X$1</f>
        <v/>
      </c>
      <c r="Y30" s="782">
        <f>TEXT(Y$2,"00")&amp;" "&amp;Y$1</f>
        <v/>
      </c>
      <c r="Z30" s="782">
        <f>TEXT(Z$2,"00")&amp;" "&amp;Z$1</f>
        <v/>
      </c>
      <c r="AA30" s="782">
        <f>TEXT(AA$2,"00")&amp;" "&amp;AA$1</f>
        <v/>
      </c>
      <c r="AB30" s="782">
        <f>TEXT(AB$2,"00")&amp;" "&amp;AB$1</f>
        <v/>
      </c>
      <c r="AC30" s="782">
        <f>TEXT(AC$2,"00")&amp;" "&amp;AC$1</f>
        <v/>
      </c>
      <c r="AD30" s="782">
        <f>TEXT(AD$2,"00")&amp;" "&amp;AD$1</f>
        <v/>
      </c>
      <c r="AE30" s="782">
        <f>TEXT(AE$2,"00")&amp;" "&amp;AE$1</f>
        <v/>
      </c>
      <c r="AF30" s="782">
        <f>TEXT(AF$2,"00")&amp;" "&amp;AF$1</f>
        <v/>
      </c>
      <c r="AG30" s="790" t="n"/>
      <c r="AH30" s="269">
        <f>AH$2&amp;" "&amp;AH$1</f>
        <v/>
      </c>
      <c r="AI30" s="270">
        <f>AI$2&amp;" "&amp;AI$1</f>
        <v/>
      </c>
      <c r="AJ30" s="261">
        <f>AJ$2&amp;" "&amp;AJ$1</f>
        <v/>
      </c>
      <c r="AL30" s="244">
        <f>AL$2&amp;" "&amp;AL$1</f>
        <v/>
      </c>
      <c r="AM30" s="270">
        <f>AM$2&amp;" "&amp;AM$1</f>
        <v/>
      </c>
    </row>
    <row r="31" customFormat="1" s="160">
      <c r="B31" s="267" t="n"/>
      <c r="C31" s="349" t="n"/>
      <c r="E31" s="802" t="inlineStr">
        <is>
          <t>ACT</t>
        </is>
      </c>
      <c r="F31" s="269" t="inlineStr">
        <is>
          <t>ACT</t>
        </is>
      </c>
      <c r="G31" s="803" t="inlineStr">
        <is>
          <t>PLAN</t>
        </is>
      </c>
      <c r="I31" s="269" t="inlineStr">
        <is>
          <t>ACT</t>
        </is>
      </c>
      <c r="J31" s="269" t="inlineStr">
        <is>
          <t>ACT</t>
        </is>
      </c>
      <c r="K31" s="269" t="inlineStr">
        <is>
          <t>ACT</t>
        </is>
      </c>
      <c r="L31" s="269" t="inlineStr">
        <is>
          <t>ACT</t>
        </is>
      </c>
      <c r="M31" s="269" t="inlineStr">
        <is>
          <t>ACT</t>
        </is>
      </c>
      <c r="N31" s="269" t="inlineStr">
        <is>
          <t>ACT</t>
        </is>
      </c>
      <c r="O31" s="269" t="inlineStr">
        <is>
          <t>ACT</t>
        </is>
      </c>
      <c r="P31" s="269" t="inlineStr">
        <is>
          <t>ACT</t>
        </is>
      </c>
      <c r="Q31" s="269" t="inlineStr">
        <is>
          <t>ACT</t>
        </is>
      </c>
      <c r="R31" s="269" t="inlineStr">
        <is>
          <t>ACT</t>
        </is>
      </c>
      <c r="S31" s="269" t="inlineStr">
        <is>
          <t>ACT</t>
        </is>
      </c>
      <c r="T31" s="269" t="inlineStr">
        <is>
          <t>ACT</t>
        </is>
      </c>
      <c r="V31" s="804" t="inlineStr">
        <is>
          <t>FCST</t>
        </is>
      </c>
      <c r="W31" s="804" t="inlineStr">
        <is>
          <t>FCST</t>
        </is>
      </c>
      <c r="X31" s="804" t="inlineStr">
        <is>
          <t>FCST</t>
        </is>
      </c>
      <c r="Y31" s="805" t="inlineStr">
        <is>
          <t>FCST</t>
        </is>
      </c>
      <c r="Z31" s="805" t="inlineStr">
        <is>
          <t>FCST</t>
        </is>
      </c>
      <c r="AA31" s="805" t="inlineStr">
        <is>
          <t>FCST</t>
        </is>
      </c>
      <c r="AB31" s="805" t="inlineStr">
        <is>
          <t>FCST</t>
        </is>
      </c>
      <c r="AC31" s="805" t="inlineStr">
        <is>
          <t>FCST</t>
        </is>
      </c>
      <c r="AD31" s="805" t="inlineStr">
        <is>
          <t>FCST</t>
        </is>
      </c>
      <c r="AE31" s="805" t="inlineStr">
        <is>
          <t>FCST</t>
        </is>
      </c>
      <c r="AF31" s="805" t="inlineStr">
        <is>
          <t>FCST</t>
        </is>
      </c>
      <c r="AG31" s="790" t="n"/>
      <c r="AH31" s="269" t="inlineStr">
        <is>
          <t xml:space="preserve">ACT </t>
        </is>
      </c>
      <c r="AI31" s="270" t="inlineStr">
        <is>
          <t xml:space="preserve">PLAN </t>
        </is>
      </c>
      <c r="AJ31" s="262" t="inlineStr">
        <is>
          <t>∆  ACT PLAN</t>
        </is>
      </c>
      <c r="AL31" s="244" t="inlineStr">
        <is>
          <t xml:space="preserve">ACT </t>
        </is>
      </c>
      <c r="AM31" s="270" t="inlineStr">
        <is>
          <t xml:space="preserve">PLAN </t>
        </is>
      </c>
    </row>
    <row r="32" customFormat="1" s="329">
      <c r="B32" s="336" t="inlineStr">
        <is>
          <t>Revenue by Business Field</t>
        </is>
      </c>
      <c r="C32" s="260" t="n"/>
      <c r="E32" s="784" t="n"/>
      <c r="F32" s="784" t="n"/>
      <c r="G32" s="785" t="n"/>
      <c r="I32" s="785" t="n"/>
      <c r="J32" s="785" t="n"/>
      <c r="K32" s="785" t="n"/>
      <c r="L32" s="785" t="n"/>
      <c r="M32" s="785" t="n"/>
      <c r="N32" s="784" t="n"/>
      <c r="O32" s="784" t="n"/>
      <c r="P32" s="784" t="n"/>
      <c r="Q32" s="784" t="n"/>
      <c r="R32" s="784" t="n"/>
      <c r="S32" s="784" t="n"/>
      <c r="T32" s="784" t="n"/>
      <c r="V32" s="786" t="n"/>
      <c r="W32" s="786" t="n"/>
      <c r="X32" s="786" t="n"/>
      <c r="Y32" s="784" t="n"/>
      <c r="Z32" s="784" t="n"/>
      <c r="AA32" s="784" t="n"/>
      <c r="AB32" s="784" t="n"/>
      <c r="AC32" s="784" t="n"/>
      <c r="AD32" s="784" t="n"/>
      <c r="AE32" s="784" t="n"/>
      <c r="AF32" s="787" t="n"/>
      <c r="AG32" s="787" t="n"/>
      <c r="AH32" s="256" t="n"/>
      <c r="AI32" s="257" t="n"/>
      <c r="AL32" s="256" t="n"/>
      <c r="AM32" s="258" t="n"/>
    </row>
    <row r="33">
      <c r="A33" s="160" t="inlineStr">
        <is>
          <t>GSE</t>
        </is>
      </c>
      <c r="B33" s="267" t="inlineStr">
        <is>
          <t>BU GSE</t>
        </is>
      </c>
      <c r="C33" s="349" t="inlineStr">
        <is>
          <t>k €</t>
        </is>
      </c>
      <c r="E33" s="788">
        <f>$AL33/E$3</f>
        <v/>
      </c>
      <c r="F33" s="788">
        <f>IFERROR(1/F$3,1)*SUMIFS(Data!$AD$3:$AD$305,Data!$Y$3:$Y$305,F$1,Data!$Z$3:$Z$305,IF(RIGHT(F$2,3)="YTD","&lt;="&amp;LEFT(F$2,2)*1,F$2),Data!$K$3:$K$305,$B33)</f>
        <v/>
      </c>
      <c r="G33" s="788">
        <f>AM33/12</f>
        <v/>
      </c>
      <c r="H33" s="801" t="n"/>
      <c r="I33" s="791">
        <f>IFERROR(1/I$3,1)*SUMIFS(tbl_DCFC[F Montant HT],tbl_DCFC[Revenue_Year],I$1,tbl_DCFC[Revenue_Month],IF(RIGHT(I$2,3)="YTD","&lt;="&amp;LEFT(I$2,2)*1,I$2),tbl_DCFC[BU_Key],$A33)</f>
        <v/>
      </c>
      <c r="J33" s="791">
        <f>IFERROR(1/J$3,1)*SUMIFS(tbl_DCFC[F Montant HT],tbl_DCFC[Revenue_Year],J$1,tbl_DCFC[Revenue_Month],IF(RIGHT(J$2,3)="YTD","&lt;="&amp;LEFT(J$2,2)*1,J$2),tbl_DCFC[BU_Key],$A33)</f>
        <v/>
      </c>
      <c r="K33" s="791">
        <f>IFERROR(1/K$3,1)*SUMIFS(tbl_DCFC[F Montant HT],tbl_DCFC[Revenue_Year],K$1,tbl_DCFC[Revenue_Month],IF(RIGHT(K$2,3)="YTD","&lt;="&amp;LEFT(K$2,2)*1,K$2),tbl_DCFC[BU_Key],$A33)</f>
        <v/>
      </c>
      <c r="L33" s="791">
        <f>IFERROR(1/L$3,1)*SUMIFS(tbl_DCFC[F Montant HT],tbl_DCFC[Revenue_Year],L$1,tbl_DCFC[Revenue_Month],IF(RIGHT(L$2,3)="YTD","&lt;="&amp;LEFT(L$2,2)*1,L$2),tbl_DCFC[BU_Key],$A33)</f>
        <v/>
      </c>
      <c r="M33" s="791">
        <f>IFERROR(1/M$3,1)*SUMIFS(tbl_DCFC[F Montant HT],tbl_DCFC[Revenue_Year],M$1,tbl_DCFC[Revenue_Month],IF(RIGHT(M$2,3)="YTD","&lt;="&amp;LEFT(M$2,2)*1,M$2),tbl_DCFC[BU_Key],$A33)</f>
        <v/>
      </c>
      <c r="N33" s="791">
        <f>IFERROR(1/N$3,1)*SUMIFS(tbl_DCFC[F Montant HT],tbl_DCFC[Revenue_Year],N$1,tbl_DCFC[Revenue_Month],IF(RIGHT(N$2,3)="YTD","&lt;="&amp;LEFT(N$2,2)*1,N$2),tbl_DCFC[BU_Key],$A33)</f>
        <v/>
      </c>
      <c r="O33" s="791">
        <f>IFERROR(1/O$3,1)*SUMIFS(tbl_DCFC[F Montant HT],tbl_DCFC[Revenue_Year],O$1,tbl_DCFC[Revenue_Month],IF(RIGHT(O$2,3)="YTD","&lt;="&amp;LEFT(O$2,2)*1,O$2),tbl_DCFC[BU_Key],$A33)</f>
        <v/>
      </c>
      <c r="P33" s="791">
        <f>IFERROR(1/P$3,1)*SUMIFS(tbl_DCFC[F Montant HT],tbl_DCFC[Revenue_Year],P$1,tbl_DCFC[Revenue_Month],IF(RIGHT(P$2,3)="YTD","&lt;="&amp;LEFT(P$2,2)*1,P$2),tbl_DCFC[BU_Key],$A33)</f>
        <v/>
      </c>
      <c r="Q33" s="791">
        <f>IFERROR(1/Q$3,1)*SUMIFS(tbl_DCFC[F Montant HT],tbl_DCFC[Revenue_Year],Q$1,tbl_DCFC[Revenue_Month],IF(RIGHT(Q$2,3)="YTD","&lt;="&amp;LEFT(Q$2,2)*1,Q$2),tbl_DCFC[BU_Key],$A33)</f>
        <v/>
      </c>
      <c r="R33" s="791">
        <f>IFERROR(1/R$3,1)*SUMIFS(tbl_DCFC[F Montant HT],tbl_DCFC[Revenue_Year],R$1,tbl_DCFC[Revenue_Month],IF(RIGHT(R$2,3)="YTD","&lt;="&amp;LEFT(R$2,2)*1,R$2),tbl_DCFC[BU_Key],$A33)</f>
        <v/>
      </c>
      <c r="S33" s="791">
        <f>IFERROR(1/S$3,1)*SUMIFS(tbl_DCFC[F Montant HT],tbl_DCFC[Revenue_Year],S$1,tbl_DCFC[Revenue_Month],IF(RIGHT(S$2,3)="YTD","&lt;="&amp;LEFT(S$2,2)*1,S$2),tbl_DCFC[BU_Key],$A33)</f>
        <v/>
      </c>
      <c r="T33" s="791">
        <f>IFERROR(1/T$3,1)*SUMIFS(tbl_DCFC[F Montant HT],tbl_DCFC[Revenue_Year],T$1,tbl_DCFC[Revenue_Month],IF(RIGHT(T$2,3)="YTD","&lt;="&amp;LEFT(T$2,2)*1,T$2),tbl_DCFC[BU_Key],$A33)</f>
        <v/>
      </c>
      <c r="V33" s="788">
        <f>E33</f>
        <v/>
      </c>
      <c r="W33" s="788">
        <f>F33</f>
        <v/>
      </c>
      <c r="X33" s="788">
        <f>G33</f>
        <v/>
      </c>
      <c r="Y33" s="788">
        <f>$G33</f>
        <v/>
      </c>
      <c r="Z33" s="788">
        <f>$G33</f>
        <v/>
      </c>
      <c r="AA33" s="788">
        <f>$G33</f>
        <v/>
      </c>
      <c r="AB33" s="788">
        <f>$G33</f>
        <v/>
      </c>
      <c r="AC33" s="788">
        <f>$G33</f>
        <v/>
      </c>
      <c r="AD33" s="788">
        <f>$G33</f>
        <v/>
      </c>
      <c r="AE33" s="788">
        <f>$G33</f>
        <v/>
      </c>
      <c r="AF33" s="788">
        <f>$G33</f>
        <v/>
      </c>
      <c r="AG33" s="788" t="n"/>
      <c r="AH33" s="791">
        <f>IFERROR(1/AH$3,1)*SUMIFS(tbl_DCFC[F Montant HT],tbl_DCFC[Revenue_Year],AH$1,tbl_DCFC[Revenue_Month],IF(RIGHT(AH$2,3)="YTD","&lt;="&amp;LEFT(AH$2,2)*1,AH$2),tbl_DCFC[BU_Key],$A33)</f>
        <v/>
      </c>
      <c r="AI33" s="788">
        <f>AM33/12*$C$5</f>
        <v/>
      </c>
      <c r="AJ33" s="789">
        <f>AH33-AI33</f>
        <v/>
      </c>
      <c r="AL33" s="791">
        <f>IFERROR(1/AL$3,1)*SUMIFS(tbl_DCFC[F Montant HT],tbl_DCFC[Revenue_Year],AL$1,tbl_DCFC[Revenue_Month],IF(RIGHT(AL$2,3)="YTD","&lt;="&amp;LEFT(AL$2,2)*1,AL$2),tbl_DCFC[BU_Key],$A33)</f>
        <v/>
      </c>
      <c r="AM33" s="788" t="n">
        <v>0</v>
      </c>
    </row>
    <row r="34">
      <c r="A34" t="inlineStr">
        <is>
          <t>TOO</t>
        </is>
      </c>
      <c r="B34" s="267" t="inlineStr">
        <is>
          <t>BU Tooling</t>
        </is>
      </c>
      <c r="C34" s="349" t="inlineStr">
        <is>
          <t>k €</t>
        </is>
      </c>
      <c r="E34" s="788">
        <f>$AL34/E$3</f>
        <v/>
      </c>
      <c r="F34" s="788">
        <f>IFERROR(1/F$3,1)*SUMIFS(Data!$S$3:$S$305,Data!$O$3:$O$305,F$1,Data!$P$3:$P$305,IF(RIGHT(F$2,3)="YTD","&lt;="&amp;LEFT(F$2,2)*1,F$2),Data!$K$3:$K$305,$B34)</f>
        <v/>
      </c>
      <c r="G34" s="788">
        <f>AM34/12</f>
        <v/>
      </c>
      <c r="I34" s="788">
        <f>IFERROR(1/I$3,1)*SUMIFS(tbl_DCFC[F Montant HT],tbl_DCFC[Revenue_Year],I$1,tbl_DCFC[Revenue_Month],IF(RIGHT(I$2,3)="YTD","&lt;="&amp;LEFT(I$2,2)*1,I$2),tbl_DCFC[BU_Key],$A34)</f>
        <v/>
      </c>
      <c r="J34" s="788">
        <f>IFERROR(1/J$3,1)*SUMIFS(tbl_DCFC[F Montant HT],tbl_DCFC[Revenue_Year],J$1,tbl_DCFC[Revenue_Month],IF(RIGHT(J$2,3)="YTD","&lt;="&amp;LEFT(J$2,2)*1,J$2),tbl_DCFC[BU_Key],$A34)</f>
        <v/>
      </c>
      <c r="K34" s="788">
        <f>IFERROR(1/K$3,1)*SUMIFS(tbl_DCFC[F Montant HT],tbl_DCFC[Revenue_Year],K$1,tbl_DCFC[Revenue_Month],IF(RIGHT(K$2,3)="YTD","&lt;="&amp;LEFT(K$2,2)*1,K$2),tbl_DCFC[BU_Key],$A34)</f>
        <v/>
      </c>
      <c r="L34" s="788">
        <f>IFERROR(1/L$3,1)*SUMIFS(tbl_DCFC[F Montant HT],tbl_DCFC[Revenue_Year],L$1,tbl_DCFC[Revenue_Month],IF(RIGHT(L$2,3)="YTD","&lt;="&amp;LEFT(L$2,2)*1,L$2),tbl_DCFC[BU_Key],$A34)</f>
        <v/>
      </c>
      <c r="M34" s="788">
        <f>IFERROR(1/M$3,1)*SUMIFS(tbl_DCFC[F Montant HT],tbl_DCFC[Revenue_Year],M$1,tbl_DCFC[Revenue_Month],IF(RIGHT(M$2,3)="YTD","&lt;="&amp;LEFT(M$2,2)*1,M$2),tbl_DCFC[BU_Key],$A34)</f>
        <v/>
      </c>
      <c r="N34" s="788">
        <f>IFERROR(1/N$3,1)*SUMIFS(tbl_DCFC[F Montant HT],tbl_DCFC[Revenue_Year],N$1,tbl_DCFC[Revenue_Month],IF(RIGHT(N$2,3)="YTD","&lt;="&amp;LEFT(N$2,2)*1,N$2),tbl_DCFC[BU_Key],$A34)</f>
        <v/>
      </c>
      <c r="O34" s="788">
        <f>IFERROR(1/O$3,1)*SUMIFS(tbl_DCFC[F Montant HT],tbl_DCFC[Revenue_Year],O$1,tbl_DCFC[Revenue_Month],IF(RIGHT(O$2,3)="YTD","&lt;="&amp;LEFT(O$2,2)*1,O$2),tbl_DCFC[BU_Key],$A34)</f>
        <v/>
      </c>
      <c r="P34" s="788">
        <f>IFERROR(1/P$3,1)*SUMIFS(tbl_DCFC[F Montant HT],tbl_DCFC[Revenue_Year],P$1,tbl_DCFC[Revenue_Month],IF(RIGHT(P$2,3)="YTD","&lt;="&amp;LEFT(P$2,2)*1,P$2),tbl_DCFC[BU_Key],$A34)</f>
        <v/>
      </c>
      <c r="Q34" s="788">
        <f>IFERROR(1/Q$3,1)*SUMIFS(tbl_DCFC[F Montant HT],tbl_DCFC[Revenue_Year],Q$1,tbl_DCFC[Revenue_Month],IF(RIGHT(Q$2,3)="YTD","&lt;="&amp;LEFT(Q$2,2)*1,Q$2),tbl_DCFC[BU_Key],$A34)</f>
        <v/>
      </c>
      <c r="R34" s="788">
        <f>IFERROR(1/R$3,1)*SUMIFS(tbl_DCFC[F Montant HT],tbl_DCFC[Revenue_Year],R$1,tbl_DCFC[Revenue_Month],IF(RIGHT(R$2,3)="YTD","&lt;="&amp;LEFT(R$2,2)*1,R$2),tbl_DCFC[BU_Key],$A34)</f>
        <v/>
      </c>
      <c r="S34" s="788">
        <f>IFERROR(1/S$3,1)*SUMIFS(tbl_DCFC[F Montant HT],tbl_DCFC[Revenue_Year],S$1,tbl_DCFC[Revenue_Month],IF(RIGHT(S$2,3)="YTD","&lt;="&amp;LEFT(S$2,2)*1,S$2),tbl_DCFC[BU_Key],$A34)</f>
        <v/>
      </c>
      <c r="T34" s="788">
        <f>IFERROR(1/T$3,1)*SUMIFS(tbl_DCFC[F Montant HT],tbl_DCFC[Revenue_Year],T$1,tbl_DCFC[Revenue_Month],IF(RIGHT(T$2,3)="YTD","&lt;="&amp;LEFT(T$2,2)*1,T$2),tbl_DCFC[BU_Key],$A34)</f>
        <v/>
      </c>
      <c r="V34" s="788">
        <f>E34</f>
        <v/>
      </c>
      <c r="W34" s="788">
        <f>F34</f>
        <v/>
      </c>
      <c r="X34" s="788">
        <f>G34</f>
        <v/>
      </c>
      <c r="Y34" s="788">
        <f>$G34</f>
        <v/>
      </c>
      <c r="Z34" s="788">
        <f>$G34</f>
        <v/>
      </c>
      <c r="AA34" s="788">
        <f>$G34</f>
        <v/>
      </c>
      <c r="AB34" s="788">
        <f>$G34</f>
        <v/>
      </c>
      <c r="AC34" s="788">
        <f>$G34</f>
        <v/>
      </c>
      <c r="AD34" s="788">
        <f>$G34</f>
        <v/>
      </c>
      <c r="AE34" s="788">
        <f>$G34</f>
        <v/>
      </c>
      <c r="AF34" s="788">
        <f>$G34</f>
        <v/>
      </c>
      <c r="AG34" s="788" t="n"/>
      <c r="AH34" s="788">
        <f>IFERROR(1/AH$3,1)*SUMIFS(tbl_DCFC[F Montant HT],tbl_DCFC[Revenue_Year],AH$1,tbl_DCFC[Revenue_Month],IF(RIGHT(AH$2,3)="YTD","&lt;="&amp;LEFT(AH$2,2)*1,AH$2),tbl_DCFC[BU_Key],$A34)</f>
        <v/>
      </c>
      <c r="AI34" s="788">
        <f>AM34/12*LEFT(AI$2,2)*1</f>
        <v/>
      </c>
      <c r="AJ34" s="789">
        <f>AH34-AI34</f>
        <v/>
      </c>
      <c r="AL34" s="788">
        <f>IFERROR(1/AL$3,1)*SUMIFS(tbl_DCFC[F Montant HT],tbl_DCFC[Revenue_Year],AL$1,tbl_DCFC[Revenue_Month],IF(RIGHT(AL$2,3)="YTD","&lt;="&amp;LEFT(AL$2,2)*1,AL$2),tbl_DCFC[BU_Key],$A34)</f>
        <v/>
      </c>
      <c r="AM34" s="788" t="n">
        <v>0</v>
      </c>
    </row>
    <row r="35">
      <c r="A35" s="160" t="inlineStr">
        <is>
          <t>SER</t>
        </is>
      </c>
      <c r="B35" s="267" t="inlineStr">
        <is>
          <t>BU Service</t>
        </is>
      </c>
      <c r="C35" s="349" t="inlineStr">
        <is>
          <t>k €</t>
        </is>
      </c>
      <c r="E35" s="788">
        <f>$AL35/E$3</f>
        <v/>
      </c>
      <c r="F35" s="788">
        <f>IFERROR(1/F$3,1)*SUMIFS(Data!$S$3:$S$305,Data!$O$3:$O$305,F$1,Data!$P$3:$P$305,IF(RIGHT(F$2,3)="YTD","&lt;="&amp;LEFT(F$2,2)*1,F$2),Data!$K$3:$K$305,$B35)</f>
        <v/>
      </c>
      <c r="G35" s="788">
        <f>AM35/12</f>
        <v/>
      </c>
      <c r="I35" s="788">
        <f>IFERROR(1/I$3,1)*SUMIFS(tbl_DCFC[F Montant HT],tbl_DCFC[Revenue_Year],I$1,tbl_DCFC[Revenue_Month],IF(RIGHT(I$2,3)="YTD","&lt;="&amp;LEFT(I$2,2)*1,I$2),tbl_DCFC[BU_Key],$A35)</f>
        <v/>
      </c>
      <c r="J35" s="788">
        <f>IFERROR(1/J$3,1)*SUMIFS(tbl_DCFC[F Montant HT],tbl_DCFC[Revenue_Year],J$1,tbl_DCFC[Revenue_Month],IF(RIGHT(J$2,3)="YTD","&lt;="&amp;LEFT(J$2,2)*1,J$2),tbl_DCFC[BU_Key],$A35)</f>
        <v/>
      </c>
      <c r="K35" s="788">
        <f>IFERROR(1/K$3,1)*SUMIFS(tbl_DCFC[F Montant HT],tbl_DCFC[Revenue_Year],K$1,tbl_DCFC[Revenue_Month],IF(RIGHT(K$2,3)="YTD","&lt;="&amp;LEFT(K$2,2)*1,K$2),tbl_DCFC[BU_Key],$A35)</f>
        <v/>
      </c>
      <c r="L35" s="788">
        <f>IFERROR(1/L$3,1)*SUMIFS(tbl_DCFC[F Montant HT],tbl_DCFC[Revenue_Year],L$1,tbl_DCFC[Revenue_Month],IF(RIGHT(L$2,3)="YTD","&lt;="&amp;LEFT(L$2,2)*1,L$2),tbl_DCFC[BU_Key],$A35)</f>
        <v/>
      </c>
      <c r="M35" s="788">
        <f>IFERROR(1/M$3,1)*SUMIFS(tbl_DCFC[F Montant HT],tbl_DCFC[Revenue_Year],M$1,tbl_DCFC[Revenue_Month],IF(RIGHT(M$2,3)="YTD","&lt;="&amp;LEFT(M$2,2)*1,M$2),tbl_DCFC[BU_Key],$A35)</f>
        <v/>
      </c>
      <c r="N35" s="788">
        <f>IFERROR(1/N$3,1)*SUMIFS(tbl_DCFC[F Montant HT],tbl_DCFC[Revenue_Year],N$1,tbl_DCFC[Revenue_Month],IF(RIGHT(N$2,3)="YTD","&lt;="&amp;LEFT(N$2,2)*1,N$2),tbl_DCFC[BU_Key],$A35)</f>
        <v/>
      </c>
      <c r="O35" s="788">
        <f>IFERROR(1/O$3,1)*SUMIFS(tbl_DCFC[F Montant HT],tbl_DCFC[Revenue_Year],O$1,tbl_DCFC[Revenue_Month],IF(RIGHT(O$2,3)="YTD","&lt;="&amp;LEFT(O$2,2)*1,O$2),tbl_DCFC[BU_Key],$A35)</f>
        <v/>
      </c>
      <c r="P35" s="788">
        <f>IFERROR(1/P$3,1)*SUMIFS(tbl_DCFC[F Montant HT],tbl_DCFC[Revenue_Year],P$1,tbl_DCFC[Revenue_Month],IF(RIGHT(P$2,3)="YTD","&lt;="&amp;LEFT(P$2,2)*1,P$2),tbl_DCFC[BU_Key],$A35)</f>
        <v/>
      </c>
      <c r="Q35" s="788">
        <f>IFERROR(1/Q$3,1)*SUMIFS(tbl_DCFC[F Montant HT],tbl_DCFC[Revenue_Year],Q$1,tbl_DCFC[Revenue_Month],IF(RIGHT(Q$2,3)="YTD","&lt;="&amp;LEFT(Q$2,2)*1,Q$2),tbl_DCFC[BU_Key],$A35)</f>
        <v/>
      </c>
      <c r="R35" s="788">
        <f>IFERROR(1/R$3,1)*SUMIFS(tbl_DCFC[F Montant HT],tbl_DCFC[Revenue_Year],R$1,tbl_DCFC[Revenue_Month],IF(RIGHT(R$2,3)="YTD","&lt;="&amp;LEFT(R$2,2)*1,R$2),tbl_DCFC[BU_Key],$A35)</f>
        <v/>
      </c>
      <c r="S35" s="788">
        <f>IFERROR(1/S$3,1)*SUMIFS(tbl_DCFC[F Montant HT],tbl_DCFC[Revenue_Year],S$1,tbl_DCFC[Revenue_Month],IF(RIGHT(S$2,3)="YTD","&lt;="&amp;LEFT(S$2,2)*1,S$2),tbl_DCFC[BU_Key],$A35)</f>
        <v/>
      </c>
      <c r="T35" s="788">
        <f>IFERROR(1/T$3,1)*SUMIFS(tbl_DCFC[F Montant HT],tbl_DCFC[Revenue_Year],T$1,tbl_DCFC[Revenue_Month],IF(RIGHT(T$2,3)="YTD","&lt;="&amp;LEFT(T$2,2)*1,T$2),tbl_DCFC[BU_Key],$A35)</f>
        <v/>
      </c>
      <c r="V35" s="788">
        <f>E35</f>
        <v/>
      </c>
      <c r="W35" s="788">
        <f>F35</f>
        <v/>
      </c>
      <c r="X35" s="788">
        <f>G35</f>
        <v/>
      </c>
      <c r="Y35" s="788">
        <f>$G35</f>
        <v/>
      </c>
      <c r="Z35" s="788">
        <f>$G35</f>
        <v/>
      </c>
      <c r="AA35" s="788">
        <f>$G35</f>
        <v/>
      </c>
      <c r="AB35" s="788">
        <f>$G35</f>
        <v/>
      </c>
      <c r="AC35" s="788">
        <f>$G35</f>
        <v/>
      </c>
      <c r="AD35" s="788">
        <f>$G35</f>
        <v/>
      </c>
      <c r="AE35" s="788">
        <f>$G35</f>
        <v/>
      </c>
      <c r="AF35" s="788">
        <f>$G35</f>
        <v/>
      </c>
      <c r="AG35" s="788" t="n"/>
      <c r="AH35" s="788">
        <f>IFERROR(1/AH$3,1)*SUMIFS(tbl_DCFC[F Montant HT],tbl_DCFC[Revenue_Year],AH$1,tbl_DCFC[Revenue_Month],IF(RIGHT(AH$2,3)="YTD","&lt;="&amp;LEFT(AH$2,2)*1,AH$2),tbl_DCFC[BU_Key],$A35)</f>
        <v/>
      </c>
      <c r="AI35" s="788">
        <f>AM35/12*LEFT(AI$2,2)*1</f>
        <v/>
      </c>
      <c r="AJ35" s="789">
        <f>AH35-AI35</f>
        <v/>
      </c>
      <c r="AL35" s="788">
        <f>IFERROR(1/AL$3,1)*SUMIFS(tbl_DCFC[F Montant HT],tbl_DCFC[Revenue_Year],AL$1,tbl_DCFC[Revenue_Month],IF(RIGHT(AL$2,3)="YTD","&lt;="&amp;LEFT(AL$2,2)*1,AL$2),tbl_DCFC[BU_Key],$A35)</f>
        <v/>
      </c>
      <c r="AM35" s="788" t="n">
        <v>700000</v>
      </c>
    </row>
    <row r="36" customFormat="1" s="329">
      <c r="A36" s="329" t="inlineStr">
        <is>
          <t>INT</t>
        </is>
      </c>
      <c r="B36" s="267" t="inlineStr">
        <is>
          <t>Intercompany</t>
        </is>
      </c>
      <c r="C36" s="260" t="n"/>
      <c r="E36" s="788">
        <f>$AL36/E$3</f>
        <v/>
      </c>
      <c r="F36" s="788">
        <f>IFERROR(1/F$3,1)*SUMIFS(Data!$S$3:$S$305,Data!$O$3:$O$305,F$1,Data!$P$3:$P$305,IF(RIGHT(F$2,3)="YTD","&lt;="&amp;LEFT(F$2,2)*1,F$2),Data!$K$3:$K$305,$B36)</f>
        <v/>
      </c>
      <c r="G36" s="788">
        <f>AM36/12</f>
        <v/>
      </c>
      <c r="I36" s="788">
        <f>IFERROR(1/I$3,1)*SUMIFS(tbl_DCFC[F Montant HT],tbl_DCFC[Revenue_Year],I$1,tbl_DCFC[Revenue_Month],IF(RIGHT(I$2,3)="YTD","&lt;="&amp;LEFT(I$2,2)*1,I$2),tbl_DCFC[BU_Key],$A36)</f>
        <v/>
      </c>
      <c r="J36" s="788">
        <f>IFERROR(1/J$3,1)*SUMIFS(tbl_DCFC[F Montant HT],tbl_DCFC[Revenue_Year],J$1,tbl_DCFC[Revenue_Month],IF(RIGHT(J$2,3)="YTD","&lt;="&amp;LEFT(J$2,2)*1,J$2),tbl_DCFC[BU_Key],$A36)</f>
        <v/>
      </c>
      <c r="K36" s="788">
        <f>IFERROR(1/K$3,1)*SUMIFS(tbl_DCFC[F Montant HT],tbl_DCFC[Revenue_Year],K$1,tbl_DCFC[Revenue_Month],IF(RIGHT(K$2,3)="YTD","&lt;="&amp;LEFT(K$2,2)*1,K$2),tbl_DCFC[BU_Key],$A36)</f>
        <v/>
      </c>
      <c r="L36" s="788">
        <f>IFERROR(1/L$3,1)*SUMIFS(tbl_DCFC[F Montant HT],tbl_DCFC[Revenue_Year],L$1,tbl_DCFC[Revenue_Month],IF(RIGHT(L$2,3)="YTD","&lt;="&amp;LEFT(L$2,2)*1,L$2),tbl_DCFC[BU_Key],$A36)</f>
        <v/>
      </c>
      <c r="M36" s="788">
        <f>IFERROR(1/M$3,1)*SUMIFS(tbl_DCFC[F Montant HT],tbl_DCFC[Revenue_Year],M$1,tbl_DCFC[Revenue_Month],IF(RIGHT(M$2,3)="YTD","&lt;="&amp;LEFT(M$2,2)*1,M$2),tbl_DCFC[BU_Key],$A36)</f>
        <v/>
      </c>
      <c r="N36" s="788">
        <f>IFERROR(1/N$3,1)*SUMIFS(tbl_DCFC[F Montant HT],tbl_DCFC[Revenue_Year],N$1,tbl_DCFC[Revenue_Month],IF(RIGHT(N$2,3)="YTD","&lt;="&amp;LEFT(N$2,2)*1,N$2),tbl_DCFC[BU_Key],$A36)</f>
        <v/>
      </c>
      <c r="O36" s="788">
        <f>IFERROR(1/O$3,1)*SUMIFS(tbl_DCFC[F Montant HT],tbl_DCFC[Revenue_Year],O$1,tbl_DCFC[Revenue_Month],IF(RIGHT(O$2,3)="YTD","&lt;="&amp;LEFT(O$2,2)*1,O$2),tbl_DCFC[BU_Key],$A36)</f>
        <v/>
      </c>
      <c r="P36" s="788">
        <f>IFERROR(1/P$3,1)*SUMIFS(tbl_DCFC[F Montant HT],tbl_DCFC[Revenue_Year],P$1,tbl_DCFC[Revenue_Month],IF(RIGHT(P$2,3)="YTD","&lt;="&amp;LEFT(P$2,2)*1,P$2),tbl_DCFC[BU_Key],$A36)</f>
        <v/>
      </c>
      <c r="Q36" s="788">
        <f>IFERROR(1/Q$3,1)*SUMIFS(tbl_DCFC[F Montant HT],tbl_DCFC[Revenue_Year],Q$1,tbl_DCFC[Revenue_Month],IF(RIGHT(Q$2,3)="YTD","&lt;="&amp;LEFT(Q$2,2)*1,Q$2),tbl_DCFC[BU_Key],$A36)</f>
        <v/>
      </c>
      <c r="R36" s="788">
        <f>IFERROR(1/R$3,1)*SUMIFS(tbl_DCFC[F Montant HT],tbl_DCFC[Revenue_Year],R$1,tbl_DCFC[Revenue_Month],IF(RIGHT(R$2,3)="YTD","&lt;="&amp;LEFT(R$2,2)*1,R$2),tbl_DCFC[BU_Key],$A36)</f>
        <v/>
      </c>
      <c r="S36" s="791">
        <f>IFERROR(1/S$3,1)*SUMIFS(tbl_DCFC[F Montant HT],tbl_DCFC[Revenue_Year],S$1,tbl_DCFC[Revenue_Month],IF(RIGHT(S$2,3)="YTD","&lt;="&amp;LEFT(S$2,2)*1,S$2),tbl_DCFC[BU_Key],$A36)</f>
        <v/>
      </c>
      <c r="T36" s="791">
        <f>IFERROR(1/T$3,1)*SUMIFS(tbl_DCFC[F Montant HT],tbl_DCFC[Revenue_Year],T$1,tbl_DCFC[Revenue_Month],IF(RIGHT(T$2,3)="YTD","&lt;="&amp;LEFT(T$2,2)*1,T$2),tbl_DCFC[BU_Key],$A36)</f>
        <v/>
      </c>
      <c r="V36" s="788">
        <f>E36</f>
        <v/>
      </c>
      <c r="W36" s="788">
        <f>F36</f>
        <v/>
      </c>
      <c r="X36" s="788">
        <f>G36</f>
        <v/>
      </c>
      <c r="Y36" s="788">
        <f>$G36</f>
        <v/>
      </c>
      <c r="Z36" s="788">
        <f>$G36</f>
        <v/>
      </c>
      <c r="AA36" s="788">
        <f>$G36</f>
        <v/>
      </c>
      <c r="AB36" s="788">
        <f>$G36</f>
        <v/>
      </c>
      <c r="AC36" s="788">
        <f>$G36</f>
        <v/>
      </c>
      <c r="AD36" s="788">
        <f>$G36</f>
        <v/>
      </c>
      <c r="AE36" s="788">
        <f>$G36</f>
        <v/>
      </c>
      <c r="AF36" s="788">
        <f>$G36</f>
        <v/>
      </c>
      <c r="AG36" s="788" t="n"/>
      <c r="AH36" s="791">
        <f>IFERROR(1/AH$3,1)*SUMIFS(tbl_DCFC[F Montant HT],tbl_DCFC[Revenue_Year],AH$1,tbl_DCFC[Revenue_Month],IF(RIGHT(AH$2,3)="YTD","&lt;="&amp;LEFT(AH$2,2)*1,AH$2),tbl_DCFC[BU_Key],$A36)</f>
        <v/>
      </c>
      <c r="AI36" s="788">
        <f>AM36/12*LEFT(AI$2,2)*1</f>
        <v/>
      </c>
      <c r="AJ36" s="789">
        <f>AH36-AI36</f>
        <v/>
      </c>
      <c r="AL36" s="791">
        <f>IFERROR(1/AL$3,1)*SUMIFS(tbl_DCFC[F Montant HT],tbl_DCFC[Revenue_Year],AL$1,tbl_DCFC[Revenue_Month],IF(RIGHT(AL$2,3)="YTD","&lt;="&amp;LEFT(AL$2,2)*1,AL$2),tbl_DCFC[BU_Key],$A36)</f>
        <v/>
      </c>
      <c r="AM36" s="790" t="n">
        <v>0</v>
      </c>
    </row>
    <row r="37" customFormat="1" s="329">
      <c r="B37" s="271" t="n"/>
      <c r="C37" s="260" t="n"/>
      <c r="E37" s="784" t="n"/>
      <c r="F37" s="784" t="n"/>
      <c r="G37" s="785" t="n"/>
      <c r="I37" s="785" t="n"/>
      <c r="J37" s="785" t="n"/>
      <c r="K37" s="785" t="n"/>
      <c r="L37" s="785" t="n"/>
      <c r="M37" s="785" t="n"/>
      <c r="N37" s="784" t="n"/>
      <c r="O37" s="784" t="n"/>
      <c r="P37" s="784" t="n"/>
      <c r="Q37" s="784" t="n"/>
      <c r="R37" s="784" t="n"/>
      <c r="S37" s="784" t="n"/>
      <c r="T37" s="784" t="n"/>
      <c r="V37" s="786" t="n"/>
      <c r="W37" s="786" t="n"/>
      <c r="X37" s="786" t="n"/>
      <c r="Y37" s="784" t="n"/>
      <c r="Z37" s="784" t="n"/>
      <c r="AA37" s="784" t="n"/>
      <c r="AB37" s="784" t="n"/>
      <c r="AC37" s="784" t="n"/>
      <c r="AD37" s="784" t="n"/>
      <c r="AE37" s="784" t="n"/>
      <c r="AF37" s="787" t="n"/>
      <c r="AG37" s="787" t="n"/>
      <c r="AH37" s="256" t="n"/>
      <c r="AI37" s="257" t="n"/>
      <c r="AL37" s="256" t="n"/>
      <c r="AM37" s="258" t="n"/>
    </row>
    <row r="38" hidden="1" outlineLevel="1" customFormat="1" s="336">
      <c r="B38" s="271" t="inlineStr">
        <is>
          <t>REVENUE</t>
        </is>
      </c>
      <c r="C38" s="246" t="n"/>
      <c r="E38" s="806" t="n"/>
      <c r="F38" s="806" t="n"/>
      <c r="G38" s="806" t="n"/>
      <c r="I38" s="806" t="n"/>
      <c r="J38" s="806" t="n"/>
      <c r="K38" s="806" t="n"/>
      <c r="L38" s="806" t="n"/>
      <c r="M38" s="806" t="n"/>
      <c r="N38" s="806" t="n"/>
      <c r="O38" s="806" t="n"/>
      <c r="P38" s="806" t="n"/>
      <c r="Q38" s="806" t="n"/>
      <c r="R38" s="806" t="n"/>
      <c r="S38" s="806" t="n"/>
      <c r="T38" s="806" t="n"/>
      <c r="V38" s="806" t="n"/>
      <c r="W38" s="806" t="n"/>
      <c r="X38" s="806" t="n"/>
      <c r="Y38" s="790" t="n"/>
      <c r="Z38" s="790" t="n"/>
      <c r="AA38" s="790" t="n"/>
      <c r="AB38" s="790" t="n"/>
      <c r="AC38" s="790" t="n"/>
      <c r="AD38" s="790" t="n"/>
      <c r="AE38" s="790" t="n"/>
      <c r="AF38" s="790" t="n"/>
      <c r="AG38" s="790" t="n"/>
      <c r="AH38" s="790" t="n"/>
      <c r="AI38" s="790" t="n"/>
      <c r="AJ38" s="797" t="n"/>
      <c r="AL38" s="790" t="n"/>
      <c r="AM38" s="790" t="n"/>
    </row>
    <row r="39" hidden="1" outlineLevel="1" s="701">
      <c r="A39" s="160" t="inlineStr">
        <is>
          <t>TT-CP-00107-20</t>
        </is>
      </c>
      <c r="B39" s="264" t="inlineStr">
        <is>
          <t>ENGINEERING AIA</t>
        </is>
      </c>
      <c r="C39" s="246" t="inlineStr">
        <is>
          <t>k €</t>
        </is>
      </c>
      <c r="E39" s="788">
        <f>$AL39/E$3</f>
        <v/>
      </c>
      <c r="F39" s="788">
        <f>IFERROR(1/F$3,1)*SUMIFS(Data!$AD$3:$AD$305,Data!$Y$3:$Y$305,F$1,Data!$Z$3:$Z$305,IF(RIGHT(F$2,3)="YTD","&lt;="&amp;LEFT(F$2,2)*1,F$2),Data!$K$3:$K$305,$B39)</f>
        <v/>
      </c>
      <c r="G39" s="788">
        <f>AM39/12</f>
        <v/>
      </c>
      <c r="H39" s="801" t="n"/>
      <c r="I39" s="791">
        <f>IFERROR(1/I$3,1)*SUMIFS(Data!$AD$3:$AD$305,Data!$Y$3:$Y$305,I$1,Data!$Z$3:$Z$305,IF(RIGHT(I$2,3)="YTD","&lt;="&amp;LEFT(I$2,2)*1,I$2),Data!$K$3:$K$305,$B39)</f>
        <v/>
      </c>
      <c r="J39" s="791">
        <f>IFERROR(1/J$3,1)*SUMIFS(Data!$AD$3:$AD$305,Data!$Y$3:$Y$305,J$1,Data!$Z$3:$Z$305,IF(RIGHT(J$2,3)="YTD","&lt;="&amp;LEFT(J$2,2)*1,J$2),Data!$K$3:$K$305,$B39)</f>
        <v/>
      </c>
      <c r="K39" s="791">
        <f>IFERROR(1/K$3,1)*SUMIFS(Data!$AD$3:$AD$305,Data!$Y$3:$Y$305,K$1,Data!$Z$3:$Z$305,IF(RIGHT(K$2,3)="YTD","&lt;="&amp;LEFT(K$2,2)*1,K$2),Data!$K$3:$K$305,$B39)</f>
        <v/>
      </c>
      <c r="L39" s="791">
        <f>IFERROR(1/L$3,1)*SUMIFS(Data!$AD$3:$AD$305,Data!$Y$3:$Y$305,L$1,Data!$Z$3:$Z$305,IF(RIGHT(L$2,3)="YTD","&lt;="&amp;LEFT(L$2,2)*1,L$2),Data!$K$3:$K$305,$B39)</f>
        <v/>
      </c>
      <c r="M39" s="791">
        <f>IFERROR(1/M$3,1)*SUMIFS(Data!$AD$3:$AD$305,Data!$Y$3:$Y$305,M$1,Data!$Z$3:$Z$305,IF(RIGHT(M$2,3)="YTD","&lt;="&amp;LEFT(M$2,2)*1,M$2),Data!$K$3:$K$305,$B39)</f>
        <v/>
      </c>
      <c r="N39" s="791">
        <f>IFERROR(1/N$3,1)*SUMIFS(Data!$AD$3:$AD$305,Data!$Y$3:$Y$305,N$1,Data!$Z$3:$Z$305,IF(RIGHT(N$2,3)="YTD","&lt;="&amp;LEFT(N$2,2)*1,N$2),Data!$K$3:$K$305,$B39)</f>
        <v/>
      </c>
      <c r="O39" s="791">
        <f>IFERROR(1/O$3,1)*SUMIFS(Data!$AD$3:$AD$305,Data!$Y$3:$Y$305,O$1,Data!$Z$3:$Z$305,IF(RIGHT(O$2,3)="YTD","&lt;="&amp;LEFT(O$2,2)*1,O$2),Data!$K$3:$K$305,$B39)</f>
        <v/>
      </c>
      <c r="P39" s="791">
        <f>IFERROR(1/P$3,1)*SUMIFS(Data!$AD$3:$AD$305,Data!$Y$3:$Y$305,P$1,Data!$Z$3:$Z$305,IF(RIGHT(P$2,3)="YTD","&lt;="&amp;LEFT(P$2,2)*1,P$2),Data!$K$3:$K$305,$B39)</f>
        <v/>
      </c>
      <c r="Q39" s="791">
        <f>IFERROR(1/Q$3,1)*SUMIFS(Data!$AD$3:$AD$305,Data!$Y$3:$Y$305,Q$1,Data!$Z$3:$Z$305,IF(RIGHT(Q$2,3)="YTD","&lt;="&amp;LEFT(Q$2,2)*1,Q$2),Data!$K$3:$K$305,$B39)</f>
        <v/>
      </c>
      <c r="R39" s="791">
        <f>IFERROR(1/R$3,1)*SUMIFS(Data!$AD$3:$AD$305,Data!$Y$3:$Y$305,R$1,Data!$Z$3:$Z$305,IF(RIGHT(R$2,3)="YTD","&lt;="&amp;LEFT(R$2,2)*1,R$2),Data!$K$3:$K$305,$B39)</f>
        <v/>
      </c>
      <c r="S39" s="791">
        <f>IFERROR(1/S$3,1)*SUMIFS(Data!$AD$3:$AD$305,Data!$Y$3:$Y$305,S$1,Data!$Z$3:$Z$305,IF(RIGHT(S$2,3)="YTD","&lt;="&amp;LEFT(S$2,2)*1,S$2),Data!$K$3:$K$305,$B39)</f>
        <v/>
      </c>
      <c r="T39" s="791">
        <f>IFERROR(1/T$3,1)*SUMIFS(Data!$AD$3:$AD$305,Data!$Y$3:$Y$305,T$1,Data!$Z$3:$Z$305,IF(RIGHT(T$2,3)="YTD","&lt;="&amp;LEFT(T$2,2)*1,T$2),Data!$K$3:$K$305,$B39)</f>
        <v/>
      </c>
      <c r="V39" s="788">
        <f>E39</f>
        <v/>
      </c>
      <c r="W39" s="788">
        <f>F39</f>
        <v/>
      </c>
      <c r="X39" s="788">
        <f>G39</f>
        <v/>
      </c>
      <c r="Y39" s="788">
        <f>$G39</f>
        <v/>
      </c>
      <c r="Z39" s="788">
        <f>$G39</f>
        <v/>
      </c>
      <c r="AA39" s="788">
        <f>$G39</f>
        <v/>
      </c>
      <c r="AB39" s="788">
        <f>$G39</f>
        <v/>
      </c>
      <c r="AC39" s="788">
        <f>$G39</f>
        <v/>
      </c>
      <c r="AD39" s="788">
        <f>$G39</f>
        <v/>
      </c>
      <c r="AE39" s="788">
        <f>$G39</f>
        <v/>
      </c>
      <c r="AF39" s="788">
        <f>$G39</f>
        <v/>
      </c>
      <c r="AG39" s="788" t="n"/>
      <c r="AH39" s="788">
        <f>IFERROR(1/AH$3,1)*SUMIFS(Data!$AD$3:$AD$305,Data!$Y$3:$Y$305,AH$1,Data!$Z$3:$Z$305,IF(RIGHT(AH$2,3)="YTD","&lt;="&amp;LEFT(AH$2,2)*1,AH$2),Data!$K$3:$K$305,$B15)</f>
        <v/>
      </c>
      <c r="AI39" s="788">
        <f>AM39/12*$C$5</f>
        <v/>
      </c>
      <c r="AJ39" s="789">
        <f>AH39-AI39</f>
        <v/>
      </c>
      <c r="AL39" s="788" t="n">
        <v>689300</v>
      </c>
      <c r="AM39" s="790" t="n">
        <v>370000</v>
      </c>
    </row>
    <row r="40" hidden="1" outlineLevel="1" s="701">
      <c r="A40" t="inlineStr">
        <is>
          <t>TT-CP-00108-20</t>
        </is>
      </c>
      <c r="B40" s="264" t="inlineStr">
        <is>
          <t>ENGINEERING IC</t>
        </is>
      </c>
      <c r="C40" s="246" t="inlineStr">
        <is>
          <t>k €</t>
        </is>
      </c>
      <c r="E40" s="788">
        <f>$AL40/E$3</f>
        <v/>
      </c>
      <c r="F40" s="788">
        <f>IFERROR(1/F$3,1)*SUMIFS(Data!$AD$3:$AD$305,Data!$Y$3:$Y$305,F$1,Data!$Z$3:$Z$305,IF(RIGHT(F$2,3)="YTD","&lt;="&amp;LEFT(F$2,2)*1,F$2),Data!$K$3:$K$305,$B40)</f>
        <v/>
      </c>
      <c r="G40" s="788">
        <f>AM40/12</f>
        <v/>
      </c>
      <c r="H40" s="801" t="n"/>
      <c r="I40" s="791">
        <f>IFERROR(1/I$3,1)*SUMIFS(Data!$AD$3:$AD$305,Data!$Y$3:$Y$305,I$1,Data!$Z$3:$Z$305,IF(RIGHT(I$2,3)="YTD","&lt;="&amp;LEFT(I$2,2)*1,I$2),Data!$K$3:$K$305,$B40)</f>
        <v/>
      </c>
      <c r="J40" s="791">
        <f>IFERROR(1/J$3,1)*SUMIFS(Data!$AD$3:$AD$305,Data!$Y$3:$Y$305,J$1,Data!$Z$3:$Z$305,IF(RIGHT(J$2,3)="YTD","&lt;="&amp;LEFT(J$2,2)*1,J$2),Data!$K$3:$K$305,$B40)</f>
        <v/>
      </c>
      <c r="K40" s="791">
        <f>IFERROR(1/K$3,1)*SUMIFS(Data!$AD$3:$AD$305,Data!$Y$3:$Y$305,K$1,Data!$Z$3:$Z$305,IF(RIGHT(K$2,3)="YTD","&lt;="&amp;LEFT(K$2,2)*1,K$2),Data!$K$3:$K$305,$B40)</f>
        <v/>
      </c>
      <c r="L40" s="791">
        <f>IFERROR(1/L$3,1)*SUMIFS(Data!$AD$3:$AD$305,Data!$Y$3:$Y$305,L$1,Data!$Z$3:$Z$305,IF(RIGHT(L$2,3)="YTD","&lt;="&amp;LEFT(L$2,2)*1,L$2),Data!$K$3:$K$305,$B40)</f>
        <v/>
      </c>
      <c r="M40" s="791">
        <f>IFERROR(1/M$3,1)*SUMIFS(Data!$AD$3:$AD$305,Data!$Y$3:$Y$305,M$1,Data!$Z$3:$Z$305,IF(RIGHT(M$2,3)="YTD","&lt;="&amp;LEFT(M$2,2)*1,M$2),Data!$K$3:$K$305,$B40)</f>
        <v/>
      </c>
      <c r="N40" s="791">
        <f>IFERROR(1/N$3,1)*SUMIFS(Data!$AD$3:$AD$305,Data!$Y$3:$Y$305,N$1,Data!$Z$3:$Z$305,IF(RIGHT(N$2,3)="YTD","&lt;="&amp;LEFT(N$2,2)*1,N$2),Data!$K$3:$K$305,$B40)</f>
        <v/>
      </c>
      <c r="O40" s="791">
        <f>IFERROR(1/O$3,1)*SUMIFS(Data!$AD$3:$AD$305,Data!$Y$3:$Y$305,O$1,Data!$Z$3:$Z$305,IF(RIGHT(O$2,3)="YTD","&lt;="&amp;LEFT(O$2,2)*1,O$2),Data!$K$3:$K$305,$B40)</f>
        <v/>
      </c>
      <c r="P40" s="791">
        <f>IFERROR(1/P$3,1)*SUMIFS(Data!$AD$3:$AD$305,Data!$Y$3:$Y$305,P$1,Data!$Z$3:$Z$305,IF(RIGHT(P$2,3)="YTD","&lt;="&amp;LEFT(P$2,2)*1,P$2),Data!$K$3:$K$305,$B40)</f>
        <v/>
      </c>
      <c r="Q40" s="791">
        <f>IFERROR(1/Q$3,1)*SUMIFS(Data!$AD$3:$AD$305,Data!$Y$3:$Y$305,Q$1,Data!$Z$3:$Z$305,IF(RIGHT(Q$2,3)="YTD","&lt;="&amp;LEFT(Q$2,2)*1,Q$2),Data!$K$3:$K$305,$B40)</f>
        <v/>
      </c>
      <c r="R40" s="791">
        <f>IFERROR(1/R$3,1)*SUMIFS(Data!$AD$3:$AD$305,Data!$Y$3:$Y$305,R$1,Data!$Z$3:$Z$305,IF(RIGHT(R$2,3)="YTD","&lt;="&amp;LEFT(R$2,2)*1,R$2),Data!$K$3:$K$305,$B40)</f>
        <v/>
      </c>
      <c r="S40" s="791">
        <f>IFERROR(1/S$3,1)*SUMIFS(Data!$AD$3:$AD$305,Data!$Y$3:$Y$305,S$1,Data!$Z$3:$Z$305,IF(RIGHT(S$2,3)="YTD","&lt;="&amp;LEFT(S$2,2)*1,S$2),Data!$K$3:$K$305,$B40)</f>
        <v/>
      </c>
      <c r="T40" s="791">
        <f>IFERROR(1/T$3,1)*SUMIFS(Data!$AD$3:$AD$305,Data!$Y$3:$Y$305,T$1,Data!$Z$3:$Z$305,IF(RIGHT(T$2,3)="YTD","&lt;="&amp;LEFT(T$2,2)*1,T$2),Data!$K$3:$K$305,$B40)</f>
        <v/>
      </c>
      <c r="V40" s="788">
        <f>E40</f>
        <v/>
      </c>
      <c r="W40" s="788">
        <f>F40</f>
        <v/>
      </c>
      <c r="X40" s="788">
        <f>G40</f>
        <v/>
      </c>
      <c r="Y40" s="788">
        <f>$G40</f>
        <v/>
      </c>
      <c r="Z40" s="788">
        <f>$G40</f>
        <v/>
      </c>
      <c r="AA40" s="788">
        <f>$G40</f>
        <v/>
      </c>
      <c r="AB40" s="788">
        <f>$G40</f>
        <v/>
      </c>
      <c r="AC40" s="788">
        <f>$G40</f>
        <v/>
      </c>
      <c r="AD40" s="788">
        <f>$G40</f>
        <v/>
      </c>
      <c r="AE40" s="788">
        <f>$G40</f>
        <v/>
      </c>
      <c r="AF40" s="788">
        <f>$G40</f>
        <v/>
      </c>
      <c r="AG40" s="788" t="n"/>
      <c r="AH40" s="788">
        <f>IFERROR(1/AH$3,1)*SUMIFS(Data!$AD$3:$AD$305,Data!$Y$3:$Y$305,AH$1,Data!$Z$3:$Z$305,IF(RIGHT(AH$2,3)="YTD","&lt;="&amp;LEFT(AH$2,2)*1,AH$2),Data!$K$3:$K$305,$B16)</f>
        <v/>
      </c>
      <c r="AI40" s="788">
        <f>AM40/12*$C$5</f>
        <v/>
      </c>
      <c r="AJ40" s="789">
        <f>AH40-AI40</f>
        <v/>
      </c>
      <c r="AL40" s="788" t="n">
        <v>20096</v>
      </c>
      <c r="AM40" s="788" t="n">
        <v>0</v>
      </c>
    </row>
    <row r="41" hidden="1" outlineLevel="1" s="701">
      <c r="B41" s="264" t="inlineStr">
        <is>
          <t>FCP AIA</t>
        </is>
      </c>
      <c r="C41" s="246" t="inlineStr">
        <is>
          <t>k €</t>
        </is>
      </c>
      <c r="E41" s="788">
        <f>$AL41/E$3</f>
        <v/>
      </c>
      <c r="F41" s="788">
        <f>IFERROR(1/F$3,1)*SUMIFS(Data!$AD$3:$AD$305,Data!$Y$3:$Y$305,F$1,Data!$Z$3:$Z$305,IF(RIGHT(F$2,3)="YTD","&lt;="&amp;LEFT(F$2,2)*1,F$2),Data!$K$3:$K$305,$B41)</f>
        <v/>
      </c>
      <c r="G41" s="788">
        <f>AM41/12</f>
        <v/>
      </c>
      <c r="H41" s="801" t="n"/>
      <c r="I41" s="791">
        <f>IFERROR(1/I$3,1)*SUMIFS(Data!$AD$3:$AD$305,Data!$Y$3:$Y$305,I$1,Data!$Z$3:$Z$305,IF(RIGHT(I$2,3)="YTD","&lt;="&amp;LEFT(I$2,2)*1,I$2),Data!$K$3:$K$305,$B41)</f>
        <v/>
      </c>
      <c r="J41" s="791">
        <f>IFERROR(1/J$3,1)*SUMIFS(Data!$AD$3:$AD$305,Data!$Y$3:$Y$305,J$1,Data!$Z$3:$Z$305,IF(RIGHT(J$2,3)="YTD","&lt;="&amp;LEFT(J$2,2)*1,J$2),Data!$K$3:$K$305,$B41)</f>
        <v/>
      </c>
      <c r="K41" s="791">
        <f>IFERROR(1/K$3,1)*SUMIFS(Data!$AD$3:$AD$305,Data!$Y$3:$Y$305,K$1,Data!$Z$3:$Z$305,IF(RIGHT(K$2,3)="YTD","&lt;="&amp;LEFT(K$2,2)*1,K$2),Data!$K$3:$K$305,$B41)</f>
        <v/>
      </c>
      <c r="L41" s="791">
        <f>IFERROR(1/L$3,1)*SUMIFS(Data!$AD$3:$AD$305,Data!$Y$3:$Y$305,L$1,Data!$Z$3:$Z$305,IF(RIGHT(L$2,3)="YTD","&lt;="&amp;LEFT(L$2,2)*1,L$2),Data!$K$3:$K$305,$B41)</f>
        <v/>
      </c>
      <c r="M41" s="791">
        <f>IFERROR(1/M$3,1)*SUMIFS(Data!$AD$3:$AD$305,Data!$Y$3:$Y$305,M$1,Data!$Z$3:$Z$305,IF(RIGHT(M$2,3)="YTD","&lt;="&amp;LEFT(M$2,2)*1,M$2),Data!$K$3:$K$305,$B41)</f>
        <v/>
      </c>
      <c r="N41" s="791">
        <f>IFERROR(1/N$3,1)*SUMIFS(Data!$AD$3:$AD$305,Data!$Y$3:$Y$305,N$1,Data!$Z$3:$Z$305,IF(RIGHT(N$2,3)="YTD","&lt;="&amp;LEFT(N$2,2)*1,N$2),Data!$K$3:$K$305,$B41)</f>
        <v/>
      </c>
      <c r="O41" s="791">
        <f>IFERROR(1/O$3,1)*SUMIFS(Data!$AD$3:$AD$305,Data!$Y$3:$Y$305,O$1,Data!$Z$3:$Z$305,IF(RIGHT(O$2,3)="YTD","&lt;="&amp;LEFT(O$2,2)*1,O$2),Data!$K$3:$K$305,$B41)</f>
        <v/>
      </c>
      <c r="P41" s="791">
        <f>IFERROR(1/P$3,1)*SUMIFS(Data!$AD$3:$AD$305,Data!$Y$3:$Y$305,P$1,Data!$Z$3:$Z$305,IF(RIGHT(P$2,3)="YTD","&lt;="&amp;LEFT(P$2,2)*1,P$2),Data!$K$3:$K$305,$B41)</f>
        <v/>
      </c>
      <c r="Q41" s="791">
        <f>IFERROR(1/Q$3,1)*SUMIFS(Data!$AD$3:$AD$305,Data!$Y$3:$Y$305,Q$1,Data!$Z$3:$Z$305,IF(RIGHT(Q$2,3)="YTD","&lt;="&amp;LEFT(Q$2,2)*1,Q$2),Data!$K$3:$K$305,$B41)</f>
        <v/>
      </c>
      <c r="R41" s="791">
        <f>IFERROR(1/R$3,1)*SUMIFS(Data!$AD$3:$AD$305,Data!$Y$3:$Y$305,R$1,Data!$Z$3:$Z$305,IF(RIGHT(R$2,3)="YTD","&lt;="&amp;LEFT(R$2,2)*1,R$2),Data!$K$3:$K$305,$B41)</f>
        <v/>
      </c>
      <c r="S41" s="791">
        <f>IFERROR(1/S$3,1)*SUMIFS(Data!$AD$3:$AD$305,Data!$Y$3:$Y$305,S$1,Data!$Z$3:$Z$305,IF(RIGHT(S$2,3)="YTD","&lt;="&amp;LEFT(S$2,2)*1,S$2),Data!$K$3:$K$305,$B41)</f>
        <v/>
      </c>
      <c r="T41" s="791">
        <f>IFERROR(1/T$3,1)*SUMIFS(Data!$AD$3:$AD$305,Data!$Y$3:$Y$305,T$1,Data!$Z$3:$Z$305,IF(RIGHT(T$2,3)="YTD","&lt;="&amp;LEFT(T$2,2)*1,T$2),Data!$K$3:$K$305,$B41)</f>
        <v/>
      </c>
      <c r="V41" s="788">
        <f>E41</f>
        <v/>
      </c>
      <c r="W41" s="788">
        <f>F41</f>
        <v/>
      </c>
      <c r="X41" s="788">
        <f>G41</f>
        <v/>
      </c>
      <c r="Y41" s="788">
        <f>$G41</f>
        <v/>
      </c>
      <c r="Z41" s="788">
        <f>$G41</f>
        <v/>
      </c>
      <c r="AA41" s="788">
        <f>$G41</f>
        <v/>
      </c>
      <c r="AB41" s="788">
        <f>$G41</f>
        <v/>
      </c>
      <c r="AC41" s="788">
        <f>$G41</f>
        <v/>
      </c>
      <c r="AD41" s="788">
        <f>$G41</f>
        <v/>
      </c>
      <c r="AE41" s="788">
        <f>$G41</f>
        <v/>
      </c>
      <c r="AF41" s="788">
        <f>$G41</f>
        <v/>
      </c>
      <c r="AG41" s="788" t="n"/>
      <c r="AH41" s="788">
        <f>IFERROR(1/AH$3,1)*SUMIFS(Data!$AD$3:$AD$305,Data!$Y$3:$Y$305,AH$1,Data!$Z$3:$Z$305,IF(RIGHT(AH$2,3)="YTD","&lt;="&amp;LEFT(AH$2,2)*1,AH$2),Data!$K$3:$K$305,$B17)</f>
        <v/>
      </c>
      <c r="AI41" s="788">
        <f>AM41/12*$C$5</f>
        <v/>
      </c>
      <c r="AJ41" s="789">
        <f>AH41-AI41</f>
        <v/>
      </c>
      <c r="AL41" s="788" t="n">
        <v>5075</v>
      </c>
      <c r="AM41" s="788" t="n">
        <v>0</v>
      </c>
    </row>
    <row r="42" hidden="1" outlineLevel="1" s="701">
      <c r="A42" t="inlineStr">
        <is>
          <t>TT-CP-00103-20</t>
        </is>
      </c>
      <c r="B42" s="264" t="inlineStr">
        <is>
          <t>FCP OTHER AIA</t>
        </is>
      </c>
      <c r="C42" s="246" t="inlineStr">
        <is>
          <t>k €</t>
        </is>
      </c>
      <c r="E42" s="788">
        <f>$AL42/E$3</f>
        <v/>
      </c>
      <c r="F42" s="788">
        <f>IFERROR(1/F$3,1)*SUMIFS(Data!$AD$3:$AD$305,Data!$Y$3:$Y$305,F$1,Data!$Z$3:$Z$305,IF(RIGHT(F$2,3)="YTD","&lt;="&amp;LEFT(F$2,2)*1,F$2),Data!$K$3:$K$305,$B42)</f>
        <v/>
      </c>
      <c r="G42" s="788">
        <f>AM42/12</f>
        <v/>
      </c>
      <c r="H42" s="801" t="n"/>
      <c r="I42" s="791">
        <f>IFERROR(1/I$3,1)*SUMIFS(Data!$AD$3:$AD$305,Data!$Y$3:$Y$305,I$1,Data!$Z$3:$Z$305,IF(RIGHT(I$2,3)="YTD","&lt;="&amp;LEFT(I$2,2)*1,I$2),Data!$K$3:$K$305,$B42)</f>
        <v/>
      </c>
      <c r="J42" s="791">
        <f>IFERROR(1/J$3,1)*SUMIFS(Data!$AD$3:$AD$305,Data!$Y$3:$Y$305,J$1,Data!$Z$3:$Z$305,IF(RIGHT(J$2,3)="YTD","&lt;="&amp;LEFT(J$2,2)*1,J$2),Data!$K$3:$K$305,$B42)</f>
        <v/>
      </c>
      <c r="K42" s="791">
        <f>IFERROR(1/K$3,1)*SUMIFS(Data!$AD$3:$AD$305,Data!$Y$3:$Y$305,K$1,Data!$Z$3:$Z$305,IF(RIGHT(K$2,3)="YTD","&lt;="&amp;LEFT(K$2,2)*1,K$2),Data!$K$3:$K$305,$B42)</f>
        <v/>
      </c>
      <c r="L42" s="791">
        <f>IFERROR(1/L$3,1)*SUMIFS(Data!$AD$3:$AD$305,Data!$Y$3:$Y$305,L$1,Data!$Z$3:$Z$305,IF(RIGHT(L$2,3)="YTD","&lt;="&amp;LEFT(L$2,2)*1,L$2),Data!$K$3:$K$305,$B42)</f>
        <v/>
      </c>
      <c r="M42" s="791">
        <f>IFERROR(1/M$3,1)*SUMIFS(Data!$AD$3:$AD$305,Data!$Y$3:$Y$305,M$1,Data!$Z$3:$Z$305,IF(RIGHT(M$2,3)="YTD","&lt;="&amp;LEFT(M$2,2)*1,M$2),Data!$K$3:$K$305,$B42)</f>
        <v/>
      </c>
      <c r="N42" s="791">
        <f>IFERROR(1/N$3,1)*SUMIFS(Data!$AD$3:$AD$305,Data!$Y$3:$Y$305,N$1,Data!$Z$3:$Z$305,IF(RIGHT(N$2,3)="YTD","&lt;="&amp;LEFT(N$2,2)*1,N$2),Data!$K$3:$K$305,$B42)</f>
        <v/>
      </c>
      <c r="O42" s="791">
        <f>IFERROR(1/O$3,1)*SUMIFS(Data!$AD$3:$AD$305,Data!$Y$3:$Y$305,O$1,Data!$Z$3:$Z$305,IF(RIGHT(O$2,3)="YTD","&lt;="&amp;LEFT(O$2,2)*1,O$2),Data!$K$3:$K$305,$B42)</f>
        <v/>
      </c>
      <c r="P42" s="791">
        <f>IFERROR(1/P$3,1)*SUMIFS(Data!$AD$3:$AD$305,Data!$Y$3:$Y$305,P$1,Data!$Z$3:$Z$305,IF(RIGHT(P$2,3)="YTD","&lt;="&amp;LEFT(P$2,2)*1,P$2),Data!$K$3:$K$305,$B42)</f>
        <v/>
      </c>
      <c r="Q42" s="791">
        <f>IFERROR(1/Q$3,1)*SUMIFS(Data!$AD$3:$AD$305,Data!$Y$3:$Y$305,Q$1,Data!$Z$3:$Z$305,IF(RIGHT(Q$2,3)="YTD","&lt;="&amp;LEFT(Q$2,2)*1,Q$2),Data!$K$3:$K$305,$B42)</f>
        <v/>
      </c>
      <c r="R42" s="791">
        <f>IFERROR(1/R$3,1)*SUMIFS(Data!$AD$3:$AD$305,Data!$Y$3:$Y$305,R$1,Data!$Z$3:$Z$305,IF(RIGHT(R$2,3)="YTD","&lt;="&amp;LEFT(R$2,2)*1,R$2),Data!$K$3:$K$305,$B42)</f>
        <v/>
      </c>
      <c r="S42" s="791">
        <f>IFERROR(1/S$3,1)*SUMIFS(Data!$AD$3:$AD$305,Data!$Y$3:$Y$305,S$1,Data!$Z$3:$Z$305,IF(RIGHT(S$2,3)="YTD","&lt;="&amp;LEFT(S$2,2)*1,S$2),Data!$K$3:$K$305,$B42)</f>
        <v/>
      </c>
      <c r="T42" s="791">
        <f>IFERROR(1/T$3,1)*SUMIFS(Data!$AD$3:$AD$305,Data!$Y$3:$Y$305,T$1,Data!$Z$3:$Z$305,IF(RIGHT(T$2,3)="YTD","&lt;="&amp;LEFT(T$2,2)*1,T$2),Data!$K$3:$K$305,$B42)</f>
        <v/>
      </c>
      <c r="V42" s="788">
        <f>E42</f>
        <v/>
      </c>
      <c r="W42" s="788">
        <f>F42</f>
        <v/>
      </c>
      <c r="X42" s="788">
        <f>G42</f>
        <v/>
      </c>
      <c r="Y42" s="788">
        <f>$G42</f>
        <v/>
      </c>
      <c r="Z42" s="788">
        <f>$G42</f>
        <v/>
      </c>
      <c r="AA42" s="788">
        <f>$G42</f>
        <v/>
      </c>
      <c r="AB42" s="788">
        <f>$G42</f>
        <v/>
      </c>
      <c r="AC42" s="788">
        <f>$G42</f>
        <v/>
      </c>
      <c r="AD42" s="788">
        <f>$G42</f>
        <v/>
      </c>
      <c r="AE42" s="788">
        <f>$G42</f>
        <v/>
      </c>
      <c r="AF42" s="788">
        <f>$G42</f>
        <v/>
      </c>
      <c r="AG42" s="788" t="n"/>
      <c r="AH42" s="788">
        <f>IFERROR(1/AH$3,1)*SUMIFS(Data!$AD$3:$AD$305,Data!$Y$3:$Y$305,AH$1,Data!$Z$3:$Z$305,IF(RIGHT(AH$2,3)="YTD","&lt;="&amp;LEFT(AH$2,2)*1,AH$2),Data!$K$3:$K$305,$B18)</f>
        <v/>
      </c>
      <c r="AI42" s="788">
        <f>AM42/12*$C$5</f>
        <v/>
      </c>
      <c r="AJ42" s="789">
        <f>AH42-AI42</f>
        <v/>
      </c>
      <c r="AL42" s="788" t="n">
        <v>37742.5</v>
      </c>
      <c r="AM42" s="788" t="n">
        <v>0</v>
      </c>
    </row>
    <row r="43" hidden="1" outlineLevel="1" s="701">
      <c r="A43" t="inlineStr">
        <is>
          <t>TT-CP-00109-20</t>
        </is>
      </c>
      <c r="B43" s="264" t="inlineStr">
        <is>
          <t>GSE to AIA</t>
        </is>
      </c>
      <c r="C43" s="246" t="inlineStr">
        <is>
          <t>k €</t>
        </is>
      </c>
      <c r="E43" s="788">
        <f>$AL43/E$3</f>
        <v/>
      </c>
      <c r="F43" s="788">
        <f>IFERROR(1/F$3,1)*SUMIFS(Data!$AD$3:$AD$305,Data!$Y$3:$Y$305,F$1,Data!$Z$3:$Z$305,IF(RIGHT(F$2,3)="YTD","&lt;="&amp;LEFT(F$2,2)*1,F$2),Data!$K$3:$K$305,$B43)</f>
        <v/>
      </c>
      <c r="G43" s="788">
        <f>AM43/12</f>
        <v/>
      </c>
      <c r="H43" s="801" t="n"/>
      <c r="I43" s="791">
        <f>IFERROR(1/I$3,1)*SUMIFS(Data!$AD$3:$AD$305,Data!$Y$3:$Y$305,I$1,Data!$Z$3:$Z$305,IF(RIGHT(I$2,3)="YTD","&lt;="&amp;LEFT(I$2,2)*1,I$2),Data!$K$3:$K$305,$B43)</f>
        <v/>
      </c>
      <c r="J43" s="791">
        <f>IFERROR(1/J$3,1)*SUMIFS(Data!$AD$3:$AD$305,Data!$Y$3:$Y$305,J$1,Data!$Z$3:$Z$305,IF(RIGHT(J$2,3)="YTD","&lt;="&amp;LEFT(J$2,2)*1,J$2),Data!$K$3:$K$305,$B43)</f>
        <v/>
      </c>
      <c r="K43" s="791">
        <f>IFERROR(1/K$3,1)*SUMIFS(Data!$AD$3:$AD$305,Data!$Y$3:$Y$305,K$1,Data!$Z$3:$Z$305,IF(RIGHT(K$2,3)="YTD","&lt;="&amp;LEFT(K$2,2)*1,K$2),Data!$K$3:$K$305,$B43)</f>
        <v/>
      </c>
      <c r="L43" s="791">
        <f>IFERROR(1/L$3,1)*SUMIFS(Data!$AD$3:$AD$305,Data!$Y$3:$Y$305,L$1,Data!$Z$3:$Z$305,IF(RIGHT(L$2,3)="YTD","&lt;="&amp;LEFT(L$2,2)*1,L$2),Data!$K$3:$K$305,$B43)</f>
        <v/>
      </c>
      <c r="M43" s="791">
        <f>IFERROR(1/M$3,1)*SUMIFS(Data!$AD$3:$AD$305,Data!$Y$3:$Y$305,M$1,Data!$Z$3:$Z$305,IF(RIGHT(M$2,3)="YTD","&lt;="&amp;LEFT(M$2,2)*1,M$2),Data!$K$3:$K$305,$B43)</f>
        <v/>
      </c>
      <c r="N43" s="791">
        <f>IFERROR(1/N$3,1)*SUMIFS(Data!$AD$3:$AD$305,Data!$Y$3:$Y$305,N$1,Data!$Z$3:$Z$305,IF(RIGHT(N$2,3)="YTD","&lt;="&amp;LEFT(N$2,2)*1,N$2),Data!$K$3:$K$305,$B43)</f>
        <v/>
      </c>
      <c r="O43" s="791">
        <f>IFERROR(1/O$3,1)*SUMIFS(Data!$AD$3:$AD$305,Data!$Y$3:$Y$305,O$1,Data!$Z$3:$Z$305,IF(RIGHT(O$2,3)="YTD","&lt;="&amp;LEFT(O$2,2)*1,O$2),Data!$K$3:$K$305,$B43)</f>
        <v/>
      </c>
      <c r="P43" s="791">
        <f>IFERROR(1/P$3,1)*SUMIFS(Data!$AD$3:$AD$305,Data!$Y$3:$Y$305,P$1,Data!$Z$3:$Z$305,IF(RIGHT(P$2,3)="YTD","&lt;="&amp;LEFT(P$2,2)*1,P$2),Data!$K$3:$K$305,$B43)</f>
        <v/>
      </c>
      <c r="Q43" s="791">
        <f>IFERROR(1/Q$3,1)*SUMIFS(Data!$AD$3:$AD$305,Data!$Y$3:$Y$305,Q$1,Data!$Z$3:$Z$305,IF(RIGHT(Q$2,3)="YTD","&lt;="&amp;LEFT(Q$2,2)*1,Q$2),Data!$K$3:$K$305,$B43)</f>
        <v/>
      </c>
      <c r="R43" s="791">
        <f>IFERROR(1/R$3,1)*SUMIFS(Data!$AD$3:$AD$305,Data!$Y$3:$Y$305,R$1,Data!$Z$3:$Z$305,IF(RIGHT(R$2,3)="YTD","&lt;="&amp;LEFT(R$2,2)*1,R$2),Data!$K$3:$K$305,$B43)</f>
        <v/>
      </c>
      <c r="S43" s="791">
        <f>IFERROR(1/S$3,1)*SUMIFS(Data!$AD$3:$AD$305,Data!$Y$3:$Y$305,S$1,Data!$Z$3:$Z$305,IF(RIGHT(S$2,3)="YTD","&lt;="&amp;LEFT(S$2,2)*1,S$2),Data!$K$3:$K$305,$B43)</f>
        <v/>
      </c>
      <c r="T43" s="791">
        <f>IFERROR(1/T$3,1)*SUMIFS(Data!$AD$3:$AD$305,Data!$Y$3:$Y$305,T$1,Data!$Z$3:$Z$305,IF(RIGHT(T$2,3)="YTD","&lt;="&amp;LEFT(T$2,2)*1,T$2),Data!$K$3:$K$305,$B43)</f>
        <v/>
      </c>
      <c r="V43" s="788">
        <f>E43</f>
        <v/>
      </c>
      <c r="W43" s="788">
        <f>F43</f>
        <v/>
      </c>
      <c r="X43" s="788">
        <f>G43</f>
        <v/>
      </c>
      <c r="Y43" s="788">
        <f>$G43</f>
        <v/>
      </c>
      <c r="Z43" s="788">
        <f>$G43</f>
        <v/>
      </c>
      <c r="AA43" s="788">
        <f>$G43</f>
        <v/>
      </c>
      <c r="AB43" s="788">
        <f>$G43</f>
        <v/>
      </c>
      <c r="AC43" s="788">
        <f>$G43</f>
        <v/>
      </c>
      <c r="AD43" s="788">
        <f>$G43</f>
        <v/>
      </c>
      <c r="AE43" s="788">
        <f>$G43</f>
        <v/>
      </c>
      <c r="AF43" s="788">
        <f>$G43</f>
        <v/>
      </c>
      <c r="AG43" s="788" t="n"/>
      <c r="AH43" s="788">
        <f>IFERROR(1/AH$3,1)*SUMIFS(Data!$AD$3:$AD$305,Data!$Y$3:$Y$305,AH$1,Data!$Z$3:$Z$305,IF(RIGHT(AH$2,3)="YTD","&lt;="&amp;LEFT(AH$2,2)*1,AH$2),Data!$K$3:$K$305,$B19)</f>
        <v/>
      </c>
      <c r="AI43" s="788">
        <f>AM43/12*$C$5</f>
        <v/>
      </c>
      <c r="AJ43" s="789">
        <f>AH43-AI43</f>
        <v/>
      </c>
      <c r="AL43" s="788" t="n">
        <v>271320</v>
      </c>
      <c r="AM43" s="788" t="n">
        <v>0</v>
      </c>
    </row>
    <row r="44" hidden="1" outlineLevel="1" s="701">
      <c r="A44" t="inlineStr">
        <is>
          <t>TT-CP-00101-20</t>
        </is>
      </c>
      <c r="B44" s="264" t="inlineStr">
        <is>
          <t>SERVICE AIA</t>
        </is>
      </c>
      <c r="C44" s="246" t="inlineStr">
        <is>
          <t>k €</t>
        </is>
      </c>
      <c r="E44" s="788">
        <f>$AL44/E$3</f>
        <v/>
      </c>
      <c r="F44" s="788">
        <f>IFERROR(1/F$3,1)*SUMIFS(Data!$AD$3:$AD$305,Data!$Y$3:$Y$305,F$1,Data!$Z$3:$Z$305,IF(RIGHT(F$2,3)="YTD","&lt;="&amp;LEFT(F$2,2)*1,F$2),Data!$K$3:$K$305,$B44)</f>
        <v/>
      </c>
      <c r="G44" s="788">
        <f>AM44/12</f>
        <v/>
      </c>
      <c r="H44" s="801" t="n"/>
      <c r="I44" s="791">
        <f>IFERROR(1/I$3,1)*SUMIFS(Data!$AD$3:$AD$305,Data!$Y$3:$Y$305,I$1,Data!$Z$3:$Z$305,IF(RIGHT(I$2,3)="YTD","&lt;="&amp;LEFT(I$2,2)*1,I$2),Data!$K$3:$K$305,$B44)</f>
        <v/>
      </c>
      <c r="J44" s="791">
        <f>IFERROR(1/J$3,1)*SUMIFS(Data!$AD$3:$AD$305,Data!$Y$3:$Y$305,J$1,Data!$Z$3:$Z$305,IF(RIGHT(J$2,3)="YTD","&lt;="&amp;LEFT(J$2,2)*1,J$2),Data!$K$3:$K$305,$B44)</f>
        <v/>
      </c>
      <c r="K44" s="791">
        <f>IFERROR(1/K$3,1)*SUMIFS(Data!$AD$3:$AD$305,Data!$Y$3:$Y$305,K$1,Data!$Z$3:$Z$305,IF(RIGHT(K$2,3)="YTD","&lt;="&amp;LEFT(K$2,2)*1,K$2),Data!$K$3:$K$305,$B44)</f>
        <v/>
      </c>
      <c r="L44" s="791">
        <f>IFERROR(1/L$3,1)*SUMIFS(Data!$AD$3:$AD$305,Data!$Y$3:$Y$305,L$1,Data!$Z$3:$Z$305,IF(RIGHT(L$2,3)="YTD","&lt;="&amp;LEFT(L$2,2)*1,L$2),Data!$K$3:$K$305,$B44)</f>
        <v/>
      </c>
      <c r="M44" s="791">
        <f>IFERROR(1/M$3,1)*SUMIFS(Data!$AD$3:$AD$305,Data!$Y$3:$Y$305,M$1,Data!$Z$3:$Z$305,IF(RIGHT(M$2,3)="YTD","&lt;="&amp;LEFT(M$2,2)*1,M$2),Data!$K$3:$K$305,$B44)</f>
        <v/>
      </c>
      <c r="N44" s="791">
        <f>IFERROR(1/N$3,1)*SUMIFS(Data!$AD$3:$AD$305,Data!$Y$3:$Y$305,N$1,Data!$Z$3:$Z$305,IF(RIGHT(N$2,3)="YTD","&lt;="&amp;LEFT(N$2,2)*1,N$2),Data!$K$3:$K$305,$B44)</f>
        <v/>
      </c>
      <c r="O44" s="791">
        <f>IFERROR(1/O$3,1)*SUMIFS(Data!$AD$3:$AD$305,Data!$Y$3:$Y$305,O$1,Data!$Z$3:$Z$305,IF(RIGHT(O$2,3)="YTD","&lt;="&amp;LEFT(O$2,2)*1,O$2),Data!$K$3:$K$305,$B44)</f>
        <v/>
      </c>
      <c r="P44" s="791">
        <f>IFERROR(1/P$3,1)*SUMIFS(Data!$AD$3:$AD$305,Data!$Y$3:$Y$305,P$1,Data!$Z$3:$Z$305,IF(RIGHT(P$2,3)="YTD","&lt;="&amp;LEFT(P$2,2)*1,P$2),Data!$K$3:$K$305,$B44)</f>
        <v/>
      </c>
      <c r="Q44" s="791">
        <f>IFERROR(1/Q$3,1)*SUMIFS(Data!$AD$3:$AD$305,Data!$Y$3:$Y$305,Q$1,Data!$Z$3:$Z$305,IF(RIGHT(Q$2,3)="YTD","&lt;="&amp;LEFT(Q$2,2)*1,Q$2),Data!$K$3:$K$305,$B44)</f>
        <v/>
      </c>
      <c r="R44" s="791">
        <f>IFERROR(1/R$3,1)*SUMIFS(Data!$AD$3:$AD$305,Data!$Y$3:$Y$305,R$1,Data!$Z$3:$Z$305,IF(RIGHT(R$2,3)="YTD","&lt;="&amp;LEFT(R$2,2)*1,R$2),Data!$K$3:$K$305,$B44)</f>
        <v/>
      </c>
      <c r="S44" s="791">
        <f>IFERROR(1/S$3,1)*SUMIFS(Data!$AD$3:$AD$305,Data!$Y$3:$Y$305,S$1,Data!$Z$3:$Z$305,IF(RIGHT(S$2,3)="YTD","&lt;="&amp;LEFT(S$2,2)*1,S$2),Data!$K$3:$K$305,$B44)</f>
        <v/>
      </c>
      <c r="T44" s="791">
        <f>IFERROR(1/T$3,1)*SUMIFS(Data!$AD$3:$AD$305,Data!$Y$3:$Y$305,T$1,Data!$Z$3:$Z$305,IF(RIGHT(T$2,3)="YTD","&lt;="&amp;LEFT(T$2,2)*1,T$2),Data!$K$3:$K$305,$B44)</f>
        <v/>
      </c>
      <c r="V44" s="788">
        <f>E44</f>
        <v/>
      </c>
      <c r="W44" s="788">
        <f>F44</f>
        <v/>
      </c>
      <c r="X44" s="788">
        <f>G44</f>
        <v/>
      </c>
      <c r="Y44" s="788">
        <f>$G44</f>
        <v/>
      </c>
      <c r="Z44" s="788">
        <f>$G44</f>
        <v/>
      </c>
      <c r="AA44" s="788">
        <f>$G44</f>
        <v/>
      </c>
      <c r="AB44" s="788">
        <f>$G44</f>
        <v/>
      </c>
      <c r="AC44" s="788">
        <f>$G44</f>
        <v/>
      </c>
      <c r="AD44" s="788">
        <f>$G44</f>
        <v/>
      </c>
      <c r="AE44" s="788">
        <f>$G44</f>
        <v/>
      </c>
      <c r="AF44" s="788">
        <f>$G44</f>
        <v/>
      </c>
      <c r="AG44" s="788" t="n"/>
      <c r="AH44" s="788">
        <f>IFERROR(1/AH$3,1)*SUMIFS(Data!$AD$3:$AD$305,Data!$Y$3:$Y$305,AH$1,Data!$Z$3:$Z$305,IF(RIGHT(AH$2,3)="YTD","&lt;="&amp;LEFT(AH$2,2)*1,AH$2),Data!$K$3:$K$305,$B20)</f>
        <v/>
      </c>
      <c r="AI44" s="788">
        <f>AM44/12*$C$5</f>
        <v/>
      </c>
      <c r="AJ44" s="789">
        <f>AH44-AI44</f>
        <v/>
      </c>
      <c r="AL44" s="788" t="n">
        <v>45130</v>
      </c>
      <c r="AM44" s="790" t="n">
        <v>250000</v>
      </c>
    </row>
    <row r="45" hidden="1" outlineLevel="1" s="701">
      <c r="A45" s="160" t="inlineStr">
        <is>
          <t>TT-CP-00102-20</t>
        </is>
      </c>
      <c r="B45" s="264" t="inlineStr">
        <is>
          <t>SERVICE IC</t>
        </is>
      </c>
      <c r="C45" s="246" t="inlineStr">
        <is>
          <t>k €</t>
        </is>
      </c>
      <c r="E45" s="788">
        <f>$AL45/E$3</f>
        <v/>
      </c>
      <c r="F45" s="788">
        <f>IFERROR(1/F$3,1)*SUMIFS(Data!$AD$3:$AD$305,Data!$Y$3:$Y$305,F$1,Data!$Z$3:$Z$305,IF(RIGHT(F$2,3)="YTD","&lt;="&amp;LEFT(F$2,2)*1,F$2),Data!$K$3:$K$305,$B45)</f>
        <v/>
      </c>
      <c r="G45" s="788">
        <f>AM45/12</f>
        <v/>
      </c>
      <c r="H45" s="801" t="n"/>
      <c r="I45" s="791">
        <f>IFERROR(1/I$3,1)*SUMIFS(Data!$AD$3:$AD$305,Data!$Y$3:$Y$305,I$1,Data!$Z$3:$Z$305,IF(RIGHT(I$2,3)="YTD","&lt;="&amp;LEFT(I$2,2)*1,I$2),Data!$K$3:$K$305,$B45)</f>
        <v/>
      </c>
      <c r="J45" s="791">
        <f>IFERROR(1/J$3,1)*SUMIFS(Data!$AD$3:$AD$305,Data!$Y$3:$Y$305,J$1,Data!$Z$3:$Z$305,IF(RIGHT(J$2,3)="YTD","&lt;="&amp;LEFT(J$2,2)*1,J$2),Data!$K$3:$K$305,$B45)</f>
        <v/>
      </c>
      <c r="K45" s="791">
        <f>IFERROR(1/K$3,1)*SUMIFS(Data!$AD$3:$AD$305,Data!$Y$3:$Y$305,K$1,Data!$Z$3:$Z$305,IF(RIGHT(K$2,3)="YTD","&lt;="&amp;LEFT(K$2,2)*1,K$2),Data!$K$3:$K$305,$B45)</f>
        <v/>
      </c>
      <c r="L45" s="791">
        <f>IFERROR(1/L$3,1)*SUMIFS(Data!$AD$3:$AD$305,Data!$Y$3:$Y$305,L$1,Data!$Z$3:$Z$305,IF(RIGHT(L$2,3)="YTD","&lt;="&amp;LEFT(L$2,2)*1,L$2),Data!$K$3:$K$305,$B45)</f>
        <v/>
      </c>
      <c r="M45" s="791">
        <f>IFERROR(1/M$3,1)*SUMIFS(Data!$AD$3:$AD$305,Data!$Y$3:$Y$305,M$1,Data!$Z$3:$Z$305,IF(RIGHT(M$2,3)="YTD","&lt;="&amp;LEFT(M$2,2)*1,M$2),Data!$K$3:$K$305,$B45)</f>
        <v/>
      </c>
      <c r="N45" s="791">
        <f>IFERROR(1/N$3,1)*SUMIFS(Data!$AD$3:$AD$305,Data!$Y$3:$Y$305,N$1,Data!$Z$3:$Z$305,IF(RIGHT(N$2,3)="YTD","&lt;="&amp;LEFT(N$2,2)*1,N$2),Data!$K$3:$K$305,$B45)</f>
        <v/>
      </c>
      <c r="O45" s="791">
        <f>IFERROR(1/O$3,1)*SUMIFS(Data!$AD$3:$AD$305,Data!$Y$3:$Y$305,O$1,Data!$Z$3:$Z$305,IF(RIGHT(O$2,3)="YTD","&lt;="&amp;LEFT(O$2,2)*1,O$2),Data!$K$3:$K$305,$B45)</f>
        <v/>
      </c>
      <c r="P45" s="791">
        <f>IFERROR(1/P$3,1)*SUMIFS(Data!$AD$3:$AD$305,Data!$Y$3:$Y$305,P$1,Data!$Z$3:$Z$305,IF(RIGHT(P$2,3)="YTD","&lt;="&amp;LEFT(P$2,2)*1,P$2),Data!$K$3:$K$305,$B45)</f>
        <v/>
      </c>
      <c r="Q45" s="791">
        <f>IFERROR(1/Q$3,1)*SUMIFS(Data!$AD$3:$AD$305,Data!$Y$3:$Y$305,Q$1,Data!$Z$3:$Z$305,IF(RIGHT(Q$2,3)="YTD","&lt;="&amp;LEFT(Q$2,2)*1,Q$2),Data!$K$3:$K$305,$B45)</f>
        <v/>
      </c>
      <c r="R45" s="791">
        <f>IFERROR(1/R$3,1)*SUMIFS(Data!$AD$3:$AD$305,Data!$Y$3:$Y$305,R$1,Data!$Z$3:$Z$305,IF(RIGHT(R$2,3)="YTD","&lt;="&amp;LEFT(R$2,2)*1,R$2),Data!$K$3:$K$305,$B45)</f>
        <v/>
      </c>
      <c r="S45" s="791">
        <f>IFERROR(1/S$3,1)*SUMIFS(Data!$AD$3:$AD$305,Data!$Y$3:$Y$305,S$1,Data!$Z$3:$Z$305,IF(RIGHT(S$2,3)="YTD","&lt;="&amp;LEFT(S$2,2)*1,S$2),Data!$K$3:$K$305,$B45)</f>
        <v/>
      </c>
      <c r="T45" s="791">
        <f>IFERROR(1/T$3,1)*SUMIFS(Data!$AD$3:$AD$305,Data!$Y$3:$Y$305,T$1,Data!$Z$3:$Z$305,IF(RIGHT(T$2,3)="YTD","&lt;="&amp;LEFT(T$2,2)*1,T$2),Data!$K$3:$K$305,$B45)</f>
        <v/>
      </c>
      <c r="V45" s="788">
        <f>E45</f>
        <v/>
      </c>
      <c r="W45" s="788">
        <f>F45</f>
        <v/>
      </c>
      <c r="X45" s="788">
        <f>G45</f>
        <v/>
      </c>
      <c r="Y45" s="788">
        <f>$G45</f>
        <v/>
      </c>
      <c r="Z45" s="788">
        <f>$G45</f>
        <v/>
      </c>
      <c r="AA45" s="788">
        <f>$G45</f>
        <v/>
      </c>
      <c r="AB45" s="788">
        <f>$G45</f>
        <v/>
      </c>
      <c r="AC45" s="788">
        <f>$G45</f>
        <v/>
      </c>
      <c r="AD45" s="788">
        <f>$G45</f>
        <v/>
      </c>
      <c r="AE45" s="788">
        <f>$G45</f>
        <v/>
      </c>
      <c r="AF45" s="788">
        <f>$G45</f>
        <v/>
      </c>
      <c r="AG45" s="788" t="n"/>
      <c r="AH45" s="788">
        <f>IFERROR(1/AH$3,1)*SUMIFS(Data!$AD$3:$AD$305,Data!$Y$3:$Y$305,AH$1,Data!$Z$3:$Z$305,IF(RIGHT(AH$2,3)="YTD","&lt;="&amp;LEFT(AH$2,2)*1,AH$2),Data!$K$3:$K$305,$B21)</f>
        <v/>
      </c>
      <c r="AI45" s="788">
        <f>AM45/12*$C$5</f>
        <v/>
      </c>
      <c r="AJ45" s="789">
        <f>AH45-AI45</f>
        <v/>
      </c>
      <c r="AL45" s="788" t="n">
        <v>127114</v>
      </c>
      <c r="AM45" s="790" t="n">
        <v>45000</v>
      </c>
    </row>
    <row r="46" hidden="1" outlineLevel="1" s="701">
      <c r="A46" s="160" t="inlineStr">
        <is>
          <t>TT-CP-00100-20</t>
        </is>
      </c>
      <c r="B46" s="264" t="inlineStr">
        <is>
          <t>SERVICE OTHER AIA</t>
        </is>
      </c>
      <c r="C46" s="246" t="inlineStr">
        <is>
          <t>k €</t>
        </is>
      </c>
      <c r="E46" s="788">
        <f>$AL46/E$3</f>
        <v/>
      </c>
      <c r="F46" s="788">
        <f>IFERROR(1/F$3,1)*SUMIFS(Data!$AD$3:$AD$305,Data!$Y$3:$Y$305,F$1,Data!$Z$3:$Z$305,IF(RIGHT(F$2,3)="YTD","&lt;="&amp;LEFT(F$2,2)*1,F$2),Data!$K$3:$K$305,$B46)</f>
        <v/>
      </c>
      <c r="G46" s="788">
        <f>AM46/12</f>
        <v/>
      </c>
      <c r="H46" s="801" t="n"/>
      <c r="I46" s="791">
        <f>IFERROR(1/I$3,1)*SUMIFS(Data!$AD$3:$AD$305,Data!$Y$3:$Y$305,I$1,Data!$Z$3:$Z$305,IF(RIGHT(I$2,3)="YTD","&lt;="&amp;LEFT(I$2,2)*1,I$2),Data!$K$3:$K$305,$B46)</f>
        <v/>
      </c>
      <c r="J46" s="791">
        <f>IFERROR(1/J$3,1)*SUMIFS(Data!$AD$3:$AD$305,Data!$Y$3:$Y$305,J$1,Data!$Z$3:$Z$305,IF(RIGHT(J$2,3)="YTD","&lt;="&amp;LEFT(J$2,2)*1,J$2),Data!$K$3:$K$305,$B46)</f>
        <v/>
      </c>
      <c r="K46" s="791">
        <f>IFERROR(1/K$3,1)*SUMIFS(Data!$AD$3:$AD$305,Data!$Y$3:$Y$305,K$1,Data!$Z$3:$Z$305,IF(RIGHT(K$2,3)="YTD","&lt;="&amp;LEFT(K$2,2)*1,K$2),Data!$K$3:$K$305,$B46)</f>
        <v/>
      </c>
      <c r="L46" s="791">
        <f>IFERROR(1/L$3,1)*SUMIFS(Data!$AD$3:$AD$305,Data!$Y$3:$Y$305,L$1,Data!$Z$3:$Z$305,IF(RIGHT(L$2,3)="YTD","&lt;="&amp;LEFT(L$2,2)*1,L$2),Data!$K$3:$K$305,$B46)</f>
        <v/>
      </c>
      <c r="M46" s="791">
        <f>IFERROR(1/M$3,1)*SUMIFS(Data!$AD$3:$AD$305,Data!$Y$3:$Y$305,M$1,Data!$Z$3:$Z$305,IF(RIGHT(M$2,3)="YTD","&lt;="&amp;LEFT(M$2,2)*1,M$2),Data!$K$3:$K$305,$B46)</f>
        <v/>
      </c>
      <c r="N46" s="791">
        <f>IFERROR(1/N$3,1)*SUMIFS(Data!$AD$3:$AD$305,Data!$Y$3:$Y$305,N$1,Data!$Z$3:$Z$305,IF(RIGHT(N$2,3)="YTD","&lt;="&amp;LEFT(N$2,2)*1,N$2),Data!$K$3:$K$305,$B46)</f>
        <v/>
      </c>
      <c r="O46" s="791">
        <f>IFERROR(1/O$3,1)*SUMIFS(Data!$AD$3:$AD$305,Data!$Y$3:$Y$305,O$1,Data!$Z$3:$Z$305,IF(RIGHT(O$2,3)="YTD","&lt;="&amp;LEFT(O$2,2)*1,O$2),Data!$K$3:$K$305,$B46)</f>
        <v/>
      </c>
      <c r="P46" s="791">
        <f>IFERROR(1/P$3,1)*SUMIFS(Data!$AD$3:$AD$305,Data!$Y$3:$Y$305,P$1,Data!$Z$3:$Z$305,IF(RIGHT(P$2,3)="YTD","&lt;="&amp;LEFT(P$2,2)*1,P$2),Data!$K$3:$K$305,$B46)</f>
        <v/>
      </c>
      <c r="Q46" s="791">
        <f>IFERROR(1/Q$3,1)*SUMIFS(Data!$AD$3:$AD$305,Data!$Y$3:$Y$305,Q$1,Data!$Z$3:$Z$305,IF(RIGHT(Q$2,3)="YTD","&lt;="&amp;LEFT(Q$2,2)*1,Q$2),Data!$K$3:$K$305,$B46)</f>
        <v/>
      </c>
      <c r="R46" s="791">
        <f>IFERROR(1/R$3,1)*SUMIFS(Data!$AD$3:$AD$305,Data!$Y$3:$Y$305,R$1,Data!$Z$3:$Z$305,IF(RIGHT(R$2,3)="YTD","&lt;="&amp;LEFT(R$2,2)*1,R$2),Data!$K$3:$K$305,$B46)</f>
        <v/>
      </c>
      <c r="S46" s="791">
        <f>IFERROR(1/S$3,1)*SUMIFS(Data!$AD$3:$AD$305,Data!$Y$3:$Y$305,S$1,Data!$Z$3:$Z$305,IF(RIGHT(S$2,3)="YTD","&lt;="&amp;LEFT(S$2,2)*1,S$2),Data!$K$3:$K$305,$B46)</f>
        <v/>
      </c>
      <c r="T46" s="791">
        <f>IFERROR(1/T$3,1)*SUMIFS(Data!$AD$3:$AD$305,Data!$Y$3:$Y$305,T$1,Data!$Z$3:$Z$305,IF(RIGHT(T$2,3)="YTD","&lt;="&amp;LEFT(T$2,2)*1,T$2),Data!$K$3:$K$305,$B46)</f>
        <v/>
      </c>
      <c r="V46" s="788">
        <f>E46</f>
        <v/>
      </c>
      <c r="W46" s="788">
        <f>F46</f>
        <v/>
      </c>
      <c r="X46" s="788">
        <f>G46</f>
        <v/>
      </c>
      <c r="Y46" s="788">
        <f>$G46</f>
        <v/>
      </c>
      <c r="Z46" s="788">
        <f>$G46</f>
        <v/>
      </c>
      <c r="AA46" s="788">
        <f>$G46</f>
        <v/>
      </c>
      <c r="AB46" s="788">
        <f>$G46</f>
        <v/>
      </c>
      <c r="AC46" s="788">
        <f>$G46</f>
        <v/>
      </c>
      <c r="AD46" s="788">
        <f>$G46</f>
        <v/>
      </c>
      <c r="AE46" s="788">
        <f>$G46</f>
        <v/>
      </c>
      <c r="AF46" s="788">
        <f>$G46</f>
        <v/>
      </c>
      <c r="AG46" s="788" t="n"/>
      <c r="AH46" s="788">
        <f>IFERROR(1/AH$3,1)*SUMIFS(Data!$AD$3:$AD$305,Data!$Y$3:$Y$305,AH$1,Data!$Z$3:$Z$305,IF(RIGHT(AH$2,3)="YTD","&lt;="&amp;LEFT(AH$2,2)*1,AH$2),Data!$K$3:$K$305,$B22)</f>
        <v/>
      </c>
      <c r="AI46" s="788">
        <f>AM46/12*$C$5</f>
        <v/>
      </c>
      <c r="AJ46" s="789">
        <f>AH46-AI46</f>
        <v/>
      </c>
      <c r="AL46" s="788" t="n">
        <v>130576</v>
      </c>
      <c r="AM46" s="790" t="n">
        <v>250000</v>
      </c>
    </row>
    <row r="47" hidden="1" outlineLevel="1" s="701">
      <c r="A47" t="inlineStr">
        <is>
          <t>TT-CP-00110-20</t>
        </is>
      </c>
      <c r="B47" s="264" t="inlineStr">
        <is>
          <t>TRADING OTHER AIA</t>
        </is>
      </c>
      <c r="C47" s="246" t="inlineStr">
        <is>
          <t>k €</t>
        </is>
      </c>
      <c r="E47" s="788">
        <f>$AL47/E$3</f>
        <v/>
      </c>
      <c r="F47" s="788">
        <f>IFERROR(1/F$3,1)*SUMIFS(Data!$AD$3:$AD$305,Data!$Y$3:$Y$305,F$1,Data!$Z$3:$Z$305,IF(RIGHT(F$2,3)="YTD","&lt;="&amp;LEFT(F$2,2)*1,F$2),Data!$K$3:$K$305,$B47)</f>
        <v/>
      </c>
      <c r="G47" s="788">
        <f>AM47/12</f>
        <v/>
      </c>
      <c r="H47" s="801" t="n"/>
      <c r="I47" s="791">
        <f>IFERROR(1/I$3,1)*SUMIFS(Data!$AD$3:$AD$305,Data!$Y$3:$Y$305,I$1,Data!$Z$3:$Z$305,IF(RIGHT(I$2,3)="YTD","&lt;="&amp;LEFT(I$2,2)*1,I$2),Data!$K$3:$K$305,$B47)</f>
        <v/>
      </c>
      <c r="J47" s="791">
        <f>IFERROR(1/J$3,1)*SUMIFS(Data!$AD$3:$AD$305,Data!$Y$3:$Y$305,J$1,Data!$Z$3:$Z$305,IF(RIGHT(J$2,3)="YTD","&lt;="&amp;LEFT(J$2,2)*1,J$2),Data!$K$3:$K$305,$B47)</f>
        <v/>
      </c>
      <c r="K47" s="791">
        <f>IFERROR(1/K$3,1)*SUMIFS(Data!$AD$3:$AD$305,Data!$Y$3:$Y$305,K$1,Data!$Z$3:$Z$305,IF(RIGHT(K$2,3)="YTD","&lt;="&amp;LEFT(K$2,2)*1,K$2),Data!$K$3:$K$305,$B47)</f>
        <v/>
      </c>
      <c r="L47" s="791">
        <f>IFERROR(1/L$3,1)*SUMIFS(Data!$AD$3:$AD$305,Data!$Y$3:$Y$305,L$1,Data!$Z$3:$Z$305,IF(RIGHT(L$2,3)="YTD","&lt;="&amp;LEFT(L$2,2)*1,L$2),Data!$K$3:$K$305,$B47)</f>
        <v/>
      </c>
      <c r="M47" s="791">
        <f>IFERROR(1/M$3,1)*SUMIFS(Data!$AD$3:$AD$305,Data!$Y$3:$Y$305,M$1,Data!$Z$3:$Z$305,IF(RIGHT(M$2,3)="YTD","&lt;="&amp;LEFT(M$2,2)*1,M$2),Data!$K$3:$K$305,$B47)</f>
        <v/>
      </c>
      <c r="N47" s="791">
        <f>IFERROR(1/N$3,1)*SUMIFS(Data!$AD$3:$AD$305,Data!$Y$3:$Y$305,N$1,Data!$Z$3:$Z$305,IF(RIGHT(N$2,3)="YTD","&lt;="&amp;LEFT(N$2,2)*1,N$2),Data!$K$3:$K$305,$B47)</f>
        <v/>
      </c>
      <c r="O47" s="791">
        <f>IFERROR(1/O$3,1)*SUMIFS(Data!$AD$3:$AD$305,Data!$Y$3:$Y$305,O$1,Data!$Z$3:$Z$305,IF(RIGHT(O$2,3)="YTD","&lt;="&amp;LEFT(O$2,2)*1,O$2),Data!$K$3:$K$305,$B47)</f>
        <v/>
      </c>
      <c r="P47" s="791">
        <f>IFERROR(1/P$3,1)*SUMIFS(Data!$AD$3:$AD$305,Data!$Y$3:$Y$305,P$1,Data!$Z$3:$Z$305,IF(RIGHT(P$2,3)="YTD","&lt;="&amp;LEFT(P$2,2)*1,P$2),Data!$K$3:$K$305,$B47)</f>
        <v/>
      </c>
      <c r="Q47" s="791">
        <f>IFERROR(1/Q$3,1)*SUMIFS(Data!$AD$3:$AD$305,Data!$Y$3:$Y$305,Q$1,Data!$Z$3:$Z$305,IF(RIGHT(Q$2,3)="YTD","&lt;="&amp;LEFT(Q$2,2)*1,Q$2),Data!$K$3:$K$305,$B47)</f>
        <v/>
      </c>
      <c r="R47" s="791">
        <f>IFERROR(1/R$3,1)*SUMIFS(Data!$AD$3:$AD$305,Data!$Y$3:$Y$305,R$1,Data!$Z$3:$Z$305,IF(RIGHT(R$2,3)="YTD","&lt;="&amp;LEFT(R$2,2)*1,R$2),Data!$K$3:$K$305,$B47)</f>
        <v/>
      </c>
      <c r="S47" s="791">
        <f>IFERROR(1/S$3,1)*SUMIFS(Data!$AD$3:$AD$305,Data!$Y$3:$Y$305,S$1,Data!$Z$3:$Z$305,IF(RIGHT(S$2,3)="YTD","&lt;="&amp;LEFT(S$2,2)*1,S$2),Data!$K$3:$K$305,$B47)</f>
        <v/>
      </c>
      <c r="T47" s="791">
        <f>IFERROR(1/T$3,1)*SUMIFS(Data!$AD$3:$AD$305,Data!$Y$3:$Y$305,T$1,Data!$Z$3:$Z$305,IF(RIGHT(T$2,3)="YTD","&lt;="&amp;LEFT(T$2,2)*1,T$2),Data!$K$3:$K$305,$B47)</f>
        <v/>
      </c>
      <c r="V47" s="788">
        <f>E47</f>
        <v/>
      </c>
      <c r="W47" s="788">
        <f>F47</f>
        <v/>
      </c>
      <c r="X47" s="788">
        <f>G47</f>
        <v/>
      </c>
      <c r="Y47" s="788">
        <f>$G47</f>
        <v/>
      </c>
      <c r="Z47" s="788">
        <f>$G47</f>
        <v/>
      </c>
      <c r="AA47" s="788">
        <f>$G47</f>
        <v/>
      </c>
      <c r="AB47" s="788">
        <f>$G47</f>
        <v/>
      </c>
      <c r="AC47" s="788">
        <f>$G47</f>
        <v/>
      </c>
      <c r="AD47" s="788">
        <f>$G47</f>
        <v/>
      </c>
      <c r="AE47" s="788">
        <f>$G47</f>
        <v/>
      </c>
      <c r="AF47" s="788">
        <f>$G47</f>
        <v/>
      </c>
      <c r="AG47" s="788" t="n"/>
      <c r="AH47" s="788">
        <f>IFERROR(1/AH$3,1)*SUMIFS(Data!$AD$3:$AD$305,Data!$Y$3:$Y$305,AH$1,Data!$Z$3:$Z$305,IF(RIGHT(AH$2,3)="YTD","&lt;="&amp;LEFT(AH$2,2)*1,AH$2),Data!$K$3:$K$305,$B23)</f>
        <v/>
      </c>
      <c r="AI47" s="788">
        <f>AM47/12*$C$5</f>
        <v/>
      </c>
      <c r="AJ47" s="789">
        <f>AH47-AI47</f>
        <v/>
      </c>
      <c r="AL47" s="788" t="n">
        <v>8904</v>
      </c>
      <c r="AM47" s="788" t="n">
        <v>0</v>
      </c>
    </row>
    <row r="48" hidden="1" outlineLevel="1" s="701">
      <c r="B48" s="264" t="inlineStr">
        <is>
          <t>TRADING AIA</t>
        </is>
      </c>
      <c r="C48" s="246" t="inlineStr">
        <is>
          <t>k €</t>
        </is>
      </c>
      <c r="E48" s="788">
        <f>$AL48/E$3</f>
        <v/>
      </c>
      <c r="F48" s="788">
        <f>IFERROR(1/F$3,1)*SUMIFS(Data!$AD$3:$AD$305,Data!$Y$3:$Y$305,F$1,Data!$Z$3:$Z$305,IF(RIGHT(F$2,3)="YTD","&lt;="&amp;LEFT(F$2,2)*1,F$2),Data!$K$3:$K$305,$B48)</f>
        <v/>
      </c>
      <c r="G48" s="788">
        <f>AM48/12</f>
        <v/>
      </c>
      <c r="H48" s="801" t="n"/>
      <c r="I48" s="791">
        <f>IFERROR(1/I$3,1)*SUMIFS(Data!$AD$3:$AD$305,Data!$Y$3:$Y$305,I$1,Data!$Z$3:$Z$305,IF(RIGHT(I$2,3)="YTD","&lt;="&amp;LEFT(I$2,2)*1,I$2),Data!$K$3:$K$305,$B48)</f>
        <v/>
      </c>
      <c r="J48" s="791">
        <f>IFERROR(1/J$3,1)*SUMIFS(Data!$AD$3:$AD$305,Data!$Y$3:$Y$305,J$1,Data!$Z$3:$Z$305,IF(RIGHT(J$2,3)="YTD","&lt;="&amp;LEFT(J$2,2)*1,J$2),Data!$K$3:$K$305,$B48)</f>
        <v/>
      </c>
      <c r="K48" s="791">
        <f>IFERROR(1/K$3,1)*SUMIFS(Data!$AD$3:$AD$305,Data!$Y$3:$Y$305,K$1,Data!$Z$3:$Z$305,IF(RIGHT(K$2,3)="YTD","&lt;="&amp;LEFT(K$2,2)*1,K$2),Data!$K$3:$K$305,$B48)</f>
        <v/>
      </c>
      <c r="L48" s="791">
        <f>IFERROR(1/L$3,1)*SUMIFS(Data!$AD$3:$AD$305,Data!$Y$3:$Y$305,L$1,Data!$Z$3:$Z$305,IF(RIGHT(L$2,3)="YTD","&lt;="&amp;LEFT(L$2,2)*1,L$2),Data!$K$3:$K$305,$B48)</f>
        <v/>
      </c>
      <c r="M48" s="791">
        <f>IFERROR(1/M$3,1)*SUMIFS(Data!$AD$3:$AD$305,Data!$Y$3:$Y$305,M$1,Data!$Z$3:$Z$305,IF(RIGHT(M$2,3)="YTD","&lt;="&amp;LEFT(M$2,2)*1,M$2),Data!$K$3:$K$305,$B48)</f>
        <v/>
      </c>
      <c r="N48" s="791">
        <f>IFERROR(1/N$3,1)*SUMIFS(Data!$AD$3:$AD$305,Data!$Y$3:$Y$305,N$1,Data!$Z$3:$Z$305,IF(RIGHT(N$2,3)="YTD","&lt;="&amp;LEFT(N$2,2)*1,N$2),Data!$K$3:$K$305,$B48)</f>
        <v/>
      </c>
      <c r="O48" s="791">
        <f>IFERROR(1/O$3,1)*SUMIFS(Data!$AD$3:$AD$305,Data!$Y$3:$Y$305,O$1,Data!$Z$3:$Z$305,IF(RIGHT(O$2,3)="YTD","&lt;="&amp;LEFT(O$2,2)*1,O$2),Data!$K$3:$K$305,$B48)</f>
        <v/>
      </c>
      <c r="P48" s="791">
        <f>IFERROR(1/P$3,1)*SUMIFS(Data!$AD$3:$AD$305,Data!$Y$3:$Y$305,P$1,Data!$Z$3:$Z$305,IF(RIGHT(P$2,3)="YTD","&lt;="&amp;LEFT(P$2,2)*1,P$2),Data!$K$3:$K$305,$B48)</f>
        <v/>
      </c>
      <c r="Q48" s="791">
        <f>IFERROR(1/Q$3,1)*SUMIFS(Data!$AD$3:$AD$305,Data!$Y$3:$Y$305,Q$1,Data!$Z$3:$Z$305,IF(RIGHT(Q$2,3)="YTD","&lt;="&amp;LEFT(Q$2,2)*1,Q$2),Data!$K$3:$K$305,$B48)</f>
        <v/>
      </c>
      <c r="R48" s="791">
        <f>IFERROR(1/R$3,1)*SUMIFS(Data!$AD$3:$AD$305,Data!$Y$3:$Y$305,R$1,Data!$Z$3:$Z$305,IF(RIGHT(R$2,3)="YTD","&lt;="&amp;LEFT(R$2,2)*1,R$2),Data!$K$3:$K$305,$B48)</f>
        <v/>
      </c>
      <c r="S48" s="791">
        <f>IFERROR(1/S$3,1)*SUMIFS(Data!$AD$3:$AD$305,Data!$Y$3:$Y$305,S$1,Data!$Z$3:$Z$305,IF(RIGHT(S$2,3)="YTD","&lt;="&amp;LEFT(S$2,2)*1,S$2),Data!$K$3:$K$305,$B48)</f>
        <v/>
      </c>
      <c r="T48" s="791">
        <f>IFERROR(1/T$3,1)*SUMIFS(Data!$AD$3:$AD$305,Data!$Y$3:$Y$305,T$1,Data!$Z$3:$Z$305,IF(RIGHT(T$2,3)="YTD","&lt;="&amp;LEFT(T$2,2)*1,T$2),Data!$K$3:$K$305,$B48)</f>
        <v/>
      </c>
      <c r="V48" s="788">
        <f>E48</f>
        <v/>
      </c>
      <c r="W48" s="788">
        <f>F48</f>
        <v/>
      </c>
      <c r="X48" s="788">
        <f>G48</f>
        <v/>
      </c>
      <c r="Y48" s="788">
        <f>$G48</f>
        <v/>
      </c>
      <c r="Z48" s="788">
        <f>$G48</f>
        <v/>
      </c>
      <c r="AA48" s="788">
        <f>$G48</f>
        <v/>
      </c>
      <c r="AB48" s="788">
        <f>$G48</f>
        <v/>
      </c>
      <c r="AC48" s="788">
        <f>$G48</f>
        <v/>
      </c>
      <c r="AD48" s="788">
        <f>$G48</f>
        <v/>
      </c>
      <c r="AE48" s="788">
        <f>$G48</f>
        <v/>
      </c>
      <c r="AF48" s="788">
        <f>$G48</f>
        <v/>
      </c>
      <c r="AG48" s="788" t="n"/>
      <c r="AH48" s="788">
        <f>IFERROR(1/AH$3,1)*SUMIFS(Data!$AD$3:$AD$305,Data!$Y$3:$Y$305,AH$1,Data!$Z$3:$Z$305,IF(RIGHT(AH$2,3)="YTD","&lt;="&amp;LEFT(AH$2,2)*1,AH$2),Data!$K$3:$K$305,$B24)</f>
        <v/>
      </c>
      <c r="AI48" s="788">
        <f>AM48/12*$C$5</f>
        <v/>
      </c>
      <c r="AJ48" s="789">
        <f>AH48-AI48</f>
        <v/>
      </c>
      <c r="AL48" s="788" t="n">
        <v>271320</v>
      </c>
      <c r="AM48" s="788" t="n">
        <v>0</v>
      </c>
    </row>
    <row r="49" hidden="1" outlineLevel="1" customFormat="1" s="329">
      <c r="B49" s="265" t="inlineStr">
        <is>
          <t>TOTAL HYFR</t>
        </is>
      </c>
      <c r="C49" s="246" t="inlineStr">
        <is>
          <t>k €</t>
        </is>
      </c>
      <c r="E49" s="790" t="n"/>
      <c r="F49" s="790" t="n"/>
      <c r="G49" s="788" t="n"/>
      <c r="H49" s="801" t="n"/>
      <c r="I49" s="792">
        <f>SUM(I39:I48)</f>
        <v/>
      </c>
      <c r="J49" s="792">
        <f>SUM(J39:J48)</f>
        <v/>
      </c>
      <c r="K49" s="792">
        <f>SUM(K39:K48)</f>
        <v/>
      </c>
      <c r="L49" s="792">
        <f>SUM(L39:L48)</f>
        <v/>
      </c>
      <c r="M49" s="792">
        <f>SUM(M39:M48)</f>
        <v/>
      </c>
      <c r="N49" s="792">
        <f>SUM(N39:N48)</f>
        <v/>
      </c>
      <c r="O49" s="792">
        <f>SUM(O39:O48)</f>
        <v/>
      </c>
      <c r="P49" s="792">
        <f>SUM(P39:P48)</f>
        <v/>
      </c>
      <c r="Q49" s="792">
        <f>SUM(Q39:Q48)</f>
        <v/>
      </c>
      <c r="R49" s="792">
        <f>SUM(R39:R48)</f>
        <v/>
      </c>
      <c r="S49" s="792">
        <f>SUM(S39:S48)</f>
        <v/>
      </c>
      <c r="T49" s="792">
        <f>SUM(T39:T48)</f>
        <v/>
      </c>
      <c r="U49" s="792" t="n"/>
      <c r="V49" s="792">
        <f>SUM(V39:V48)</f>
        <v/>
      </c>
      <c r="W49" s="792">
        <f>SUM(W39:W48)</f>
        <v/>
      </c>
      <c r="X49" s="792">
        <f>SUM(X39:X48)</f>
        <v/>
      </c>
      <c r="Y49" s="792">
        <f>SUM(Y39:Y48)</f>
        <v/>
      </c>
      <c r="Z49" s="792">
        <f>SUM(Z39:Z48)</f>
        <v/>
      </c>
      <c r="AA49" s="792">
        <f>SUM(AA39:AA48)</f>
        <v/>
      </c>
      <c r="AB49" s="790" t="n"/>
      <c r="AC49" s="790" t="n"/>
      <c r="AD49" s="790" t="n"/>
      <c r="AE49" s="790" t="n"/>
      <c r="AF49" s="790" t="n"/>
      <c r="AG49" s="790" t="n"/>
      <c r="AH49" s="790">
        <f>SUM(AH39:AH48)</f>
        <v/>
      </c>
      <c r="AI49" s="790">
        <f>SUM(AI39:AI48)</f>
        <v/>
      </c>
      <c r="AJ49" s="790">
        <f>SUM(AJ39:AJ48)</f>
        <v/>
      </c>
      <c r="AL49" s="790" t="n">
        <v>1606577.5</v>
      </c>
      <c r="AM49" s="790">
        <f>SUM(AM39:AM48)</f>
        <v/>
      </c>
    </row>
    <row r="50" hidden="1" outlineLevel="1" s="701">
      <c r="B50" s="266" t="inlineStr">
        <is>
          <t>GSE (HYKG)</t>
        </is>
      </c>
      <c r="C50" s="246" t="inlineStr">
        <is>
          <t>k €</t>
        </is>
      </c>
      <c r="E50" s="793">
        <f>$AL50/E$3</f>
        <v/>
      </c>
      <c r="F50" s="793">
        <f>SUM(I50:T50)/LEFT($F$2,2)</f>
        <v/>
      </c>
      <c r="G50" s="793">
        <f>AM50/12</f>
        <v/>
      </c>
      <c r="H50" s="801" t="n"/>
      <c r="I50" s="794">
        <f>Reporting!C74</f>
        <v/>
      </c>
      <c r="J50" s="794">
        <f>Reporting!D74</f>
        <v/>
      </c>
      <c r="K50" s="794">
        <f>Reporting!E74</f>
        <v/>
      </c>
      <c r="L50" s="794">
        <f>Reporting!F74</f>
        <v/>
      </c>
      <c r="M50" s="794">
        <f>Reporting!G74</f>
        <v/>
      </c>
      <c r="N50" s="807">
        <f>Reporting!H74</f>
        <v/>
      </c>
      <c r="O50" s="807">
        <f>Reporting!I74</f>
        <v/>
      </c>
      <c r="P50" s="807">
        <f>Reporting!J74</f>
        <v/>
      </c>
      <c r="Q50" s="807">
        <f>Reporting!K74</f>
        <v/>
      </c>
      <c r="R50" s="807">
        <f>Reporting!L74</f>
        <v/>
      </c>
      <c r="S50" s="807">
        <f>Reporting!M74</f>
        <v/>
      </c>
      <c r="T50" s="807">
        <f>Reporting!N74</f>
        <v/>
      </c>
      <c r="V50" s="808">
        <f>E50</f>
        <v/>
      </c>
      <c r="W50" s="808">
        <f>F50</f>
        <v/>
      </c>
      <c r="X50" s="808">
        <f>G50</f>
        <v/>
      </c>
      <c r="Y50" s="793">
        <f>G50</f>
        <v/>
      </c>
      <c r="Z50" s="793">
        <f>G50</f>
        <v/>
      </c>
      <c r="AA50" s="793">
        <f>G50</f>
        <v/>
      </c>
      <c r="AB50" s="793">
        <f>X50</f>
        <v/>
      </c>
      <c r="AC50" s="793">
        <f>X50</f>
        <v/>
      </c>
      <c r="AD50" s="793">
        <f>X50</f>
        <v/>
      </c>
      <c r="AE50" s="793">
        <f>X50</f>
        <v/>
      </c>
      <c r="AF50" s="793">
        <f>AB50</f>
        <v/>
      </c>
      <c r="AG50" s="793" t="n"/>
      <c r="AH50" s="793">
        <f>SUM(I50:T50)</f>
        <v/>
      </c>
      <c r="AI50" s="793">
        <f>AM50/12*$C$5</f>
        <v/>
      </c>
      <c r="AJ50" s="809" t="n"/>
      <c r="AL50" s="793" t="n">
        <v>2943191.83</v>
      </c>
      <c r="AM50" s="796" t="n">
        <v>6630000</v>
      </c>
    </row>
    <row r="51" hidden="1" outlineLevel="1" customFormat="1" s="329">
      <c r="B51" s="265" t="inlineStr">
        <is>
          <t>TOTAL HYFR + GSE (HYKG)</t>
        </is>
      </c>
      <c r="C51" s="246" t="inlineStr">
        <is>
          <t>k €</t>
        </is>
      </c>
      <c r="E51" s="790" t="n"/>
      <c r="F51" s="790" t="n"/>
      <c r="G51" s="788" t="n"/>
      <c r="H51" s="801" t="n"/>
      <c r="I51" s="792">
        <f>I49+I50</f>
        <v/>
      </c>
      <c r="J51" s="792">
        <f>J49+J50</f>
        <v/>
      </c>
      <c r="K51" s="792">
        <f>K49+K50</f>
        <v/>
      </c>
      <c r="L51" s="792">
        <f>L49+L50</f>
        <v/>
      </c>
      <c r="M51" s="792">
        <f>M49+M50</f>
        <v/>
      </c>
      <c r="N51" s="792">
        <f>N49+N50</f>
        <v/>
      </c>
      <c r="O51" s="792">
        <f>O49+O50</f>
        <v/>
      </c>
      <c r="P51" s="792">
        <f>P49+P50</f>
        <v/>
      </c>
      <c r="Q51" s="792">
        <f>Q49+Q50</f>
        <v/>
      </c>
      <c r="R51" s="792">
        <f>R49+R50</f>
        <v/>
      </c>
      <c r="S51" s="792">
        <f>S49+S50</f>
        <v/>
      </c>
      <c r="T51" s="792">
        <f>T49+T50</f>
        <v/>
      </c>
      <c r="U51" s="792" t="n"/>
      <c r="V51" s="792">
        <f>V49+V50</f>
        <v/>
      </c>
      <c r="W51" s="792">
        <f>W49+W50</f>
        <v/>
      </c>
      <c r="X51" s="792">
        <f>X49+X50</f>
        <v/>
      </c>
      <c r="Y51" s="792">
        <f>Y49+Y50</f>
        <v/>
      </c>
      <c r="Z51" s="792">
        <f>Z49+Z50</f>
        <v/>
      </c>
      <c r="AA51" s="792">
        <f>AA49+AA50</f>
        <v/>
      </c>
      <c r="AB51" s="790">
        <f>Y51</f>
        <v/>
      </c>
      <c r="AC51" s="790">
        <f>Z51</f>
        <v/>
      </c>
      <c r="AD51" s="790">
        <f>Z51</f>
        <v/>
      </c>
      <c r="AE51" s="790">
        <f>Z51</f>
        <v/>
      </c>
      <c r="AF51" s="790">
        <f>Z51</f>
        <v/>
      </c>
      <c r="AG51" s="790" t="n"/>
      <c r="AH51" s="790">
        <f>SUM(I51:S51)</f>
        <v/>
      </c>
      <c r="AI51" s="790">
        <f>AF51*C5</f>
        <v/>
      </c>
      <c r="AJ51" s="797" t="n"/>
      <c r="AL51" s="790">
        <f>SUM(M51:Y51)</f>
        <v/>
      </c>
      <c r="AM51" s="790" t="n"/>
      <c r="AN51" s="336" t="n"/>
      <c r="AO51" s="336" t="n"/>
      <c r="AP51" s="336" t="n"/>
      <c r="AQ51" s="336" t="n"/>
      <c r="AR51" s="336" t="n"/>
      <c r="AS51" s="336" t="n"/>
      <c r="AT51" s="336" t="n"/>
      <c r="AU51" s="336" t="n"/>
    </row>
    <row r="52" collapsed="1" customFormat="1" s="329">
      <c r="B52" s="265" t="n"/>
      <c r="C52" s="246" t="n"/>
      <c r="E52" s="790" t="n"/>
      <c r="F52" s="790" t="n"/>
      <c r="G52" s="788" t="n"/>
      <c r="H52" s="801" t="n"/>
      <c r="I52" s="792" t="n"/>
      <c r="J52" s="792" t="n"/>
      <c r="K52" s="792" t="n"/>
      <c r="L52" s="792" t="n"/>
      <c r="M52" s="792" t="n"/>
      <c r="N52" s="810" t="n"/>
      <c r="O52" s="810" t="n"/>
      <c r="P52" s="810" t="n"/>
      <c r="Q52" s="810" t="n"/>
      <c r="R52" s="810" t="n"/>
      <c r="S52" s="810" t="n"/>
      <c r="T52" s="810" t="n"/>
      <c r="V52" s="806" t="n"/>
      <c r="W52" s="806" t="n"/>
      <c r="X52" s="806" t="n"/>
      <c r="Y52" s="790" t="n"/>
      <c r="Z52" s="790" t="n"/>
      <c r="AA52" s="790" t="n"/>
      <c r="AB52" s="790" t="n"/>
      <c r="AC52" s="790" t="n"/>
      <c r="AD52" s="790" t="n"/>
      <c r="AE52" s="790" t="n"/>
      <c r="AF52" s="790" t="n"/>
      <c r="AG52" s="790" t="n"/>
      <c r="AH52" s="790" t="n"/>
      <c r="AI52" s="790" t="n"/>
      <c r="AJ52" s="797" t="n"/>
      <c r="AL52" s="790" t="n"/>
      <c r="AM52" s="790" t="n"/>
      <c r="AN52" s="336" t="n"/>
      <c r="AO52" s="336" t="n"/>
      <c r="AP52" s="336" t="n"/>
      <c r="AQ52" s="336" t="n"/>
      <c r="AR52" s="336" t="n"/>
      <c r="AS52" s="336" t="n"/>
      <c r="AT52" s="336" t="n"/>
      <c r="AU52" s="336" t="n"/>
    </row>
    <row r="53" hidden="1" outlineLevel="1" s="701">
      <c r="B53" s="268" t="n"/>
      <c r="C53" s="700" t="n"/>
      <c r="E53" s="799" t="n"/>
      <c r="F53" s="799" t="n"/>
      <c r="G53" s="799" t="n"/>
      <c r="I53" s="799" t="n"/>
      <c r="J53" s="799" t="n"/>
      <c r="K53" s="799" t="n"/>
      <c r="L53" s="799" t="n"/>
      <c r="M53" s="799" t="n"/>
      <c r="N53" s="799" t="n"/>
      <c r="O53" s="799" t="n"/>
      <c r="P53" s="799" t="n"/>
      <c r="Q53" s="799" t="n"/>
      <c r="R53" s="799" t="n"/>
      <c r="S53" s="799" t="n"/>
      <c r="T53" s="799" t="n"/>
      <c r="V53" s="799" t="n"/>
      <c r="W53" s="799" t="n"/>
      <c r="X53" s="799" t="n"/>
      <c r="Y53" s="799" t="n"/>
      <c r="Z53" s="799" t="n"/>
      <c r="AA53" s="799" t="n"/>
      <c r="AB53" s="799" t="n"/>
      <c r="AC53" s="799" t="n"/>
      <c r="AD53" s="799" t="n"/>
      <c r="AE53" s="799" t="n"/>
      <c r="AL53" s="811" t="n"/>
    </row>
    <row r="54" hidden="1" outlineLevel="1" customFormat="1" s="281">
      <c r="C54" s="273" t="n"/>
      <c r="D54" s="274" t="n"/>
      <c r="E54" s="275" t="inlineStr">
        <is>
          <t>Ø 2020</t>
        </is>
      </c>
      <c r="F54" s="276" t="inlineStr">
        <is>
          <t>Ø 2021</t>
        </is>
      </c>
      <c r="G54" s="277" t="inlineStr">
        <is>
          <t>Ø 2022</t>
        </is>
      </c>
      <c r="H54" s="278" t="n"/>
      <c r="I54" s="276">
        <f>TEXT(I$2,"00")&amp;" "&amp;I$1</f>
        <v/>
      </c>
      <c r="J54" s="276">
        <f>TEXT(J$2,"00")&amp;" "&amp;J$1</f>
        <v/>
      </c>
      <c r="K54" s="276">
        <f>TEXT(K$2,"00")&amp;" "&amp;K$1</f>
        <v/>
      </c>
      <c r="L54" s="276">
        <f>TEXT(L$2,"00")&amp;" "&amp;L$1</f>
        <v/>
      </c>
      <c r="M54" s="276">
        <f>TEXT(M$2,"00")&amp;" "&amp;M$1</f>
        <v/>
      </c>
      <c r="N54" s="276">
        <f>TEXT(N$2,"00")&amp;" "&amp;N$1</f>
        <v/>
      </c>
      <c r="O54" s="276">
        <f>TEXT(O$2,"00")&amp;" "&amp;O$1</f>
        <v/>
      </c>
      <c r="P54" s="276">
        <f>TEXT(P$2,"00")&amp;" "&amp;P$1</f>
        <v/>
      </c>
      <c r="Q54" s="276">
        <f>TEXT(Q$2,"00")&amp;" "&amp;Q$1</f>
        <v/>
      </c>
      <c r="R54" s="276">
        <f>TEXT(R$2,"00")&amp;" "&amp;R$1</f>
        <v/>
      </c>
      <c r="S54" s="276">
        <f>TEXT(S$2,"00")&amp;" "&amp;S$1</f>
        <v/>
      </c>
      <c r="T54" s="276">
        <f>TEXT(T$2,"00")&amp;" "&amp;T$1</f>
        <v/>
      </c>
      <c r="U54" s="278" t="n"/>
      <c r="V54" s="812" t="inlineStr">
        <is>
          <t>04 2021</t>
        </is>
      </c>
      <c r="W54" s="812" t="inlineStr">
        <is>
          <t>04 2021</t>
        </is>
      </c>
      <c r="X54" s="812" t="inlineStr">
        <is>
          <t>04 2021</t>
        </is>
      </c>
      <c r="Y54" s="812" t="inlineStr">
        <is>
          <t>05 2021</t>
        </is>
      </c>
      <c r="Z54" s="812" t="inlineStr">
        <is>
          <t>05 2021</t>
        </is>
      </c>
      <c r="AA54" s="812" t="inlineStr">
        <is>
          <t>05 2021</t>
        </is>
      </c>
      <c r="AB54" s="812" t="inlineStr">
        <is>
          <t>05 2021</t>
        </is>
      </c>
      <c r="AC54" s="812" t="inlineStr">
        <is>
          <t>05 2021</t>
        </is>
      </c>
      <c r="AD54" s="812" t="inlineStr">
        <is>
          <t>05 2021</t>
        </is>
      </c>
      <c r="AE54" s="812" t="inlineStr">
        <is>
          <t>05 2021</t>
        </is>
      </c>
      <c r="AF54" s="812" t="inlineStr">
        <is>
          <t>05 2021</t>
        </is>
      </c>
      <c r="AG54" s="273" t="n"/>
      <c r="AH54" s="276">
        <f>AH$2&amp;" "&amp;AH$1</f>
        <v/>
      </c>
      <c r="AI54" s="277">
        <f>AI$2&amp;" "&amp;AI$1</f>
        <v/>
      </c>
      <c r="AJ54" s="279">
        <f>AJ$2&amp;" "&amp;AJ$1</f>
        <v/>
      </c>
      <c r="AK54" s="278" t="n"/>
      <c r="AL54" s="280">
        <f>AL$2&amp;" "&amp;AL$1</f>
        <v/>
      </c>
      <c r="AM54" s="277">
        <f>AM$2&amp;" "&amp;AM$1</f>
        <v/>
      </c>
    </row>
    <row r="55" hidden="1" outlineLevel="1" customFormat="1" s="281">
      <c r="C55" s="282" t="n"/>
      <c r="D55" s="278" t="n"/>
      <c r="E55" s="275" t="inlineStr">
        <is>
          <t>ACT</t>
        </is>
      </c>
      <c r="F55" s="276" t="inlineStr">
        <is>
          <t>ACT</t>
        </is>
      </c>
      <c r="G55" s="277" t="inlineStr">
        <is>
          <t>PLAN</t>
        </is>
      </c>
      <c r="H55" s="278" t="n"/>
      <c r="I55" s="276" t="inlineStr">
        <is>
          <t>ACT</t>
        </is>
      </c>
      <c r="J55" s="276" t="inlineStr">
        <is>
          <t>ACT</t>
        </is>
      </c>
      <c r="K55" s="276" t="inlineStr">
        <is>
          <t>ACT</t>
        </is>
      </c>
      <c r="L55" s="276" t="inlineStr">
        <is>
          <t>ACT</t>
        </is>
      </c>
      <c r="M55" s="276" t="inlineStr">
        <is>
          <t>ACT</t>
        </is>
      </c>
      <c r="N55" s="276" t="inlineStr">
        <is>
          <t>ACT</t>
        </is>
      </c>
      <c r="O55" s="276" t="inlineStr">
        <is>
          <t>ACT</t>
        </is>
      </c>
      <c r="P55" s="276" t="inlineStr">
        <is>
          <t>ACT</t>
        </is>
      </c>
      <c r="Q55" s="276" t="inlineStr">
        <is>
          <t>ACT</t>
        </is>
      </c>
      <c r="R55" s="276" t="inlineStr">
        <is>
          <t>ACT</t>
        </is>
      </c>
      <c r="S55" s="276" t="inlineStr">
        <is>
          <t>ACT</t>
        </is>
      </c>
      <c r="T55" s="276" t="inlineStr">
        <is>
          <t>ACT</t>
        </is>
      </c>
      <c r="U55" s="278" t="n"/>
      <c r="V55" s="812" t="inlineStr">
        <is>
          <t>FCST</t>
        </is>
      </c>
      <c r="W55" s="812" t="inlineStr">
        <is>
          <t>FCST</t>
        </is>
      </c>
      <c r="X55" s="812" t="inlineStr">
        <is>
          <t>FCST</t>
        </is>
      </c>
      <c r="Y55" s="812" t="inlineStr">
        <is>
          <t>FCST</t>
        </is>
      </c>
      <c r="Z55" s="812" t="inlineStr">
        <is>
          <t>FCST</t>
        </is>
      </c>
      <c r="AA55" s="812" t="inlineStr">
        <is>
          <t>FCST</t>
        </is>
      </c>
      <c r="AB55" s="812" t="inlineStr">
        <is>
          <t>FCST</t>
        </is>
      </c>
      <c r="AC55" s="812" t="inlineStr">
        <is>
          <t>FCST</t>
        </is>
      </c>
      <c r="AD55" s="812" t="inlineStr">
        <is>
          <t>FCST</t>
        </is>
      </c>
      <c r="AE55" s="812" t="inlineStr">
        <is>
          <t>FCST</t>
        </is>
      </c>
      <c r="AF55" s="812" t="inlineStr">
        <is>
          <t>FCST</t>
        </is>
      </c>
      <c r="AG55" s="273" t="n"/>
      <c r="AH55" s="276" t="inlineStr">
        <is>
          <t xml:space="preserve">ACT </t>
        </is>
      </c>
      <c r="AI55" s="277" t="inlineStr">
        <is>
          <t xml:space="preserve">PLAN </t>
        </is>
      </c>
      <c r="AJ55" s="283" t="inlineStr">
        <is>
          <t>∆  ACT PLAN</t>
        </is>
      </c>
      <c r="AK55" s="278" t="n"/>
      <c r="AL55" s="280" t="inlineStr">
        <is>
          <t xml:space="preserve">ACT </t>
        </is>
      </c>
      <c r="AM55" s="277" t="inlineStr">
        <is>
          <t xml:space="preserve">PLAN </t>
        </is>
      </c>
    </row>
    <row r="56" hidden="1" outlineLevel="1" customFormat="1" s="278">
      <c r="B56" s="284" t="inlineStr">
        <is>
          <t>PRIMAY COST / CM2 Serv Station / Revenue Service Station</t>
        </is>
      </c>
    </row>
    <row r="57" hidden="1" outlineLevel="1" customFormat="1" s="274">
      <c r="B57" s="285" t="inlineStr">
        <is>
          <t>Primary Costs</t>
        </is>
      </c>
      <c r="C57" s="273" t="inlineStr">
        <is>
          <t>m€</t>
        </is>
      </c>
      <c r="E57" s="813" t="n"/>
      <c r="F57" s="813">
        <f>IFERROR(1/F$3,1)*SUM(I57:T57)</f>
        <v/>
      </c>
      <c r="G57" s="813">
        <f>AM57/12</f>
        <v/>
      </c>
      <c r="H57" s="814" t="n"/>
      <c r="I57" s="813" t="n">
        <v>46</v>
      </c>
      <c r="J57" s="813" t="n">
        <v>44</v>
      </c>
      <c r="K57" s="813" t="n">
        <v>61</v>
      </c>
      <c r="L57" s="813" t="n">
        <v>12</v>
      </c>
      <c r="M57" s="813" t="n"/>
      <c r="N57" s="813" t="n"/>
      <c r="O57" s="813" t="n"/>
      <c r="P57" s="813" t="n"/>
      <c r="Q57" s="813" t="n"/>
      <c r="R57" s="813" t="n"/>
      <c r="S57" s="813" t="n"/>
      <c r="T57" s="813" t="n"/>
      <c r="U57" s="814" t="n"/>
      <c r="V57" s="813">
        <f>E57</f>
        <v/>
      </c>
      <c r="W57" s="813">
        <f>F57</f>
        <v/>
      </c>
      <c r="X57" s="813">
        <f>G57</f>
        <v/>
      </c>
      <c r="Y57" s="813">
        <f>G57</f>
        <v/>
      </c>
      <c r="Z57" s="813">
        <f>G57</f>
        <v/>
      </c>
      <c r="AA57" s="813">
        <f>G57</f>
        <v/>
      </c>
      <c r="AB57" s="813">
        <f>G57</f>
        <v/>
      </c>
      <c r="AC57" s="813">
        <f>Y57</f>
        <v/>
      </c>
      <c r="AD57" s="813">
        <f>Z57</f>
        <v/>
      </c>
      <c r="AE57" s="813">
        <f>AA57</f>
        <v/>
      </c>
      <c r="AF57" s="813">
        <f>AB57</f>
        <v/>
      </c>
      <c r="AG57" s="813" t="n"/>
      <c r="AH57" s="813">
        <f>SUM(I57:L57)</f>
        <v/>
      </c>
      <c r="AI57" s="813">
        <f>AF57*C5</f>
        <v/>
      </c>
      <c r="AJ57" s="814" t="n"/>
      <c r="AK57" s="814" t="n"/>
      <c r="AL57" s="813">
        <f>SUM(M57:P57)</f>
        <v/>
      </c>
      <c r="AM57" s="813" t="n">
        <v>1149</v>
      </c>
    </row>
    <row r="58" hidden="1" outlineLevel="1" customFormat="1" s="274">
      <c r="B58" s="285" t="inlineStr">
        <is>
          <t>CM2 Service Station</t>
        </is>
      </c>
      <c r="C58" s="273" t="inlineStr">
        <is>
          <t>k€</t>
        </is>
      </c>
      <c r="E58" s="813" t="n"/>
      <c r="F58" s="813">
        <f>IFERROR(1/F$3,1)*SUM(I58:T58)</f>
        <v/>
      </c>
      <c r="G58" s="813">
        <f>AM58/12</f>
        <v/>
      </c>
      <c r="H58" s="814" t="n"/>
      <c r="I58" s="813" t="n">
        <v>8169.79</v>
      </c>
      <c r="J58" s="813" t="n">
        <v>7471.4</v>
      </c>
      <c r="K58" s="813" t="n">
        <v>-410.41</v>
      </c>
      <c r="L58" s="813" t="n">
        <v>3676</v>
      </c>
      <c r="M58" s="813" t="n"/>
      <c r="N58" s="813" t="n"/>
      <c r="O58" s="813" t="n"/>
      <c r="P58" s="813" t="n"/>
      <c r="Q58" s="813" t="n"/>
      <c r="R58" s="813" t="n"/>
      <c r="S58" s="813" t="n"/>
      <c r="T58" s="813" t="n"/>
      <c r="U58" s="814" t="n"/>
      <c r="V58" s="813">
        <f>E58</f>
        <v/>
      </c>
      <c r="W58" s="813">
        <f>F58</f>
        <v/>
      </c>
      <c r="X58" s="813">
        <f>G58</f>
        <v/>
      </c>
      <c r="Y58" s="813">
        <f>G58</f>
        <v/>
      </c>
      <c r="Z58" s="813">
        <f>G58</f>
        <v/>
      </c>
      <c r="AA58" s="813">
        <f>G58</f>
        <v/>
      </c>
      <c r="AB58" s="813">
        <f>G58</f>
        <v/>
      </c>
      <c r="AC58" s="813">
        <f>Y58</f>
        <v/>
      </c>
      <c r="AD58" s="813">
        <f>Z58</f>
        <v/>
      </c>
      <c r="AE58" s="813">
        <f>AA58</f>
        <v/>
      </c>
      <c r="AF58" s="813">
        <f>AB58</f>
        <v/>
      </c>
      <c r="AG58" s="813" t="n"/>
      <c r="AH58" s="813">
        <f>SUM(I58:K58)</f>
        <v/>
      </c>
      <c r="AI58" s="813">
        <f>AF58*C5</f>
        <v/>
      </c>
      <c r="AJ58" s="814" t="n"/>
      <c r="AK58" s="814" t="n"/>
      <c r="AL58" s="813">
        <f>SUM(M58:O58)</f>
        <v/>
      </c>
      <c r="AM58" s="813" t="n">
        <v>214000</v>
      </c>
    </row>
    <row r="59" hidden="1" outlineLevel="1" customFormat="1" s="274">
      <c r="B59" s="285" t="inlineStr">
        <is>
          <t>Revenue Service Station</t>
        </is>
      </c>
      <c r="C59" s="273" t="inlineStr">
        <is>
          <t>k€</t>
        </is>
      </c>
      <c r="E59" s="813" t="n"/>
      <c r="F59" s="813">
        <f>IFERROR(1/F$3,1)*SUM(I59:T59)</f>
        <v/>
      </c>
      <c r="G59" s="813">
        <f>AM59/12</f>
        <v/>
      </c>
      <c r="H59" s="814" t="n"/>
      <c r="I59" s="813" t="n">
        <v>11726</v>
      </c>
      <c r="J59" s="813" t="n">
        <v>11843.6</v>
      </c>
      <c r="K59" s="813" t="n">
        <v>3296</v>
      </c>
      <c r="L59" s="813" t="n">
        <v>5351</v>
      </c>
      <c r="M59" s="813" t="n"/>
      <c r="N59" s="813" t="n"/>
      <c r="O59" s="813" t="n"/>
      <c r="P59" s="813" t="n"/>
      <c r="Q59" s="813" t="n"/>
      <c r="R59" s="813" t="n"/>
      <c r="S59" s="813" t="n"/>
      <c r="T59" s="813" t="n"/>
      <c r="U59" s="814" t="n"/>
      <c r="V59" s="813">
        <f>E59</f>
        <v/>
      </c>
      <c r="W59" s="813">
        <f>F59</f>
        <v/>
      </c>
      <c r="X59" s="813">
        <f>G59</f>
        <v/>
      </c>
      <c r="Y59" s="813">
        <f>G59</f>
        <v/>
      </c>
      <c r="Z59" s="813">
        <f>G59</f>
        <v/>
      </c>
      <c r="AA59" s="813">
        <f>G59</f>
        <v/>
      </c>
      <c r="AB59" s="813">
        <f>G59</f>
        <v/>
      </c>
      <c r="AC59" s="813">
        <f>Y59</f>
        <v/>
      </c>
      <c r="AD59" s="813">
        <f>Z59</f>
        <v/>
      </c>
      <c r="AE59" s="813">
        <f>AA59</f>
        <v/>
      </c>
      <c r="AF59" s="813">
        <f>AB59</f>
        <v/>
      </c>
      <c r="AG59" s="813" t="n"/>
      <c r="AH59" s="813">
        <f>SUM(I59:K59)</f>
        <v/>
      </c>
      <c r="AI59" s="813">
        <f>AF59*C5</f>
        <v/>
      </c>
      <c r="AJ59" s="814" t="n"/>
      <c r="AK59" s="814" t="n"/>
      <c r="AL59" s="813">
        <f>SUM(M59:O59)</f>
        <v/>
      </c>
      <c r="AM59" s="813" t="n">
        <v>500000</v>
      </c>
    </row>
    <row r="60" hidden="1" outlineLevel="1" s="701">
      <c r="B60" s="267" t="n"/>
    </row>
    <row r="61" hidden="1" outlineLevel="1" s="701"/>
    <row r="62" hidden="1" outlineLevel="1" s="701">
      <c r="F62" s="815" t="n"/>
    </row>
    <row r="63" hidden="1" outlineLevel="1" s="701"/>
    <row r="64" collapsed="1" s="701"/>
  </sheetData>
  <conditionalFormatting sqref="B26:C26 E26:G26 I26:M26 AH26:AJ26 B39:C48 B50:C50 E39:G48 I39:M48 I50:M50 Y39:AF48 Y50:AF50 AH39:AJ48 AH50:AJ50 B57:C59 E57:G59 I57:M59 Y57:AF59 AH57:AJ59 AL26:AM26 AL39:AM48 AL50:AM50 AL57:AM59 E50:G50 Y26:AF26 AH15:AJ23 Y15:AF24 I15:M24 E15:G24 B15:C24 AL15:AM24">
    <cfRule type="expression" priority="134" dxfId="396">
      <formula>MOD(ROW(),2)</formula>
    </cfRule>
  </conditionalFormatting>
  <conditionalFormatting sqref="N39:T48">
    <cfRule type="expression" priority="133" dxfId="396">
      <formula>MOD(ROW(),2)</formula>
    </cfRule>
  </conditionalFormatting>
  <conditionalFormatting sqref="N57:R59">
    <cfRule type="expression" priority="132" dxfId="396">
      <formula>MOD(ROW(),2)</formula>
    </cfRule>
  </conditionalFormatting>
  <conditionalFormatting sqref="S57:T59">
    <cfRule type="expression" priority="131" dxfId="396">
      <formula>MOD(ROW(),2)</formula>
    </cfRule>
  </conditionalFormatting>
  <conditionalFormatting sqref="X57:X59">
    <cfRule type="expression" priority="130" dxfId="396">
      <formula>MOD(ROW(),2)</formula>
    </cfRule>
  </conditionalFormatting>
  <conditionalFormatting sqref="X15:X24">
    <cfRule type="expression" priority="129" dxfId="396">
      <formula>MOD(ROW(),2)</formula>
    </cfRule>
  </conditionalFormatting>
  <conditionalFormatting sqref="X39:X48">
    <cfRule type="expression" priority="128" dxfId="396">
      <formula>MOD(ROW(),2)</formula>
    </cfRule>
  </conditionalFormatting>
  <conditionalFormatting sqref="N26 N15:N24">
    <cfRule type="expression" priority="127" dxfId="396">
      <formula>MOD(ROW(),2)</formula>
    </cfRule>
  </conditionalFormatting>
  <conditionalFormatting sqref="O24:P24 O26:P26">
    <cfRule type="expression" priority="126" dxfId="396">
      <formula>MOD(ROW(),2)</formula>
    </cfRule>
  </conditionalFormatting>
  <conditionalFormatting sqref="O15:P23">
    <cfRule type="expression" priority="125" dxfId="396">
      <formula>MOD(ROW(),2)</formula>
    </cfRule>
  </conditionalFormatting>
  <conditionalFormatting sqref="Q24 Q26">
    <cfRule type="expression" priority="124" dxfId="396">
      <formula>MOD(ROW(),2)</formula>
    </cfRule>
  </conditionalFormatting>
  <conditionalFormatting sqref="Q15:Q23">
    <cfRule type="expression" priority="123" dxfId="396">
      <formula>MOD(ROW(),2)</formula>
    </cfRule>
  </conditionalFormatting>
  <conditionalFormatting sqref="R24 R26">
    <cfRule type="expression" priority="122" dxfId="396">
      <formula>MOD(ROW(),2)</formula>
    </cfRule>
  </conditionalFormatting>
  <conditionalFormatting sqref="R15:R23">
    <cfRule type="expression" priority="121" dxfId="396">
      <formula>MOD(ROW(),2)</formula>
    </cfRule>
  </conditionalFormatting>
  <conditionalFormatting sqref="AH24:AJ24">
    <cfRule type="expression" priority="120" dxfId="396">
      <formula>MOD(ROW(),2)</formula>
    </cfRule>
  </conditionalFormatting>
  <conditionalFormatting sqref="AI9:AJ9 Y9:AF9 E9:G9 B9:C9 AM9 I9:R9">
    <cfRule type="expression" priority="119" dxfId="396">
      <formula>MOD(ROW(),2)</formula>
    </cfRule>
  </conditionalFormatting>
  <conditionalFormatting sqref="X9">
    <cfRule type="expression" priority="118" dxfId="396">
      <formula>MOD(ROW(),2)</formula>
    </cfRule>
  </conditionalFormatting>
  <conditionalFormatting sqref="N9">
    <cfRule type="expression" priority="117" dxfId="396">
      <formula>MOD(ROW(),2)</formula>
    </cfRule>
  </conditionalFormatting>
  <conditionalFormatting sqref="O9:P9">
    <cfRule type="expression" priority="116" dxfId="396">
      <formula>MOD(ROW(),2)</formula>
    </cfRule>
  </conditionalFormatting>
  <conditionalFormatting sqref="Q9">
    <cfRule type="expression" priority="115" dxfId="396">
      <formula>MOD(ROW(),2)</formula>
    </cfRule>
  </conditionalFormatting>
  <conditionalFormatting sqref="R9">
    <cfRule type="expression" priority="114" dxfId="396">
      <formula>MOD(ROW(),2)</formula>
    </cfRule>
  </conditionalFormatting>
  <conditionalFormatting sqref="AI10:AJ10 Y10:AF10 I10:M10 E10:G10 B10:C10 AM10">
    <cfRule type="expression" priority="113" dxfId="396">
      <formula>MOD(ROW(),2)</formula>
    </cfRule>
  </conditionalFormatting>
  <conditionalFormatting sqref="X10">
    <cfRule type="expression" priority="112" dxfId="396">
      <formula>MOD(ROW(),2)</formula>
    </cfRule>
  </conditionalFormatting>
  <conditionalFormatting sqref="N10">
    <cfRule type="expression" priority="111" dxfId="396">
      <formula>MOD(ROW(),2)</formula>
    </cfRule>
  </conditionalFormatting>
  <conditionalFormatting sqref="O10:P10">
    <cfRule type="expression" priority="110" dxfId="396">
      <formula>MOD(ROW(),2)</formula>
    </cfRule>
  </conditionalFormatting>
  <conditionalFormatting sqref="Q10">
    <cfRule type="expression" priority="109" dxfId="396">
      <formula>MOD(ROW(),2)</formula>
    </cfRule>
  </conditionalFormatting>
  <conditionalFormatting sqref="R10">
    <cfRule type="expression" priority="108" dxfId="396">
      <formula>MOD(ROW(),2)</formula>
    </cfRule>
  </conditionalFormatting>
  <conditionalFormatting sqref="AI11:AJ11 Y11:AF11 E11:G11 B11:C11 AM11">
    <cfRule type="expression" priority="107" dxfId="396">
      <formula>MOD(ROW(),2)</formula>
    </cfRule>
  </conditionalFormatting>
  <conditionalFormatting sqref="X11">
    <cfRule type="expression" priority="106" dxfId="396">
      <formula>MOD(ROW(),2)</formula>
    </cfRule>
  </conditionalFormatting>
  <conditionalFormatting sqref="N11">
    <cfRule type="expression" priority="104" dxfId="396">
      <formula>MOD(ROW(),2)</formula>
    </cfRule>
  </conditionalFormatting>
  <conditionalFormatting sqref="O11:P11">
    <cfRule type="expression" priority="103" dxfId="396">
      <formula>MOD(ROW(),2)</formula>
    </cfRule>
  </conditionalFormatting>
  <conditionalFormatting sqref="Q11">
    <cfRule type="expression" priority="102" dxfId="396">
      <formula>MOD(ROW(),2)</formula>
    </cfRule>
  </conditionalFormatting>
  <conditionalFormatting sqref="R11">
    <cfRule type="expression" priority="101" dxfId="396">
      <formula>MOD(ROW(),2)</formula>
    </cfRule>
  </conditionalFormatting>
  <conditionalFormatting sqref="I11:R11">
    <cfRule type="expression" priority="105" dxfId="396">
      <formula>MOD(ROW(),2)</formula>
    </cfRule>
  </conditionalFormatting>
  <conditionalFormatting sqref="R12">
    <cfRule type="expression" priority="89" dxfId="396">
      <formula>MOD(ROW(),2)</formula>
    </cfRule>
  </conditionalFormatting>
  <conditionalFormatting sqref="AH12">
    <cfRule type="expression" priority="88" dxfId="396">
      <formula>MOD(ROW(),2)</formula>
    </cfRule>
  </conditionalFormatting>
  <conditionalFormatting sqref="E12:G12">
    <cfRule type="expression" priority="87" dxfId="396">
      <formula>MOD(ROW(),2)</formula>
    </cfRule>
  </conditionalFormatting>
  <conditionalFormatting sqref="AM12">
    <cfRule type="expression" priority="86" dxfId="396">
      <formula>MOD(ROW(),2)</formula>
    </cfRule>
  </conditionalFormatting>
  <conditionalFormatting sqref="AH9">
    <cfRule type="expression" priority="100" dxfId="396">
      <formula>MOD(ROW(),2)</formula>
    </cfRule>
    <cfRule type="expression" priority="99" dxfId="396">
      <formula>MOD(ROW(),2)</formula>
    </cfRule>
  </conditionalFormatting>
  <conditionalFormatting sqref="AH10">
    <cfRule type="expression" priority="98" dxfId="396">
      <formula>MOD(ROW(),2)</formula>
    </cfRule>
  </conditionalFormatting>
  <conditionalFormatting sqref="AH11">
    <cfRule type="expression" priority="96" dxfId="396">
      <formula>MOD(ROW(),2)</formula>
    </cfRule>
    <cfRule type="expression" priority="97" dxfId="396">
      <formula>MOD(ROW(),2)</formula>
    </cfRule>
  </conditionalFormatting>
  <conditionalFormatting sqref="B12">
    <cfRule type="expression" priority="95" dxfId="396">
      <formula>MOD(ROW(),2)</formula>
    </cfRule>
  </conditionalFormatting>
  <conditionalFormatting sqref="AI12:AJ12 Y12:AF12 I12:M12">
    <cfRule type="expression" priority="94" dxfId="396">
      <formula>MOD(ROW(),2)</formula>
    </cfRule>
  </conditionalFormatting>
  <conditionalFormatting sqref="X12">
    <cfRule type="expression" priority="93" dxfId="396">
      <formula>MOD(ROW(),2)</formula>
    </cfRule>
  </conditionalFormatting>
  <conditionalFormatting sqref="N12">
    <cfRule type="expression" priority="92" dxfId="396">
      <formula>MOD(ROW(),2)</formula>
    </cfRule>
  </conditionalFormatting>
  <conditionalFormatting sqref="O12:P12">
    <cfRule type="expression" priority="91" dxfId="396">
      <formula>MOD(ROW(),2)</formula>
    </cfRule>
  </conditionalFormatting>
  <conditionalFormatting sqref="Q12">
    <cfRule type="expression" priority="90" dxfId="396">
      <formula>MOD(ROW(),2)</formula>
    </cfRule>
  </conditionalFormatting>
  <conditionalFormatting sqref="B33:C33">
    <cfRule type="expression" priority="85" dxfId="396">
      <formula>MOD(ROW(),2)</formula>
    </cfRule>
  </conditionalFormatting>
  <conditionalFormatting sqref="AI34:AJ34 Y34:AF34 I34:M34 E34:G34 B34:C34">
    <cfRule type="expression" priority="84" dxfId="396">
      <formula>MOD(ROW(),2)</formula>
    </cfRule>
  </conditionalFormatting>
  <conditionalFormatting sqref="X34">
    <cfRule type="expression" priority="83" dxfId="396">
      <formula>MOD(ROW(),2)</formula>
    </cfRule>
  </conditionalFormatting>
  <conditionalFormatting sqref="N34">
    <cfRule type="expression" priority="82" dxfId="396">
      <formula>MOD(ROW(),2)</formula>
    </cfRule>
  </conditionalFormatting>
  <conditionalFormatting sqref="O34:P34">
    <cfRule type="expression" priority="81" dxfId="396">
      <formula>MOD(ROW(),2)</formula>
    </cfRule>
  </conditionalFormatting>
  <conditionalFormatting sqref="Q34">
    <cfRule type="expression" priority="80" dxfId="396">
      <formula>MOD(ROW(),2)</formula>
    </cfRule>
  </conditionalFormatting>
  <conditionalFormatting sqref="R34">
    <cfRule type="expression" priority="79" dxfId="396">
      <formula>MOD(ROW(),2)</formula>
    </cfRule>
  </conditionalFormatting>
  <conditionalFormatting sqref="AI35:AJ35 Y35:AF35 E35:G35 B35:C35">
    <cfRule type="expression" priority="78" dxfId="396">
      <formula>MOD(ROW(),2)</formula>
    </cfRule>
  </conditionalFormatting>
  <conditionalFormatting sqref="X35">
    <cfRule type="expression" priority="77" dxfId="396">
      <formula>MOD(ROW(),2)</formula>
    </cfRule>
  </conditionalFormatting>
  <conditionalFormatting sqref="N35">
    <cfRule type="expression" priority="75" dxfId="396">
      <formula>MOD(ROW(),2)</formula>
    </cfRule>
  </conditionalFormatting>
  <conditionalFormatting sqref="O35:P35">
    <cfRule type="expression" priority="74" dxfId="396">
      <formula>MOD(ROW(),2)</formula>
    </cfRule>
  </conditionalFormatting>
  <conditionalFormatting sqref="Q35">
    <cfRule type="expression" priority="73" dxfId="396">
      <formula>MOD(ROW(),2)</formula>
    </cfRule>
  </conditionalFormatting>
  <conditionalFormatting sqref="R35">
    <cfRule type="expression" priority="72" dxfId="396">
      <formula>MOD(ROW(),2)</formula>
    </cfRule>
  </conditionalFormatting>
  <conditionalFormatting sqref="I35:R35">
    <cfRule type="expression" priority="76" dxfId="396">
      <formula>MOD(ROW(),2)</formula>
    </cfRule>
  </conditionalFormatting>
  <conditionalFormatting sqref="R36">
    <cfRule type="expression" priority="65" dxfId="396">
      <formula>MOD(ROW(),2)</formula>
    </cfRule>
  </conditionalFormatting>
  <conditionalFormatting sqref="E36:G36">
    <cfRule type="expression" priority="64" dxfId="396">
      <formula>MOD(ROW(),2)</formula>
    </cfRule>
  </conditionalFormatting>
  <conditionalFormatting sqref="B36">
    <cfRule type="expression" priority="71" dxfId="396">
      <formula>MOD(ROW(),2)</formula>
    </cfRule>
  </conditionalFormatting>
  <conditionalFormatting sqref="AI36:AJ36 Y36:AF36 I36:M36">
    <cfRule type="expression" priority="70" dxfId="396">
      <formula>MOD(ROW(),2)</formula>
    </cfRule>
  </conditionalFormatting>
  <conditionalFormatting sqref="X36">
    <cfRule type="expression" priority="69" dxfId="396">
      <formula>MOD(ROW(),2)</formula>
    </cfRule>
  </conditionalFormatting>
  <conditionalFormatting sqref="N36">
    <cfRule type="expression" priority="68" dxfId="396">
      <formula>MOD(ROW(),2)</formula>
    </cfRule>
  </conditionalFormatting>
  <conditionalFormatting sqref="O36:P36">
    <cfRule type="expression" priority="67" dxfId="396">
      <formula>MOD(ROW(),2)</formula>
    </cfRule>
  </conditionalFormatting>
  <conditionalFormatting sqref="Q36">
    <cfRule type="expression" priority="66" dxfId="396">
      <formula>MOD(ROW(),2)</formula>
    </cfRule>
  </conditionalFormatting>
  <conditionalFormatting sqref="E33:G33 I33:M33 Y33:AF33 AI33:AJ33">
    <cfRule type="expression" priority="63" dxfId="396">
      <formula>MOD(ROW(),2)</formula>
    </cfRule>
  </conditionalFormatting>
  <conditionalFormatting sqref="N33:R33">
    <cfRule type="expression" priority="62" dxfId="396">
      <formula>MOD(ROW(),2)</formula>
    </cfRule>
  </conditionalFormatting>
  <conditionalFormatting sqref="X33">
    <cfRule type="expression" priority="61" dxfId="396">
      <formula>MOD(ROW(),2)</formula>
    </cfRule>
  </conditionalFormatting>
  <conditionalFormatting sqref="S34">
    <cfRule type="expression" priority="60" dxfId="396">
      <formula>MOD(ROW(),2)</formula>
    </cfRule>
  </conditionalFormatting>
  <conditionalFormatting sqref="S35">
    <cfRule type="expression" priority="58" dxfId="396">
      <formula>MOD(ROW(),2)</formula>
    </cfRule>
    <cfRule type="expression" priority="59" dxfId="396">
      <formula>MOD(ROW(),2)</formula>
    </cfRule>
  </conditionalFormatting>
  <conditionalFormatting sqref="S33">
    <cfRule type="expression" priority="57" dxfId="396">
      <formula>MOD(ROW(),2)</formula>
    </cfRule>
  </conditionalFormatting>
  <conditionalFormatting sqref="T34">
    <cfRule type="expression" priority="56" dxfId="396">
      <formula>MOD(ROW(),2)</formula>
    </cfRule>
  </conditionalFormatting>
  <conditionalFormatting sqref="T35">
    <cfRule type="expression" priority="54" dxfId="396">
      <formula>MOD(ROW(),2)</formula>
    </cfRule>
    <cfRule type="expression" priority="55" dxfId="396">
      <formula>MOD(ROW(),2)</formula>
    </cfRule>
  </conditionalFormatting>
  <conditionalFormatting sqref="T33">
    <cfRule type="expression" priority="53" dxfId="396">
      <formula>MOD(ROW(),2)</formula>
    </cfRule>
  </conditionalFormatting>
  <conditionalFormatting sqref="S9">
    <cfRule type="expression" priority="52" dxfId="396">
      <formula>MOD(ROW(),2)</formula>
    </cfRule>
    <cfRule type="expression" priority="51" dxfId="396">
      <formula>MOD(ROW(),2)</formula>
    </cfRule>
  </conditionalFormatting>
  <conditionalFormatting sqref="S10">
    <cfRule type="expression" priority="50" dxfId="396">
      <formula>MOD(ROW(),2)</formula>
    </cfRule>
  </conditionalFormatting>
  <conditionalFormatting sqref="S11">
    <cfRule type="expression" priority="48" dxfId="396">
      <formula>MOD(ROW(),2)</formula>
    </cfRule>
    <cfRule type="expression" priority="49" dxfId="396">
      <formula>MOD(ROW(),2)</formula>
    </cfRule>
  </conditionalFormatting>
  <conditionalFormatting sqref="S12">
    <cfRule type="expression" priority="47" dxfId="396">
      <formula>MOD(ROW(),2)</formula>
    </cfRule>
  </conditionalFormatting>
  <conditionalFormatting sqref="T9">
    <cfRule type="expression" priority="46" dxfId="396">
      <formula>MOD(ROW(),2)</formula>
    </cfRule>
    <cfRule type="expression" priority="45" dxfId="396">
      <formula>MOD(ROW(),2)</formula>
    </cfRule>
  </conditionalFormatting>
  <conditionalFormatting sqref="T10">
    <cfRule type="expression" priority="44" dxfId="396">
      <formula>MOD(ROW(),2)</formula>
    </cfRule>
  </conditionalFormatting>
  <conditionalFormatting sqref="T11">
    <cfRule type="expression" priority="42" dxfId="396">
      <formula>MOD(ROW(),2)</formula>
    </cfRule>
    <cfRule type="expression" priority="43" dxfId="396">
      <formula>MOD(ROW(),2)</formula>
    </cfRule>
  </conditionalFormatting>
  <conditionalFormatting sqref="T12">
    <cfRule type="expression" priority="41" dxfId="396">
      <formula>MOD(ROW(),2)</formula>
    </cfRule>
  </conditionalFormatting>
  <conditionalFormatting sqref="AM33">
    <cfRule type="expression" priority="40" dxfId="396">
      <formula>MOD(ROW(),2)</formula>
    </cfRule>
  </conditionalFormatting>
  <conditionalFormatting sqref="AM34">
    <cfRule type="expression" priority="39" dxfId="396">
      <formula>MOD(ROW(),2)</formula>
    </cfRule>
  </conditionalFormatting>
  <conditionalFormatting sqref="AM35">
    <cfRule type="expression" priority="38" dxfId="396">
      <formula>MOD(ROW(),2)</formula>
    </cfRule>
  </conditionalFormatting>
  <conditionalFormatting sqref="AM36">
    <cfRule type="expression" priority="37" dxfId="396">
      <formula>MOD(ROW(),2)</formula>
    </cfRule>
  </conditionalFormatting>
  <conditionalFormatting sqref="AH33">
    <cfRule type="expression" priority="36" dxfId="396">
      <formula>MOD(ROW(),2)</formula>
    </cfRule>
  </conditionalFormatting>
  <conditionalFormatting sqref="AH34">
    <cfRule type="expression" priority="35" dxfId="396">
      <formula>MOD(ROW(),2)</formula>
    </cfRule>
  </conditionalFormatting>
  <conditionalFormatting sqref="AH35">
    <cfRule type="expression" priority="33" dxfId="396">
      <formula>MOD(ROW(),2)</formula>
    </cfRule>
    <cfRule type="expression" priority="34" dxfId="396">
      <formula>MOD(ROW(),2)</formula>
    </cfRule>
  </conditionalFormatting>
  <conditionalFormatting sqref="AL12">
    <cfRule type="expression" priority="27" dxfId="396">
      <formula>MOD(ROW(),2)</formula>
    </cfRule>
  </conditionalFormatting>
  <conditionalFormatting sqref="AL9">
    <cfRule type="expression" priority="32" dxfId="396">
      <formula>MOD(ROW(),2)</formula>
    </cfRule>
    <cfRule type="expression" priority="31" dxfId="396">
      <formula>MOD(ROW(),2)</formula>
    </cfRule>
  </conditionalFormatting>
  <conditionalFormatting sqref="AL10">
    <cfRule type="expression" priority="30" dxfId="396">
      <formula>MOD(ROW(),2)</formula>
    </cfRule>
  </conditionalFormatting>
  <conditionalFormatting sqref="AL11">
    <cfRule type="expression" priority="28" dxfId="396">
      <formula>MOD(ROW(),2)</formula>
    </cfRule>
    <cfRule type="expression" priority="29" dxfId="396">
      <formula>MOD(ROW(),2)</formula>
    </cfRule>
  </conditionalFormatting>
  <conditionalFormatting sqref="AL33">
    <cfRule type="expression" priority="26" dxfId="396">
      <formula>MOD(ROW(),2)</formula>
    </cfRule>
  </conditionalFormatting>
  <conditionalFormatting sqref="AL34">
    <cfRule type="expression" priority="25" dxfId="396">
      <formula>MOD(ROW(),2)</formula>
    </cfRule>
  </conditionalFormatting>
  <conditionalFormatting sqref="AL35">
    <cfRule type="expression" priority="23" dxfId="396">
      <formula>MOD(ROW(),2)</formula>
    </cfRule>
    <cfRule type="expression" priority="24" dxfId="396">
      <formula>MOD(ROW(),2)</formula>
    </cfRule>
  </conditionalFormatting>
  <conditionalFormatting sqref="W57:W59">
    <cfRule type="expression" priority="22" dxfId="396">
      <formula>MOD(ROW(),2)</formula>
    </cfRule>
  </conditionalFormatting>
  <conditionalFormatting sqref="W15:W24">
    <cfRule type="expression" priority="21" dxfId="396">
      <formula>MOD(ROW(),2)</formula>
    </cfRule>
  </conditionalFormatting>
  <conditionalFormatting sqref="W39:W48">
    <cfRule type="expression" priority="20" dxfId="396">
      <formula>MOD(ROW(),2)</formula>
    </cfRule>
  </conditionalFormatting>
  <conditionalFormatting sqref="W9">
    <cfRule type="expression" priority="19" dxfId="396">
      <formula>MOD(ROW(),2)</formula>
    </cfRule>
  </conditionalFormatting>
  <conditionalFormatting sqref="W10">
    <cfRule type="expression" priority="18" dxfId="396">
      <formula>MOD(ROW(),2)</formula>
    </cfRule>
  </conditionalFormatting>
  <conditionalFormatting sqref="W11">
    <cfRule type="expression" priority="17" dxfId="396">
      <formula>MOD(ROW(),2)</formula>
    </cfRule>
  </conditionalFormatting>
  <conditionalFormatting sqref="W12">
    <cfRule type="expression" priority="16" dxfId="396">
      <formula>MOD(ROW(),2)</formula>
    </cfRule>
  </conditionalFormatting>
  <conditionalFormatting sqref="W34">
    <cfRule type="expression" priority="15" dxfId="396">
      <formula>MOD(ROW(),2)</formula>
    </cfRule>
  </conditionalFormatting>
  <conditionalFormatting sqref="W35">
    <cfRule type="expression" priority="14" dxfId="396">
      <formula>MOD(ROW(),2)</formula>
    </cfRule>
  </conditionalFormatting>
  <conditionalFormatting sqref="W36">
    <cfRule type="expression" priority="13" dxfId="396">
      <formula>MOD(ROW(),2)</formula>
    </cfRule>
  </conditionalFormatting>
  <conditionalFormatting sqref="W33">
    <cfRule type="expression" priority="12" dxfId="396">
      <formula>MOD(ROW(),2)</formula>
    </cfRule>
  </conditionalFormatting>
  <conditionalFormatting sqref="V57:V59">
    <cfRule type="expression" priority="11" dxfId="396">
      <formula>MOD(ROW(),2)</formula>
    </cfRule>
  </conditionalFormatting>
  <conditionalFormatting sqref="V15:V24">
    <cfRule type="expression" priority="10" dxfId="396">
      <formula>MOD(ROW(),2)</formula>
    </cfRule>
  </conditionalFormatting>
  <conditionalFormatting sqref="V39:V48">
    <cfRule type="expression" priority="9" dxfId="396">
      <formula>MOD(ROW(),2)</formula>
    </cfRule>
  </conditionalFormatting>
  <conditionalFormatting sqref="V9">
    <cfRule type="expression" priority="8" dxfId="396">
      <formula>MOD(ROW(),2)</formula>
    </cfRule>
  </conditionalFormatting>
  <conditionalFormatting sqref="V10">
    <cfRule type="expression" priority="7" dxfId="396">
      <formula>MOD(ROW(),2)</formula>
    </cfRule>
  </conditionalFormatting>
  <conditionalFormatting sqref="V11">
    <cfRule type="expression" priority="6" dxfId="396">
      <formula>MOD(ROW(),2)</formula>
    </cfRule>
  </conditionalFormatting>
  <conditionalFormatting sqref="V12">
    <cfRule type="expression" priority="5" dxfId="396">
      <formula>MOD(ROW(),2)</formula>
    </cfRule>
  </conditionalFormatting>
  <conditionalFormatting sqref="V34">
    <cfRule type="expression" priority="4" dxfId="396">
      <formula>MOD(ROW(),2)</formula>
    </cfRule>
  </conditionalFormatting>
  <conditionalFormatting sqref="V35">
    <cfRule type="expression" priority="3" dxfId="396">
      <formula>MOD(ROW(),2)</formula>
    </cfRule>
  </conditionalFormatting>
  <conditionalFormatting sqref="V36">
    <cfRule type="expression" priority="2" dxfId="396">
      <formula>MOD(ROW(),2)</formula>
    </cfRule>
  </conditionalFormatting>
  <conditionalFormatting sqref="V33">
    <cfRule type="expression" priority="1" dxfId="396">
      <formula>MOD(ROW(),2)</formula>
    </cfRule>
  </conditionalFormatting>
  <pageMargins left="0.3937007874015748" right="0.3937007874015748" top="0.5905511811023623" bottom="0.5905511811023623" header="0.3149606299212598" footer="0.3149606299212598"/>
  <pageSetup orientation="landscape" paperSize="9" scale="47" fitToHeight="0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14">
    <outlinePr summaryBelow="1" summaryRight="1"/>
    <pageSetUpPr fitToPage="1"/>
  </sheetPr>
  <dimension ref="A1:AR56"/>
  <sheetViews>
    <sheetView workbookViewId="0">
      <pane xSplit="2" ySplit="7" topLeftCell="I8" activePane="bottomRight" state="frozenSplit"/>
      <selection pane="topRight" activeCell="G1" sqref="G1"/>
      <selection pane="bottomLeft" activeCell="A8" sqref="A8"/>
      <selection pane="bottomRight" activeCell="A12" sqref="A12"/>
    </sheetView>
  </sheetViews>
  <sheetFormatPr baseColWidth="10" defaultColWidth="8.88671875" defaultRowHeight="14.4"/>
  <cols>
    <col width="14.5546875" bestFit="1" customWidth="1" style="701" min="1" max="1"/>
    <col width="50.88671875" bestFit="1" customWidth="1" style="349" min="2" max="2"/>
    <col hidden="1" width="4.88671875" customWidth="1" style="349" min="3" max="3"/>
    <col hidden="1" width="1.88671875" customWidth="1" style="701" min="4" max="4"/>
    <col hidden="1" width="10.5546875" customWidth="1" style="349" min="5" max="6"/>
    <col hidden="1" width="12.5546875" customWidth="1" style="59" min="7" max="7"/>
    <col hidden="1" width="1.88671875" customWidth="1" style="701" min="8" max="8"/>
    <col width="11.88671875" customWidth="1" style="700" min="9" max="9"/>
    <col width="10.88671875" customWidth="1" style="700" min="10" max="12"/>
    <col hidden="1" width="10.88671875" customWidth="1" style="700" min="13" max="13"/>
    <col hidden="1" outlineLevel="1" width="10.88671875" customWidth="1" style="700" min="14" max="20"/>
    <col hidden="1" collapsed="1" width="8" customWidth="1" style="701" min="21" max="21"/>
    <col width="8.44140625" customWidth="1" style="700" min="22" max="22"/>
    <col width="8.88671875" bestFit="1" customWidth="1" style="700" min="23" max="29"/>
    <col hidden="1" width="2.5546875" customWidth="1" style="121" min="30" max="30"/>
    <col hidden="1" width="12.44140625" customWidth="1" style="700" min="31" max="31"/>
    <col hidden="1" width="13.5546875" customWidth="1" style="700" min="32" max="32"/>
    <col hidden="1" width="14.5546875" customWidth="1" style="701" min="33" max="33"/>
    <col hidden="1" width="3.109375" customWidth="1" style="701" min="34" max="34"/>
    <col hidden="1" width="14.109375" customWidth="1" style="700" min="35" max="35"/>
    <col width="15.5546875" bestFit="1" customWidth="1" style="700" min="36" max="36"/>
    <col width="8.88671875" customWidth="1" style="701" min="37" max="48"/>
    <col width="8.88671875" customWidth="1" style="701" min="49" max="16384"/>
  </cols>
  <sheetData>
    <row r="1" hidden="1" s="701">
      <c r="B1" s="349" t="inlineStr">
        <is>
          <t>Year</t>
        </is>
      </c>
      <c r="E1" s="349" t="n">
        <v>2020</v>
      </c>
      <c r="F1" s="349" t="n">
        <v>2021</v>
      </c>
      <c r="G1" s="59" t="n">
        <v>2021</v>
      </c>
      <c r="I1" s="59" t="n">
        <v>2021</v>
      </c>
      <c r="J1" s="59" t="n">
        <v>2021</v>
      </c>
      <c r="K1" s="59" t="n">
        <v>2021</v>
      </c>
      <c r="L1" s="59" t="n">
        <v>2021</v>
      </c>
      <c r="M1" s="59" t="n">
        <v>2021</v>
      </c>
      <c r="N1" s="59" t="n">
        <v>2021</v>
      </c>
      <c r="O1" s="59" t="n">
        <v>2021</v>
      </c>
      <c r="P1" s="59" t="n">
        <v>2021</v>
      </c>
      <c r="Q1" s="59" t="n">
        <v>2021</v>
      </c>
      <c r="R1" s="59" t="n">
        <v>2021</v>
      </c>
      <c r="S1" s="59" t="n">
        <v>2021</v>
      </c>
      <c r="T1" s="59" t="n">
        <v>2021</v>
      </c>
      <c r="V1" s="59" t="n">
        <v>2021</v>
      </c>
      <c r="W1" s="59" t="n">
        <v>2021</v>
      </c>
      <c r="X1" s="59" t="n">
        <v>2021</v>
      </c>
      <c r="Y1" s="59" t="n">
        <v>2021</v>
      </c>
      <c r="Z1" s="59" t="n">
        <v>2021</v>
      </c>
      <c r="AA1" s="59" t="n">
        <v>2021</v>
      </c>
      <c r="AB1" s="59" t="n">
        <v>2021</v>
      </c>
      <c r="AC1" s="59" t="n">
        <v>2021</v>
      </c>
      <c r="AD1" s="260" t="n"/>
      <c r="AE1" s="59" t="n">
        <v>2021</v>
      </c>
      <c r="AF1" s="59" t="n">
        <v>2021</v>
      </c>
      <c r="AG1" s="59" t="n">
        <v>2021</v>
      </c>
      <c r="AI1" s="700" t="n">
        <v>2020</v>
      </c>
      <c r="AJ1" s="59" t="n">
        <v>2021</v>
      </c>
    </row>
    <row r="2" hidden="1" s="701">
      <c r="B2" s="349" t="inlineStr">
        <is>
          <t>Month</t>
        </is>
      </c>
      <c r="E2" s="349" t="inlineStr">
        <is>
          <t>12 YTD</t>
        </is>
      </c>
      <c r="F2" s="349">
        <f>MONTH(TODAY())-1&amp;" YTD"</f>
        <v/>
      </c>
      <c r="G2" s="349" t="inlineStr">
        <is>
          <t>12 YTD</t>
        </is>
      </c>
      <c r="I2" s="59" t="n">
        <v>1</v>
      </c>
      <c r="J2" s="59" t="n">
        <v>2</v>
      </c>
      <c r="K2" s="59" t="n">
        <v>3</v>
      </c>
      <c r="L2" s="59" t="n">
        <v>4</v>
      </c>
      <c r="M2" s="59" t="n">
        <v>5</v>
      </c>
      <c r="N2" s="59" t="n">
        <v>6</v>
      </c>
      <c r="O2" s="59" t="n">
        <v>7</v>
      </c>
      <c r="P2" s="59" t="n">
        <v>8</v>
      </c>
      <c r="Q2" s="59" t="n">
        <v>9</v>
      </c>
      <c r="R2" s="59" t="n">
        <v>10</v>
      </c>
      <c r="S2" s="59" t="n">
        <v>11</v>
      </c>
      <c r="T2" s="59" t="n">
        <v>12</v>
      </c>
      <c r="V2" s="59" t="n">
        <v>5</v>
      </c>
      <c r="W2" s="59" t="n">
        <v>6</v>
      </c>
      <c r="X2" s="59" t="n">
        <v>7</v>
      </c>
      <c r="Y2" s="59" t="n">
        <v>8</v>
      </c>
      <c r="Z2" s="59" t="n">
        <v>9</v>
      </c>
      <c r="AA2" s="59" t="n">
        <v>10</v>
      </c>
      <c r="AB2" s="59" t="n">
        <v>11</v>
      </c>
      <c r="AC2" s="59" t="n">
        <v>12</v>
      </c>
      <c r="AD2" s="260" t="n"/>
      <c r="AE2" s="349">
        <f>MONTH(TODAY())-1&amp;" YTD"</f>
        <v/>
      </c>
      <c r="AF2" s="349">
        <f>MONTH(TODAY())-1&amp;" YTD"</f>
        <v/>
      </c>
      <c r="AG2" s="349">
        <f>MONTH(TODAY())-1&amp;" YTD"</f>
        <v/>
      </c>
      <c r="AI2" s="59" t="inlineStr">
        <is>
          <t>12 YTD</t>
        </is>
      </c>
      <c r="AJ2" s="59" t="inlineStr">
        <is>
          <t>12 YTD</t>
        </is>
      </c>
    </row>
    <row r="3" hidden="1" s="701">
      <c r="B3" s="349" t="inlineStr">
        <is>
          <t>ø</t>
        </is>
      </c>
      <c r="E3" s="349" t="n">
        <v>12</v>
      </c>
      <c r="F3" s="349">
        <f>LEFT(F$2,2)*1</f>
        <v/>
      </c>
      <c r="G3" s="349" t="n">
        <v>12</v>
      </c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260" t="n"/>
      <c r="AE3" s="59" t="n"/>
      <c r="AF3" s="59" t="n"/>
      <c r="AJ3" s="59" t="n"/>
    </row>
    <row r="4" hidden="1" s="701"/>
    <row r="5" hidden="1" s="701">
      <c r="B5" s="349">
        <f>YEAR(TODAY())</f>
        <v/>
      </c>
      <c r="C5" s="349">
        <f>MONTH(TODAY())</f>
        <v/>
      </c>
    </row>
    <row r="6">
      <c r="B6" s="700" t="n"/>
      <c r="C6" s="700" t="n"/>
      <c r="E6" s="259" t="inlineStr">
        <is>
          <t>Ø 2020</t>
        </is>
      </c>
      <c r="F6" s="269" t="inlineStr">
        <is>
          <t>Ø 2021</t>
        </is>
      </c>
      <c r="G6" s="270" t="inlineStr">
        <is>
          <t>Ø 2021</t>
        </is>
      </c>
      <c r="I6" s="269">
        <f>TEXT(I$2,"00")&amp;" "&amp;I$1</f>
        <v/>
      </c>
      <c r="J6" s="269">
        <f>TEXT(J$2,"00")&amp;" "&amp;J$1</f>
        <v/>
      </c>
      <c r="K6" s="269">
        <f>TEXT(K$2,"00")&amp;" "&amp;K$1</f>
        <v/>
      </c>
      <c r="L6" s="269">
        <f>TEXT(L$2,"00")&amp;" "&amp;L$1</f>
        <v/>
      </c>
      <c r="M6" s="269">
        <f>TEXT(M$2,"00")&amp;" "&amp;M$1</f>
        <v/>
      </c>
      <c r="N6" s="263" t="inlineStr">
        <is>
          <t>6 2021</t>
        </is>
      </c>
      <c r="O6" s="263" t="inlineStr">
        <is>
          <t>7 2021</t>
        </is>
      </c>
      <c r="P6" s="263" t="inlineStr">
        <is>
          <t>8 2021</t>
        </is>
      </c>
      <c r="Q6" s="263" t="inlineStr">
        <is>
          <t>9 2021</t>
        </is>
      </c>
      <c r="R6" s="263" t="inlineStr">
        <is>
          <t>10 2021</t>
        </is>
      </c>
      <c r="S6" s="263" t="inlineStr">
        <is>
          <t>11 2021</t>
        </is>
      </c>
      <c r="T6" s="263" t="inlineStr">
        <is>
          <t>12 2021</t>
        </is>
      </c>
      <c r="V6" s="269" t="inlineStr">
        <is>
          <t>05 2021</t>
        </is>
      </c>
      <c r="W6" s="269" t="inlineStr">
        <is>
          <t>06 2021</t>
        </is>
      </c>
      <c r="X6" s="269" t="inlineStr">
        <is>
          <t>07 2021</t>
        </is>
      </c>
      <c r="Y6" s="269" t="inlineStr">
        <is>
          <t>08 2021</t>
        </is>
      </c>
      <c r="Z6" s="269" t="inlineStr">
        <is>
          <t>09 2021</t>
        </is>
      </c>
      <c r="AA6" s="782" t="inlineStr">
        <is>
          <t>10 2021</t>
        </is>
      </c>
      <c r="AB6" s="782" t="inlineStr">
        <is>
          <t>11 2021</t>
        </is>
      </c>
      <c r="AC6" s="782" t="inlineStr">
        <is>
          <t>12 2021</t>
        </is>
      </c>
      <c r="AD6" s="783" t="n"/>
      <c r="AE6" s="269">
        <f>AE$2&amp;" "&amp;AE$1</f>
        <v/>
      </c>
      <c r="AF6" s="270">
        <f>AF$2&amp;" "&amp;AF$1</f>
        <v/>
      </c>
      <c r="AG6" s="261">
        <f>AG$2&amp;" "&amp;AG$1</f>
        <v/>
      </c>
      <c r="AI6" s="244">
        <f>AI$2&amp;" "&amp;AI$1</f>
        <v/>
      </c>
      <c r="AJ6" s="270">
        <f>AJ$2&amp;" "&amp;AJ$1</f>
        <v/>
      </c>
    </row>
    <row r="7">
      <c r="C7" s="700" t="inlineStr">
        <is>
          <t>UNIT</t>
        </is>
      </c>
      <c r="E7" s="259" t="inlineStr">
        <is>
          <t>ACT</t>
        </is>
      </c>
      <c r="F7" s="269" t="inlineStr">
        <is>
          <t>ACT</t>
        </is>
      </c>
      <c r="G7" s="270" t="inlineStr">
        <is>
          <t>PLAN</t>
        </is>
      </c>
      <c r="I7" s="269" t="inlineStr">
        <is>
          <t>ACT</t>
        </is>
      </c>
      <c r="J7" s="269" t="inlineStr">
        <is>
          <t>ACT</t>
        </is>
      </c>
      <c r="K7" s="269" t="inlineStr">
        <is>
          <t>ACT</t>
        </is>
      </c>
      <c r="L7" s="269" t="inlineStr">
        <is>
          <t>ACT</t>
        </is>
      </c>
      <c r="M7" s="269" t="inlineStr">
        <is>
          <t>ACT</t>
        </is>
      </c>
      <c r="N7" s="263" t="inlineStr">
        <is>
          <t>ACT</t>
        </is>
      </c>
      <c r="O7" s="263" t="inlineStr">
        <is>
          <t>ACT</t>
        </is>
      </c>
      <c r="P7" s="263" t="inlineStr">
        <is>
          <t>ACT</t>
        </is>
      </c>
      <c r="Q7" s="263" t="inlineStr">
        <is>
          <t>ACT</t>
        </is>
      </c>
      <c r="R7" s="263" t="inlineStr">
        <is>
          <t>ACT</t>
        </is>
      </c>
      <c r="S7" s="263" t="inlineStr">
        <is>
          <t>ACT</t>
        </is>
      </c>
      <c r="T7" s="263" t="inlineStr">
        <is>
          <t>ACT</t>
        </is>
      </c>
      <c r="V7" s="269" t="inlineStr">
        <is>
          <t>ACT</t>
        </is>
      </c>
      <c r="W7" s="269" t="inlineStr">
        <is>
          <t>ACT</t>
        </is>
      </c>
      <c r="X7" s="269" t="inlineStr">
        <is>
          <t>ACT</t>
        </is>
      </c>
      <c r="Y7" s="269" t="inlineStr">
        <is>
          <t>ACT</t>
        </is>
      </c>
      <c r="Z7" s="269" t="inlineStr">
        <is>
          <t>ACT</t>
        </is>
      </c>
      <c r="AA7" s="782" t="inlineStr">
        <is>
          <t>FCST</t>
        </is>
      </c>
      <c r="AB7" s="782" t="inlineStr">
        <is>
          <t>FCST</t>
        </is>
      </c>
      <c r="AC7" s="782" t="inlineStr">
        <is>
          <t>FCST</t>
        </is>
      </c>
      <c r="AD7" s="783" t="n"/>
      <c r="AE7" s="269" t="inlineStr">
        <is>
          <t xml:space="preserve">ACT </t>
        </is>
      </c>
      <c r="AF7" s="270" t="inlineStr">
        <is>
          <t xml:space="preserve">PLAN </t>
        </is>
      </c>
      <c r="AG7" s="262" t="inlineStr">
        <is>
          <t>∆  ACT PLAN</t>
        </is>
      </c>
      <c r="AI7" s="244" t="inlineStr">
        <is>
          <t xml:space="preserve">ACT </t>
        </is>
      </c>
      <c r="AJ7" s="270" t="inlineStr">
        <is>
          <t xml:space="preserve">PLAN </t>
        </is>
      </c>
    </row>
    <row r="8" customFormat="1" s="329">
      <c r="B8" s="271" t="inlineStr">
        <is>
          <t>ORDER INTAKE</t>
        </is>
      </c>
      <c r="C8" s="260" t="n"/>
      <c r="E8" s="784" t="n"/>
      <c r="F8" s="784" t="n"/>
      <c r="G8" s="785" t="n"/>
      <c r="I8" s="785" t="n"/>
      <c r="J8" s="785" t="n"/>
      <c r="K8" s="785" t="n"/>
      <c r="L8" s="785" t="n"/>
      <c r="M8" s="785" t="n"/>
      <c r="N8" s="784" t="n"/>
      <c r="O8" s="784" t="n"/>
      <c r="P8" s="784" t="n"/>
      <c r="Q8" s="784" t="n"/>
      <c r="R8" s="784" t="n"/>
      <c r="S8" s="784" t="n"/>
      <c r="T8" s="784" t="n"/>
      <c r="V8" s="784" t="n"/>
      <c r="W8" s="784" t="n"/>
      <c r="X8" s="784" t="n"/>
      <c r="Y8" s="784" t="n"/>
      <c r="Z8" s="784" t="n"/>
      <c r="AA8" s="784" t="n"/>
      <c r="AB8" s="784" t="n"/>
      <c r="AC8" s="787" t="n"/>
      <c r="AD8" s="787" t="n"/>
      <c r="AE8" s="256" t="n"/>
      <c r="AF8" s="257" t="n"/>
      <c r="AI8" s="256" t="n"/>
      <c r="AJ8" s="258" t="n"/>
    </row>
    <row r="9">
      <c r="A9" t="inlineStr">
        <is>
          <t>TT-CP-00107-20</t>
        </is>
      </c>
      <c r="B9" s="267" t="inlineStr">
        <is>
          <t>ENGINEERING AIA</t>
        </is>
      </c>
      <c r="C9" s="349" t="inlineStr">
        <is>
          <t>k €</t>
        </is>
      </c>
      <c r="E9" s="788">
        <f>$AI9/E$3</f>
        <v/>
      </c>
      <c r="F9" s="788">
        <f>IFERROR(1/F$3,1)*SUMIFS(Data!$S$3:$S$305,Data!$O$3:$O$305,F$1,Data!$P$3:$P$305,IF(RIGHT(F$2,3)="YTD","&lt;="&amp;LEFT(F$2,2)*1,F$2),Data!$K$3:$K$305,$B9)</f>
        <v/>
      </c>
      <c r="G9" s="788">
        <f>AJ9/12</f>
        <v/>
      </c>
      <c r="I9" s="788">
        <f>'Reporting 2021'!I15</f>
        <v/>
      </c>
      <c r="J9" s="788">
        <f>'Reporting 2021'!J15</f>
        <v/>
      </c>
      <c r="K9" s="788">
        <f>'Reporting 2021'!K15</f>
        <v/>
      </c>
      <c r="L9" s="788">
        <f>'Reporting 2021'!L15</f>
        <v/>
      </c>
      <c r="M9" s="788">
        <f>IFERROR(1/M$3,1)*SUMIFS(Data!$S$3:$S$305,Data!$O$3:$O$305,M$1,Data!$P$3:$P$305,IF(RIGHT(M$2,3)="YTD","&lt;="&amp;LEFT(M$2,2)*1,M$2),Data!$K$3:$K$305,$B9)</f>
        <v/>
      </c>
      <c r="N9" s="791">
        <f>SUMIFS(Data!$S$3:$S$305,Data!$O$3:$O$305,N$1,Data!$P$3:$P$305,N$2,Data!$K$3:$K$305,$B9)</f>
        <v/>
      </c>
      <c r="O9" s="791">
        <f>SUMIFS(Data!$S$3:$S$305,Data!$O$3:$O$305,O$1,Data!$P$3:$P$305,O$2,Data!$K$3:$K$305,$B9)</f>
        <v/>
      </c>
      <c r="P9" s="791">
        <f>SUMIFS(Data!$S$3:$S$305,Data!$O$3:$O$305,P$1,Data!$P$3:$P$305,P$2,Data!$K$3:$K$305,$B9)</f>
        <v/>
      </c>
      <c r="Q9" s="791">
        <f>SUMIFS(Data!$S$3:$S$305,Data!$O$3:$O$305,Q$1,Data!$P$3:$P$305,Q$2,Data!$K$3:$K$305,$B9)</f>
        <v/>
      </c>
      <c r="R9" s="791">
        <f>SUMIFS(Data!$S$3:$S$305,Data!$O$3:$O$305,R$1,Data!$P$3:$P$305,R$2,Data!$K$3:$K$305,$B9)</f>
        <v/>
      </c>
      <c r="S9" s="791">
        <f>SUMIFS(Data!$S$3:$S$305,Data!$O$3:$O$305,S$1,Data!$P$3:$P$305,S$2,Data!$K$3:$K$305,$B9)</f>
        <v/>
      </c>
      <c r="T9" s="791">
        <f>SUMIFS(Data!$S$3:$S$305,Data!$O$3:$O$305,T$1,Data!$P$3:$P$305,T$2,Data!$K$3:$K$305,$B9)</f>
        <v/>
      </c>
      <c r="V9" s="788">
        <f>'Reporting 2021'!M15</f>
        <v/>
      </c>
      <c r="W9" s="788">
        <f>'Reporting 2021'!N15</f>
        <v/>
      </c>
      <c r="X9" s="788" t="n">
        <v>0</v>
      </c>
      <c r="Y9" s="788" t="n">
        <v>0</v>
      </c>
      <c r="Z9" s="788" t="n">
        <v>0</v>
      </c>
      <c r="AA9" s="788" t="n">
        <v>30833.33333333333</v>
      </c>
      <c r="AB9" s="788">
        <f>$G9</f>
        <v/>
      </c>
      <c r="AC9" s="788">
        <f>$G9</f>
        <v/>
      </c>
      <c r="AD9" s="788" t="n"/>
      <c r="AE9" s="788">
        <f>IFERROR(1/AE$3,1)*SUMIFS(Data!$S$3:$S$305,Data!$O$3:$O$305,AE$1,Data!$P$3:$P$305,IF(RIGHT(AE$2,3)="YTD","&lt;="&amp;LEFT(AE$2,2)*1,AE$2),Data!$K$3:$K$305,$B9)</f>
        <v/>
      </c>
      <c r="AF9" s="788">
        <f>AJ9/12*LEFT(AF$2,2)*1</f>
        <v/>
      </c>
      <c r="AG9" s="789">
        <f>AE9-AF9</f>
        <v/>
      </c>
      <c r="AI9" s="788" t="n">
        <v>5075</v>
      </c>
      <c r="AJ9" s="788" t="n">
        <v>370000</v>
      </c>
    </row>
    <row r="10">
      <c r="A10" t="inlineStr">
        <is>
          <t>TT-CP-00108-20</t>
        </is>
      </c>
      <c r="B10" s="267" t="inlineStr">
        <is>
          <t>ENGINEERING IC</t>
        </is>
      </c>
      <c r="C10" s="349" t="inlineStr">
        <is>
          <t>k €</t>
        </is>
      </c>
      <c r="E10" s="788">
        <f>$AI10/E$3</f>
        <v/>
      </c>
      <c r="F10" s="788">
        <f>IFERROR(1/F$3,1)*SUMIFS(Data!$S$3:$S$305,Data!$O$3:$O$305,F$1,Data!$P$3:$P$305,IF(RIGHT(F$2,3)="YTD","&lt;="&amp;LEFT(F$2,2)*1,F$2),Data!$K$3:$K$305,$B10)</f>
        <v/>
      </c>
      <c r="G10" s="788">
        <f>AJ10/12</f>
        <v/>
      </c>
      <c r="I10" s="788">
        <f>'Reporting 2021'!I16</f>
        <v/>
      </c>
      <c r="J10" s="788">
        <f>'Reporting 2021'!J16</f>
        <v/>
      </c>
      <c r="K10" s="788">
        <f>'Reporting 2021'!K16</f>
        <v/>
      </c>
      <c r="L10" s="788">
        <f>'Reporting 2021'!L16</f>
        <v/>
      </c>
      <c r="M10" s="788">
        <f>IFERROR(1/M$3,1)*SUMIFS(Data!$S$3:$S$305,Data!$O$3:$O$305,M$1,Data!$P$3:$P$305,IF(RIGHT(M$2,3)="YTD","&lt;="&amp;LEFT(M$2,2)*1,M$2),Data!$K$3:$K$305,$B10)</f>
        <v/>
      </c>
      <c r="N10" s="791">
        <f>SUMIFS(Data!$S$3:$S$305,Data!$O$3:$O$305,N$1,Data!$P$3:$P$305,N$2,Data!$K$3:$K$305,$B10)</f>
        <v/>
      </c>
      <c r="O10" s="791">
        <f>SUMIFS(Data!$S$3:$S$305,Data!$O$3:$O$305,O$1,Data!$P$3:$P$305,O$2,Data!$K$3:$K$305,$B10)</f>
        <v/>
      </c>
      <c r="P10" s="791">
        <f>SUMIFS(Data!$S$3:$S$305,Data!$O$3:$O$305,P$1,Data!$P$3:$P$305,P$2,Data!$K$3:$K$305,$B10)</f>
        <v/>
      </c>
      <c r="Q10" s="791">
        <f>SUMIFS(Data!$S$3:$S$305,Data!$O$3:$O$305,Q$1,Data!$P$3:$P$305,Q$2,Data!$K$3:$K$305,$B10)</f>
        <v/>
      </c>
      <c r="R10" s="791">
        <f>SUMIFS(Data!$S$3:$S$305,Data!$O$3:$O$305,R$1,Data!$P$3:$P$305,R$2,Data!$K$3:$K$305,$B10)</f>
        <v/>
      </c>
      <c r="S10" s="791">
        <f>SUMIFS(Data!$S$3:$S$305,Data!$O$3:$O$305,S$1,Data!$P$3:$P$305,S$2,Data!$K$3:$K$305,$B10)</f>
        <v/>
      </c>
      <c r="T10" s="791">
        <f>SUMIFS(Data!$S$3:$S$305,Data!$O$3:$O$305,T$1,Data!$P$3:$P$305,T$2,Data!$K$3:$K$305,$B10)</f>
        <v/>
      </c>
      <c r="V10" s="788">
        <f>'Reporting 2021'!M16</f>
        <v/>
      </c>
      <c r="W10" s="788">
        <f>'Reporting 2021'!N16</f>
        <v/>
      </c>
      <c r="X10" s="788" t="n">
        <v>0</v>
      </c>
      <c r="Y10" s="788" t="n">
        <v>0</v>
      </c>
      <c r="Z10" s="788" t="n">
        <v>0</v>
      </c>
      <c r="AA10" s="788" t="n">
        <v>0</v>
      </c>
      <c r="AB10" s="788">
        <f>$G10</f>
        <v/>
      </c>
      <c r="AC10" s="788">
        <f>$G10</f>
        <v/>
      </c>
      <c r="AD10" s="788" t="n"/>
      <c r="AE10" s="788">
        <f>IFERROR(1/AE$3,1)*SUMIFS(Data!$S$3:$S$305,Data!$O$3:$O$305,AE$1,Data!$P$3:$P$305,IF(RIGHT(AE$2,3)="YTD","&lt;="&amp;LEFT(AE$2,2)*1,AE$2),Data!$K$3:$K$305,$B10)</f>
        <v/>
      </c>
      <c r="AF10" s="788">
        <f>AJ10/12*LEFT(AF$2,2)*1</f>
        <v/>
      </c>
      <c r="AG10" s="789">
        <f>AE10-AF10</f>
        <v/>
      </c>
      <c r="AI10" s="788" t="n">
        <v>11490</v>
      </c>
      <c r="AJ10" s="788" t="n">
        <v>0</v>
      </c>
    </row>
    <row r="11">
      <c r="B11" s="267" t="inlineStr">
        <is>
          <t>FCP AIA</t>
        </is>
      </c>
      <c r="C11" s="349" t="inlineStr">
        <is>
          <t>k €</t>
        </is>
      </c>
      <c r="E11" s="788">
        <f>$AI11/E$3</f>
        <v/>
      </c>
      <c r="F11" s="788">
        <f>IFERROR(1/F$3,1)*SUMIFS(Data!$S$3:$S$305,Data!$O$3:$O$305,F$1,Data!$P$3:$P$305,IF(RIGHT(F$2,3)="YTD","&lt;="&amp;LEFT(F$2,2)*1,F$2),Data!$K$3:$K$305,$B11)</f>
        <v/>
      </c>
      <c r="G11" s="788">
        <f>AJ11/12</f>
        <v/>
      </c>
      <c r="I11" s="788">
        <f>'Reporting 2021'!I17</f>
        <v/>
      </c>
      <c r="J11" s="788">
        <f>'Reporting 2021'!J17</f>
        <v/>
      </c>
      <c r="K11" s="788">
        <f>'Reporting 2021'!K17</f>
        <v/>
      </c>
      <c r="L11" s="788">
        <f>'Reporting 2021'!L17</f>
        <v/>
      </c>
      <c r="M11" s="788">
        <f>IFERROR(1/M$3,1)*SUMIFS(Data!$S$3:$S$305,Data!$O$3:$O$305,M$1,Data!$P$3:$P$305,IF(RIGHT(M$2,3)="YTD","&lt;="&amp;LEFT(M$2,2)*1,M$2),Data!$K$3:$K$305,$B11)</f>
        <v/>
      </c>
      <c r="N11" s="791">
        <f>SUMIFS(Data!$S$3:$S$305,Data!$O$3:$O$305,N$1,Data!$P$3:$P$305,N$2,Data!$K$3:$K$305,$B11)</f>
        <v/>
      </c>
      <c r="O11" s="791">
        <f>SUMIFS(Data!$S$3:$S$305,Data!$O$3:$O$305,O$1,Data!$P$3:$P$305,O$2,Data!$K$3:$K$305,$B11)</f>
        <v/>
      </c>
      <c r="P11" s="791">
        <f>SUMIFS(Data!$S$3:$S$305,Data!$O$3:$O$305,P$1,Data!$P$3:$P$305,P$2,Data!$K$3:$K$305,$B11)</f>
        <v/>
      </c>
      <c r="Q11" s="791">
        <f>SUMIFS(Data!$S$3:$S$305,Data!$O$3:$O$305,Q$1,Data!$P$3:$P$305,Q$2,Data!$K$3:$K$305,$B11)</f>
        <v/>
      </c>
      <c r="R11" s="791">
        <f>SUMIFS(Data!$S$3:$S$305,Data!$O$3:$O$305,R$1,Data!$P$3:$P$305,R$2,Data!$K$3:$K$305,$B11)</f>
        <v/>
      </c>
      <c r="S11" s="791">
        <f>SUMIFS(Data!$S$3:$S$305,Data!$O$3:$O$305,S$1,Data!$P$3:$P$305,S$2,Data!$K$3:$K$305,$B11)</f>
        <v/>
      </c>
      <c r="T11" s="791">
        <f>SUMIFS(Data!$S$3:$S$305,Data!$O$3:$O$305,T$1,Data!$P$3:$P$305,T$2,Data!$K$3:$K$305,$B11)</f>
        <v/>
      </c>
      <c r="V11" s="788">
        <f>'Reporting 2021'!M17</f>
        <v/>
      </c>
      <c r="W11" s="788">
        <f>'Reporting 2021'!N17</f>
        <v/>
      </c>
      <c r="X11" s="788" t="n">
        <v>0</v>
      </c>
      <c r="Y11" s="788" t="n">
        <v>0</v>
      </c>
      <c r="Z11" s="788" t="n">
        <v>0</v>
      </c>
      <c r="AA11" s="788" t="n">
        <v>0</v>
      </c>
      <c r="AB11" s="788">
        <f>$G11</f>
        <v/>
      </c>
      <c r="AC11" s="788">
        <f>$G11</f>
        <v/>
      </c>
      <c r="AD11" s="788" t="n"/>
      <c r="AE11" s="788">
        <f>IFERROR(1/AE$3,1)*SUMIFS(Data!$S$3:$S$305,Data!$O$3:$O$305,AE$1,Data!$P$3:$P$305,IF(RIGHT(AE$2,3)="YTD","&lt;="&amp;LEFT(AE$2,2)*1,AE$2),Data!$K$3:$K$305,$B11)</f>
        <v/>
      </c>
      <c r="AF11" s="788">
        <f>AJ11/12*LEFT(AF$2,2)*1</f>
        <v/>
      </c>
      <c r="AG11" s="789">
        <f>AE11-AF11</f>
        <v/>
      </c>
      <c r="AI11" s="788" t="n">
        <v>534520</v>
      </c>
      <c r="AJ11" s="788" t="n">
        <v>0</v>
      </c>
    </row>
    <row r="12">
      <c r="A12" t="inlineStr">
        <is>
          <t>TT-CP-00103-20</t>
        </is>
      </c>
      <c r="B12" s="267" t="inlineStr">
        <is>
          <t>FCP OTHER AIA</t>
        </is>
      </c>
      <c r="C12" s="349" t="inlineStr">
        <is>
          <t>k €</t>
        </is>
      </c>
      <c r="E12" s="788">
        <f>$AI12/E$3</f>
        <v/>
      </c>
      <c r="F12" s="788">
        <f>IFERROR(1/F$3,1)*SUMIFS(Data!$S$3:$S$305,Data!$O$3:$O$305,F$1,Data!$P$3:$P$305,IF(RIGHT(F$2,3)="YTD","&lt;="&amp;LEFT(F$2,2)*1,F$2),Data!$K$3:$K$305,$B12)</f>
        <v/>
      </c>
      <c r="G12" s="788">
        <f>AJ12/12</f>
        <v/>
      </c>
      <c r="I12" s="788">
        <f>'Reporting 2021'!I18</f>
        <v/>
      </c>
      <c r="J12" s="788">
        <f>'Reporting 2021'!J18</f>
        <v/>
      </c>
      <c r="K12" s="788">
        <f>'Reporting 2021'!K18</f>
        <v/>
      </c>
      <c r="L12" s="788">
        <f>'Reporting 2021'!L18</f>
        <v/>
      </c>
      <c r="M12" s="788">
        <f>IFERROR(1/M$3,1)*SUMIFS(Data!$S$3:$S$305,Data!$O$3:$O$305,M$1,Data!$P$3:$P$305,IF(RIGHT(M$2,3)="YTD","&lt;="&amp;LEFT(M$2,2)*1,M$2),Data!$K$3:$K$305,$B12)</f>
        <v/>
      </c>
      <c r="N12" s="791">
        <f>SUMIFS(Data!$S$3:$S$305,Data!$O$3:$O$305,N$1,Data!$P$3:$P$305,N$2,Data!$K$3:$K$305,$B12)</f>
        <v/>
      </c>
      <c r="O12" s="791">
        <f>SUMIFS(Data!$S$3:$S$305,Data!$O$3:$O$305,O$1,Data!$P$3:$P$305,O$2,Data!$K$3:$K$305,$B12)</f>
        <v/>
      </c>
      <c r="P12" s="791">
        <f>SUMIFS(Data!$S$3:$S$305,Data!$O$3:$O$305,P$1,Data!$P$3:$P$305,P$2,Data!$K$3:$K$305,$B12)</f>
        <v/>
      </c>
      <c r="Q12" s="791">
        <f>SUMIFS(Data!$S$3:$S$305,Data!$O$3:$O$305,Q$1,Data!$P$3:$P$305,Q$2,Data!$K$3:$K$305,$B12)</f>
        <v/>
      </c>
      <c r="R12" s="791">
        <f>SUMIFS(Data!$S$3:$S$305,Data!$O$3:$O$305,R$1,Data!$P$3:$P$305,R$2,Data!$K$3:$K$305,$B12)</f>
        <v/>
      </c>
      <c r="S12" s="791">
        <f>SUMIFS(Data!$S$3:$S$305,Data!$O$3:$O$305,S$1,Data!$P$3:$P$305,S$2,Data!$K$3:$K$305,$B12)</f>
        <v/>
      </c>
      <c r="T12" s="791">
        <f>SUMIFS(Data!$S$3:$S$305,Data!$O$3:$O$305,T$1,Data!$P$3:$P$305,T$2,Data!$K$3:$K$305,$B12)</f>
        <v/>
      </c>
      <c r="V12" s="788">
        <f>'Reporting 2021'!M18</f>
        <v/>
      </c>
      <c r="W12" s="788">
        <f>'Reporting 2021'!N18</f>
        <v/>
      </c>
      <c r="X12" s="788" t="n">
        <v>0</v>
      </c>
      <c r="Y12" s="788" t="n">
        <v>0</v>
      </c>
      <c r="Z12" s="788" t="n">
        <v>0</v>
      </c>
      <c r="AA12" s="788" t="n">
        <v>0</v>
      </c>
      <c r="AB12" s="788">
        <f>$G12</f>
        <v/>
      </c>
      <c r="AC12" s="788">
        <f>$G12</f>
        <v/>
      </c>
      <c r="AD12" s="788" t="n"/>
      <c r="AE12" s="788">
        <f>IFERROR(1/AE$3,1)*SUMIFS(Data!$S$3:$S$305,Data!$O$3:$O$305,AE$1,Data!$P$3:$P$305,IF(RIGHT(AE$2,3)="YTD","&lt;="&amp;LEFT(AE$2,2)*1,AE$2),Data!$K$3:$K$305,$B12)</f>
        <v/>
      </c>
      <c r="AF12" s="788">
        <f>AJ12/12*LEFT(AF$2,2)*1</f>
        <v/>
      </c>
      <c r="AG12" s="789">
        <f>AE12-AF12</f>
        <v/>
      </c>
      <c r="AI12" s="788" t="n">
        <v>13410</v>
      </c>
      <c r="AJ12" s="788" t="n">
        <v>0</v>
      </c>
    </row>
    <row r="13">
      <c r="A13" t="inlineStr">
        <is>
          <t>TT-CP-00109-20</t>
        </is>
      </c>
      <c r="B13" s="267" t="inlineStr">
        <is>
          <t>GSE to AIA</t>
        </is>
      </c>
      <c r="C13" s="349" t="inlineStr">
        <is>
          <t>k €</t>
        </is>
      </c>
      <c r="E13" s="788">
        <f>$AI13/E$3</f>
        <v/>
      </c>
      <c r="F13" s="788">
        <f>IFERROR(1/F$3,1)*SUMIFS(Data!$S$3:$S$305,Data!$O$3:$O$305,F$1,Data!$P$3:$P$305,IF(RIGHT(F$2,3)="YTD","&lt;="&amp;LEFT(F$2,2)*1,F$2),Data!$K$3:$K$305,$B13)</f>
        <v/>
      </c>
      <c r="G13" s="788">
        <f>AJ13/12</f>
        <v/>
      </c>
      <c r="I13" s="788">
        <f>'Reporting 2021'!I19</f>
        <v/>
      </c>
      <c r="J13" s="788">
        <f>'Reporting 2021'!J19</f>
        <v/>
      </c>
      <c r="K13" s="788">
        <f>'Reporting 2021'!K19</f>
        <v/>
      </c>
      <c r="L13" s="788">
        <f>'Reporting 2021'!L19</f>
        <v/>
      </c>
      <c r="M13" s="788">
        <f>IFERROR(1/M$3,1)*SUMIFS(Data!$S$3:$S$305,Data!$O$3:$O$305,M$1,Data!$P$3:$P$305,IF(RIGHT(M$2,3)="YTD","&lt;="&amp;LEFT(M$2,2)*1,M$2),Data!$K$3:$K$305,$B13)</f>
        <v/>
      </c>
      <c r="N13" s="791">
        <f>SUMIFS(Data!$S$3:$S$305,Data!$O$3:$O$305,N$1,Data!$P$3:$P$305,N$2,Data!$K$3:$K$305,$B13)</f>
        <v/>
      </c>
      <c r="O13" s="791">
        <f>SUMIFS(Data!$S$3:$S$305,Data!$O$3:$O$305,O$1,Data!$P$3:$P$305,O$2,Data!$K$3:$K$305,$B13)</f>
        <v/>
      </c>
      <c r="P13" s="791">
        <f>SUMIFS(Data!$S$3:$S$305,Data!$O$3:$O$305,P$1,Data!$P$3:$P$305,P$2,Data!$K$3:$K$305,$B13)</f>
        <v/>
      </c>
      <c r="Q13" s="791">
        <f>SUMIFS(Data!$S$3:$S$305,Data!$O$3:$O$305,Q$1,Data!$P$3:$P$305,Q$2,Data!$K$3:$K$305,$B13)</f>
        <v/>
      </c>
      <c r="R13" s="791">
        <f>SUMIFS(Data!$S$3:$S$305,Data!$O$3:$O$305,R$1,Data!$P$3:$P$305,R$2,Data!$K$3:$K$305,$B13)</f>
        <v/>
      </c>
      <c r="S13" s="791">
        <f>SUMIFS(Data!$S$3:$S$305,Data!$O$3:$O$305,S$1,Data!$P$3:$P$305,S$2,Data!$K$3:$K$305,$B13)</f>
        <v/>
      </c>
      <c r="T13" s="791">
        <f>SUMIFS(Data!$S$3:$S$305,Data!$O$3:$O$305,T$1,Data!$P$3:$P$305,T$2,Data!$K$3:$K$305,$B13)</f>
        <v/>
      </c>
      <c r="V13" s="788">
        <f>'Reporting 2021'!M19</f>
        <v/>
      </c>
      <c r="W13" s="788">
        <f>'Reporting 2021'!N19</f>
        <v/>
      </c>
      <c r="X13" s="788" t="n">
        <v>0</v>
      </c>
      <c r="Y13" s="788" t="n">
        <v>0</v>
      </c>
      <c r="Z13" s="788" t="n">
        <v>0</v>
      </c>
      <c r="AA13" s="788" t="n">
        <v>0</v>
      </c>
      <c r="AB13" s="788">
        <f>$G13</f>
        <v/>
      </c>
      <c r="AC13" s="788">
        <f>$G13</f>
        <v/>
      </c>
      <c r="AD13" s="788" t="n"/>
      <c r="AE13" s="788">
        <f>IFERROR(1/AE$3,1)*SUMIFS(Data!$S$3:$S$305,Data!$O$3:$O$305,AE$1,Data!$P$3:$P$305,IF(RIGHT(AE$2,3)="YTD","&lt;="&amp;LEFT(AE$2,2)*1,AE$2),Data!$K$3:$K$305,$B13)</f>
        <v/>
      </c>
      <c r="AF13" s="788">
        <f>AJ13/12*LEFT(AF$2,2)*1</f>
        <v/>
      </c>
      <c r="AG13" s="789">
        <f>AE13-AF13</f>
        <v/>
      </c>
      <c r="AI13" s="788" t="n">
        <v>103515</v>
      </c>
      <c r="AJ13" s="788" t="n">
        <v>0</v>
      </c>
    </row>
    <row r="14">
      <c r="A14" t="inlineStr">
        <is>
          <t>TT-CP-00101-20</t>
        </is>
      </c>
      <c r="B14" s="267" t="inlineStr">
        <is>
          <t>SERVICE AIA</t>
        </is>
      </c>
      <c r="C14" s="349" t="inlineStr">
        <is>
          <t>k €</t>
        </is>
      </c>
      <c r="E14" s="788">
        <f>$AI14/E$3</f>
        <v/>
      </c>
      <c r="F14" s="788">
        <f>IFERROR(1/F$3,1)*SUMIFS(Data!$S$3:$S$305,Data!$O$3:$O$305,F$1,Data!$P$3:$P$305,IF(RIGHT(F$2,3)="YTD","&lt;="&amp;LEFT(F$2,2)*1,F$2),Data!$K$3:$K$305,$B14)</f>
        <v/>
      </c>
      <c r="G14" s="788">
        <f>AJ14/12</f>
        <v/>
      </c>
      <c r="I14" s="788">
        <f>'Reporting 2021'!I20</f>
        <v/>
      </c>
      <c r="J14" s="788">
        <f>'Reporting 2021'!J20</f>
        <v/>
      </c>
      <c r="K14" s="788">
        <f>'Reporting 2021'!K20</f>
        <v/>
      </c>
      <c r="L14" s="788">
        <f>'Reporting 2021'!L20</f>
        <v/>
      </c>
      <c r="M14" s="788">
        <f>IFERROR(1/M$3,1)*SUMIFS(Data!$S$3:$S$305,Data!$O$3:$O$305,M$1,Data!$P$3:$P$305,IF(RIGHT(M$2,3)="YTD","&lt;="&amp;LEFT(M$2,2)*1,M$2),Data!$K$3:$K$305,$B14)</f>
        <v/>
      </c>
      <c r="N14" s="791">
        <f>SUMIFS(Data!$S$3:$S$305,Data!$O$3:$O$305,N$1,Data!$P$3:$P$305,N$2,Data!$K$3:$K$305,$B14)</f>
        <v/>
      </c>
      <c r="O14" s="791">
        <f>SUMIFS(Data!$S$3:$S$305,Data!$O$3:$O$305,O$1,Data!$P$3:$P$305,O$2,Data!$K$3:$K$305,$B14)</f>
        <v/>
      </c>
      <c r="P14" s="791">
        <f>SUMIFS(Data!$S$3:$S$305,Data!$O$3:$O$305,P$1,Data!$P$3:$P$305,P$2,Data!$K$3:$K$305,$B14)</f>
        <v/>
      </c>
      <c r="Q14" s="791">
        <f>SUMIFS(Data!$S$3:$S$305,Data!$O$3:$O$305,Q$1,Data!$P$3:$P$305,Q$2,Data!$K$3:$K$305,$B14)</f>
        <v/>
      </c>
      <c r="R14" s="791">
        <f>SUMIFS(Data!$S$3:$S$305,Data!$O$3:$O$305,R$1,Data!$P$3:$P$305,R$2,Data!$K$3:$K$305,$B14)</f>
        <v/>
      </c>
      <c r="S14" s="791">
        <f>SUMIFS(Data!$S$3:$S$305,Data!$O$3:$O$305,S$1,Data!$P$3:$P$305,S$2,Data!$K$3:$K$305,$B14)</f>
        <v/>
      </c>
      <c r="T14" s="791">
        <f>SUMIFS(Data!$S$3:$S$305,Data!$O$3:$O$305,T$1,Data!$P$3:$P$305,T$2,Data!$K$3:$K$305,$B14)</f>
        <v/>
      </c>
      <c r="V14" s="788">
        <f>'Reporting 2021'!M20</f>
        <v/>
      </c>
      <c r="W14" s="788">
        <f>'Reporting 2021'!N20</f>
        <v/>
      </c>
      <c r="X14" s="788" t="n">
        <v>0</v>
      </c>
      <c r="Y14" s="788" t="n">
        <v>0</v>
      </c>
      <c r="Z14" s="788" t="n">
        <v>0</v>
      </c>
      <c r="AA14" s="788" t="n">
        <v>20833.33333333333</v>
      </c>
      <c r="AB14" s="788">
        <f>$G14</f>
        <v/>
      </c>
      <c r="AC14" s="788">
        <f>$G14</f>
        <v/>
      </c>
      <c r="AD14" s="788" t="n"/>
      <c r="AE14" s="788">
        <f>IFERROR(1/AE$3,1)*SUMIFS(Data!$S$3:$S$305,Data!$O$3:$O$305,AE$1,Data!$P$3:$P$305,IF(RIGHT(AE$2,3)="YTD","&lt;="&amp;LEFT(AE$2,2)*1,AE$2),Data!$K$3:$K$305,$B14)</f>
        <v/>
      </c>
      <c r="AF14" s="788">
        <f>AJ14/12*LEFT(AF$2,2)*1</f>
        <v/>
      </c>
      <c r="AG14" s="789">
        <f>AE14-AF14</f>
        <v/>
      </c>
      <c r="AI14" s="788" t="n">
        <v>113419</v>
      </c>
      <c r="AJ14" s="788" t="n">
        <v>250000</v>
      </c>
    </row>
    <row r="15">
      <c r="A15" t="inlineStr">
        <is>
          <t>TT-CP-00102-20</t>
        </is>
      </c>
      <c r="B15" s="267" t="inlineStr">
        <is>
          <t>SERVICE IC</t>
        </is>
      </c>
      <c r="C15" s="349" t="inlineStr">
        <is>
          <t>k €</t>
        </is>
      </c>
      <c r="E15" s="788">
        <f>$AI15/E$3</f>
        <v/>
      </c>
      <c r="F15" s="788">
        <f>IFERROR(1/F$3,1)*SUMIFS(Data!$S$3:$S$305,Data!$O$3:$O$305,F$1,Data!$P$3:$P$305,IF(RIGHT(F$2,3)="YTD","&lt;="&amp;LEFT(F$2,2)*1,F$2),Data!$K$3:$K$305,$B15)</f>
        <v/>
      </c>
      <c r="G15" s="788">
        <f>AJ15/12</f>
        <v/>
      </c>
      <c r="I15" s="788">
        <f>'Reporting 2021'!I21</f>
        <v/>
      </c>
      <c r="J15" s="788">
        <f>'Reporting 2021'!J21</f>
        <v/>
      </c>
      <c r="K15" s="788">
        <f>'Reporting 2021'!K21</f>
        <v/>
      </c>
      <c r="L15" s="788">
        <f>'Reporting 2021'!L21</f>
        <v/>
      </c>
      <c r="M15" s="788">
        <f>IFERROR(1/M$3,1)*SUMIFS(Data!$S$3:$S$305,Data!$O$3:$O$305,M$1,Data!$P$3:$P$305,IF(RIGHT(M$2,3)="YTD","&lt;="&amp;LEFT(M$2,2)*1,M$2),Data!$K$3:$K$305,$B15)</f>
        <v/>
      </c>
      <c r="N15" s="791">
        <f>SUMIFS(Data!$S$3:$S$305,Data!$O$3:$O$305,N$1,Data!$P$3:$P$305,N$2,Data!$K$3:$K$305,$B15)</f>
        <v/>
      </c>
      <c r="O15" s="791">
        <f>SUMIFS(Data!$S$3:$S$305,Data!$O$3:$O$305,O$1,Data!$P$3:$P$305,O$2,Data!$K$3:$K$305,$B15)</f>
        <v/>
      </c>
      <c r="P15" s="791">
        <f>SUMIFS(Data!$S$3:$S$305,Data!$O$3:$O$305,P$1,Data!$P$3:$P$305,P$2,Data!$K$3:$K$305,$B15)</f>
        <v/>
      </c>
      <c r="Q15" s="791">
        <f>SUMIFS(Data!$S$3:$S$305,Data!$O$3:$O$305,Q$1,Data!$P$3:$P$305,Q$2,Data!$K$3:$K$305,$B15)</f>
        <v/>
      </c>
      <c r="R15" s="791">
        <f>SUMIFS(Data!$S$3:$S$305,Data!$O$3:$O$305,R$1,Data!$P$3:$P$305,R$2,Data!$K$3:$K$305,$B15)</f>
        <v/>
      </c>
      <c r="S15" s="791">
        <f>SUMIFS(Data!$S$3:$S$305,Data!$O$3:$O$305,S$1,Data!$P$3:$P$305,S$2,Data!$K$3:$K$305,$B15)</f>
        <v/>
      </c>
      <c r="T15" s="791">
        <f>SUMIFS(Data!$S$3:$S$305,Data!$O$3:$O$305,T$1,Data!$P$3:$P$305,T$2,Data!$K$3:$K$305,$B15)</f>
        <v/>
      </c>
      <c r="V15" s="788">
        <f>'Reporting 2021'!M21</f>
        <v/>
      </c>
      <c r="W15" s="788">
        <f>'Reporting 2021'!N21</f>
        <v/>
      </c>
      <c r="X15" s="788" t="n">
        <v>0</v>
      </c>
      <c r="Y15" s="788" t="n">
        <v>0</v>
      </c>
      <c r="Z15" s="788" t="n">
        <v>0</v>
      </c>
      <c r="AA15" s="788" t="n">
        <v>3750</v>
      </c>
      <c r="AB15" s="788">
        <f>$G15</f>
        <v/>
      </c>
      <c r="AC15" s="788">
        <f>$G15</f>
        <v/>
      </c>
      <c r="AD15" s="788" t="n"/>
      <c r="AE15" s="788">
        <f>IFERROR(1/AE$3,1)*SUMIFS(Data!$S$3:$S$305,Data!$O$3:$O$305,AE$1,Data!$P$3:$P$305,IF(RIGHT(AE$2,3)="YTD","&lt;="&amp;LEFT(AE$2,2)*1,AE$2),Data!$K$3:$K$305,$B15)</f>
        <v/>
      </c>
      <c r="AF15" s="788">
        <f>AJ15/12*LEFT(AF$2,2)*1</f>
        <v/>
      </c>
      <c r="AG15" s="789">
        <f>AE15-AF15</f>
        <v/>
      </c>
      <c r="AI15" s="788" t="n">
        <v>66513</v>
      </c>
      <c r="AJ15" s="788" t="n">
        <v>45000</v>
      </c>
    </row>
    <row r="16">
      <c r="A16" t="inlineStr">
        <is>
          <t>TT-CP-00100-20</t>
        </is>
      </c>
      <c r="B16" s="267" t="inlineStr">
        <is>
          <t>SERVICE OTHER AIA</t>
        </is>
      </c>
      <c r="C16" s="349" t="inlineStr">
        <is>
          <t>k €</t>
        </is>
      </c>
      <c r="E16" s="788">
        <f>$AI16/E$3</f>
        <v/>
      </c>
      <c r="F16" s="788">
        <f>IFERROR(1/F$3,1)*SUMIFS(Data!$S$3:$S$305,Data!$O$3:$O$305,F$1,Data!$P$3:$P$305,IF(RIGHT(F$2,3)="YTD","&lt;="&amp;LEFT(F$2,2)*1,F$2),Data!$K$3:$K$305,$B16)</f>
        <v/>
      </c>
      <c r="G16" s="788">
        <f>AJ16/12</f>
        <v/>
      </c>
      <c r="I16" s="788">
        <f>'Reporting 2021'!I22</f>
        <v/>
      </c>
      <c r="J16" s="788">
        <f>'Reporting 2021'!J22</f>
        <v/>
      </c>
      <c r="K16" s="788">
        <f>'Reporting 2021'!K22</f>
        <v/>
      </c>
      <c r="L16" s="788">
        <f>'Reporting 2021'!L22</f>
        <v/>
      </c>
      <c r="M16" s="788">
        <f>IFERROR(1/M$3,1)*SUMIFS(Data!$S$3:$S$305,Data!$O$3:$O$305,M$1,Data!$P$3:$P$305,IF(RIGHT(M$2,3)="YTD","&lt;="&amp;LEFT(M$2,2)*1,M$2),Data!$K$3:$K$305,$B16)</f>
        <v/>
      </c>
      <c r="N16" s="791">
        <f>SUMIFS(Data!$S$3:$S$305,Data!$O$3:$O$305,N$1,Data!$P$3:$P$305,N$2,Data!$K$3:$K$305,$B16)</f>
        <v/>
      </c>
      <c r="O16" s="791">
        <f>SUMIFS(Data!$S$3:$S$305,Data!$O$3:$O$305,O$1,Data!$P$3:$P$305,O$2,Data!$K$3:$K$305,$B16)</f>
        <v/>
      </c>
      <c r="P16" s="791">
        <f>SUMIFS(Data!$S$3:$S$305,Data!$O$3:$O$305,P$1,Data!$P$3:$P$305,P$2,Data!$K$3:$K$305,$B16)</f>
        <v/>
      </c>
      <c r="Q16" s="791">
        <f>SUMIFS(Data!$S$3:$S$305,Data!$O$3:$O$305,Q$1,Data!$P$3:$P$305,Q$2,Data!$K$3:$K$305,$B16)</f>
        <v/>
      </c>
      <c r="R16" s="791">
        <f>SUMIFS(Data!$S$3:$S$305,Data!$O$3:$O$305,R$1,Data!$P$3:$P$305,R$2,Data!$K$3:$K$305,$B16)</f>
        <v/>
      </c>
      <c r="S16" s="791">
        <f>SUMIFS(Data!$S$3:$S$305,Data!$O$3:$O$305,S$1,Data!$P$3:$P$305,S$2,Data!$K$3:$K$305,$B16)</f>
        <v/>
      </c>
      <c r="T16" s="791">
        <f>SUMIFS(Data!$S$3:$S$305,Data!$O$3:$O$305,T$1,Data!$P$3:$P$305,T$2,Data!$K$3:$K$305,$B16)</f>
        <v/>
      </c>
      <c r="V16" s="788">
        <f>'Reporting 2021'!M22</f>
        <v/>
      </c>
      <c r="W16" s="788">
        <f>'Reporting 2021'!N22</f>
        <v/>
      </c>
      <c r="X16" s="788" t="n">
        <v>13392</v>
      </c>
      <c r="Y16" s="788" t="n">
        <v>14551.5</v>
      </c>
      <c r="Z16" s="788" t="n">
        <v>13225</v>
      </c>
      <c r="AA16" s="788" t="n">
        <v>20833.33333333333</v>
      </c>
      <c r="AB16" s="788">
        <f>$G16</f>
        <v/>
      </c>
      <c r="AC16" s="788">
        <f>$G16</f>
        <v/>
      </c>
      <c r="AD16" s="788" t="n"/>
      <c r="AE16" s="788">
        <f>IFERROR(1/AE$3,1)*SUMIFS(Data!$S$3:$S$305,Data!$O$3:$O$305,AE$1,Data!$P$3:$P$305,IF(RIGHT(AE$2,3)="YTD","&lt;="&amp;LEFT(AE$2,2)*1,AE$2),Data!$K$3:$K$305,$B16)</f>
        <v/>
      </c>
      <c r="AF16" s="788">
        <f>AJ16/12*LEFT(AF$2,2)*1</f>
        <v/>
      </c>
      <c r="AG16" s="789">
        <f>AE16-AF16</f>
        <v/>
      </c>
      <c r="AI16" s="788" t="n">
        <v>3650</v>
      </c>
      <c r="AJ16" s="788" t="n">
        <v>250000</v>
      </c>
    </row>
    <row r="17">
      <c r="A17" t="inlineStr">
        <is>
          <t>TT-CP-00110-20</t>
        </is>
      </c>
      <c r="B17" s="267" t="inlineStr">
        <is>
          <t>TRADING OTHER AIA</t>
        </is>
      </c>
      <c r="C17" s="349" t="inlineStr">
        <is>
          <t>k €</t>
        </is>
      </c>
      <c r="E17" s="788">
        <f>$AI17/E$3</f>
        <v/>
      </c>
      <c r="F17" s="788">
        <f>IFERROR(1/F$3,1)*SUMIFS(Data!$S$3:$S$305,Data!$O$3:$O$305,F$1,Data!$P$3:$P$305,IF(RIGHT(F$2,3)="YTD","&lt;="&amp;LEFT(F$2,2)*1,F$2),Data!$K$3:$K$305,$B17)</f>
        <v/>
      </c>
      <c r="G17" s="788">
        <f>AJ17/12</f>
        <v/>
      </c>
      <c r="I17" s="788">
        <f>'Reporting 2021'!I23</f>
        <v/>
      </c>
      <c r="J17" s="788">
        <f>'Reporting 2021'!J23</f>
        <v/>
      </c>
      <c r="K17" s="788">
        <f>'Reporting 2021'!K23</f>
        <v/>
      </c>
      <c r="L17" s="788">
        <f>'Reporting 2021'!L23</f>
        <v/>
      </c>
      <c r="M17" s="788">
        <f>IFERROR(1/M$3,1)*SUMIFS(Data!$S$3:$S$305,Data!$O$3:$O$305,M$1,Data!$P$3:$P$305,IF(RIGHT(M$2,3)="YTD","&lt;="&amp;LEFT(M$2,2)*1,M$2),Data!$K$3:$K$305,$B17)</f>
        <v/>
      </c>
      <c r="N17" s="791">
        <f>SUMIFS(Data!$S$3:$S$305,Data!$O$3:$O$305,N$1,Data!$P$3:$P$305,N$2,Data!$K$3:$K$305,$B17)</f>
        <v/>
      </c>
      <c r="O17" s="791">
        <f>SUMIFS(Data!$S$3:$S$305,Data!$O$3:$O$305,O$1,Data!$P$3:$P$305,O$2,Data!$K$3:$K$305,$B17)</f>
        <v/>
      </c>
      <c r="P17" s="791">
        <f>SUMIFS(Data!$S$3:$S$305,Data!$O$3:$O$305,P$1,Data!$P$3:$P$305,P$2,Data!$K$3:$K$305,$B17)</f>
        <v/>
      </c>
      <c r="Q17" s="791">
        <f>SUMIFS(Data!$S$3:$S$305,Data!$O$3:$O$305,Q$1,Data!$P$3:$P$305,Q$2,Data!$K$3:$K$305,$B17)</f>
        <v/>
      </c>
      <c r="R17" s="791">
        <f>SUMIFS(Data!$S$3:$S$305,Data!$O$3:$O$305,R$1,Data!$P$3:$P$305,R$2,Data!$K$3:$K$305,$B17)</f>
        <v/>
      </c>
      <c r="S17" s="791">
        <f>SUMIFS(Data!$S$3:$S$305,Data!$O$3:$O$305,S$1,Data!$P$3:$P$305,S$2,Data!$K$3:$K$305,$B17)</f>
        <v/>
      </c>
      <c r="T17" s="791">
        <f>SUMIFS(Data!$S$3:$S$305,Data!$O$3:$O$305,T$1,Data!$P$3:$P$305,T$2,Data!$K$3:$K$305,$B17)</f>
        <v/>
      </c>
      <c r="V17" s="788">
        <f>'Reporting 2021'!M23</f>
        <v/>
      </c>
      <c r="W17" s="788">
        <f>'Reporting 2021'!N23</f>
        <v/>
      </c>
      <c r="X17" s="788" t="n">
        <v>4500</v>
      </c>
      <c r="Y17" s="788" t="n">
        <v>40.5</v>
      </c>
      <c r="Z17" s="788" t="n">
        <v>3000</v>
      </c>
      <c r="AA17" s="788" t="n">
        <v>0</v>
      </c>
      <c r="AB17" s="788">
        <f>$G17</f>
        <v/>
      </c>
      <c r="AC17" s="788">
        <f>$G17</f>
        <v/>
      </c>
      <c r="AD17" s="788" t="n"/>
      <c r="AE17" s="788">
        <f>IFERROR(1/AE$3,1)*SUMIFS(Data!$S$3:$S$305,Data!$O$3:$O$305,AE$1,Data!$P$3:$P$305,IF(RIGHT(AE$2,3)="YTD","&lt;="&amp;LEFT(AE$2,2)*1,AE$2),Data!$K$3:$K$305,$B17)</f>
        <v/>
      </c>
      <c r="AF17" s="788">
        <f>AJ17/12*LEFT(AF$2,2)*1</f>
        <v/>
      </c>
      <c r="AG17" s="789">
        <f>AE17-AF17</f>
        <v/>
      </c>
      <c r="AI17" s="788" t="n">
        <v>851592</v>
      </c>
      <c r="AJ17" s="788" t="n">
        <v>0</v>
      </c>
    </row>
    <row r="18">
      <c r="B18" s="267" t="inlineStr">
        <is>
          <t>TRADING AIA</t>
        </is>
      </c>
      <c r="C18" s="349" t="inlineStr">
        <is>
          <t>k €</t>
        </is>
      </c>
      <c r="E18" s="788">
        <f>$AI18/E$3</f>
        <v/>
      </c>
      <c r="F18" s="788">
        <f>IFERROR(1/F$3,1)*SUMIFS(Data!$S$3:$S$305,Data!$O$3:$O$305,F$1,Data!$P$3:$P$305,IF(RIGHT(F$2,3)="YTD","&lt;="&amp;LEFT(F$2,2)*1,F$2),Data!$K$3:$K$305,$B18)</f>
        <v/>
      </c>
      <c r="G18" s="788">
        <f>AJ18/12</f>
        <v/>
      </c>
      <c r="I18" s="788">
        <f>'Reporting 2021'!I24</f>
        <v/>
      </c>
      <c r="J18" s="788">
        <f>'Reporting 2021'!J24</f>
        <v/>
      </c>
      <c r="K18" s="788">
        <f>'Reporting 2021'!K24</f>
        <v/>
      </c>
      <c r="L18" s="788">
        <f>'Reporting 2021'!L24</f>
        <v/>
      </c>
      <c r="M18" s="788">
        <f>IFERROR(1/M$3,1)*SUMIFS(Data!$S$3:$S$305,Data!$O$3:$O$305,M$1,Data!$P$3:$P$305,IF(RIGHT(M$2,3)="YTD","&lt;="&amp;LEFT(M$2,2)*1,M$2),Data!$K$3:$K$305,$B18)</f>
        <v/>
      </c>
      <c r="N18" s="791">
        <f>SUMIFS(Data!$S$3:$S$305,Data!$O$3:$O$305,N$1,Data!$P$3:$P$305,N$2,Data!$K$3:$K$305,$B18)</f>
        <v/>
      </c>
      <c r="O18" s="791">
        <f>SUMIFS(Data!$S$3:$S$305,Data!$O$3:$O$305,O$1,Data!$P$3:$P$305,O$2,Data!$K$3:$K$305,$B18)</f>
        <v/>
      </c>
      <c r="P18" s="791">
        <f>SUMIFS(Data!$S$3:$S$305,Data!$O$3:$O$305,P$1,Data!$P$3:$P$305,P$2,Data!$K$3:$K$305,$B18)</f>
        <v/>
      </c>
      <c r="Q18" s="791">
        <f>SUMIFS(Data!$S$3:$S$305,Data!$O$3:$O$305,Q$1,Data!$P$3:$P$305,Q$2,Data!$K$3:$K$305,$B18)</f>
        <v/>
      </c>
      <c r="R18" s="791">
        <f>SUMIFS(Data!$S$3:$S$305,Data!$O$3:$O$305,R$1,Data!$P$3:$P$305,R$2,Data!$K$3:$K$305,$B18)</f>
        <v/>
      </c>
      <c r="S18" s="791">
        <f>SUMIFS(Data!$S$3:$S$305,Data!$O$3:$O$305,S$1,Data!$P$3:$P$305,S$2,Data!$K$3:$K$305,$B18)</f>
        <v/>
      </c>
      <c r="T18" s="791">
        <f>SUMIFS(Data!$S$3:$S$305,Data!$O$3:$O$305,T$1,Data!$P$3:$P$305,T$2,Data!$K$3:$K$305,$B18)</f>
        <v/>
      </c>
      <c r="V18" s="788">
        <f>'Reporting 2021'!M24</f>
        <v/>
      </c>
      <c r="W18" s="788">
        <f>'Reporting 2021'!N24</f>
        <v/>
      </c>
      <c r="X18" s="788" t="n">
        <v>0</v>
      </c>
      <c r="Y18" s="788" t="n">
        <v>0</v>
      </c>
      <c r="Z18" s="788" t="n">
        <v>0</v>
      </c>
      <c r="AA18" s="788" t="n">
        <v>0</v>
      </c>
      <c r="AB18" s="788">
        <f>$G18</f>
        <v/>
      </c>
      <c r="AC18" s="788">
        <f>$G18</f>
        <v/>
      </c>
      <c r="AD18" s="788" t="n"/>
      <c r="AE18" s="788">
        <f>IFERROR(1/AE$3,1)*SUMIFS(Data!$S$3:$S$305,Data!$O$3:$O$305,AE$1,Data!$P$3:$P$305,IF(RIGHT(AE$2,3)="YTD","&lt;="&amp;LEFT(AE$2,2)*1,AE$2),Data!$K$3:$K$305,$B18)</f>
        <v/>
      </c>
      <c r="AF18" s="788">
        <f>AJ18/12*LEFT(AF$2,2)*1</f>
        <v/>
      </c>
      <c r="AG18" s="789">
        <f>AE18-AF18</f>
        <v/>
      </c>
      <c r="AI18" s="788" t="n">
        <v>2741614</v>
      </c>
      <c r="AJ18" s="788" t="n">
        <v>0</v>
      </c>
    </row>
    <row r="19" customFormat="1" s="329">
      <c r="B19" s="265" t="inlineStr">
        <is>
          <t>TOTAL HYFR</t>
        </is>
      </c>
      <c r="C19" s="246" t="n"/>
      <c r="E19" s="790" t="n"/>
      <c r="F19" s="790" t="n"/>
      <c r="G19" s="790" t="n"/>
      <c r="I19" s="792">
        <f>SUM(I9:I18)</f>
        <v/>
      </c>
      <c r="J19" s="792">
        <f>SUM(J9:J18)</f>
        <v/>
      </c>
      <c r="K19" s="792">
        <f>SUM(K9:K18)</f>
        <v/>
      </c>
      <c r="L19" s="792">
        <f>SUM(L9:L18)</f>
        <v/>
      </c>
      <c r="M19" s="792">
        <f>SUM(M9:M18)</f>
        <v/>
      </c>
      <c r="N19" s="792">
        <f>SUM(N9:N18)</f>
        <v/>
      </c>
      <c r="O19" s="792">
        <f>SUM(O9:O18)</f>
        <v/>
      </c>
      <c r="P19" s="792">
        <f>SUM(P9:P18)</f>
        <v/>
      </c>
      <c r="Q19" s="792">
        <f>SUM(Q9:Q18)</f>
        <v/>
      </c>
      <c r="R19" s="792">
        <f>SUM(R9:R18)</f>
        <v/>
      </c>
      <c r="S19" s="792">
        <f>SUM(S9:S18)</f>
        <v/>
      </c>
      <c r="T19" s="792">
        <f>SUM(T9:T18)</f>
        <v/>
      </c>
      <c r="U19" s="792">
        <f>SUM(U9:U18)</f>
        <v/>
      </c>
      <c r="V19" s="792">
        <f>SUM(V9:V18)</f>
        <v/>
      </c>
      <c r="W19" s="792">
        <f>SUM(W9:W18)</f>
        <v/>
      </c>
      <c r="X19" s="790" t="n">
        <v>17892</v>
      </c>
      <c r="Y19" s="790" t="n">
        <v>14592</v>
      </c>
      <c r="Z19" s="790" t="n">
        <v>16225</v>
      </c>
      <c r="AA19" s="790" t="n"/>
      <c r="AB19" s="790" t="n"/>
      <c r="AC19" s="790" t="n"/>
      <c r="AD19" s="790" t="n"/>
      <c r="AE19" s="790">
        <f>SUM(AE9:AE18)</f>
        <v/>
      </c>
      <c r="AF19" s="790">
        <f>SUM(AF9:AF18)</f>
        <v/>
      </c>
      <c r="AG19" s="790">
        <f>SUM(AG9:AG18)</f>
        <v/>
      </c>
      <c r="AI19" s="790">
        <f>SUM(AI9:AI18)</f>
        <v/>
      </c>
      <c r="AJ19" s="790">
        <f>SUM(AJ9:AJ18)</f>
        <v/>
      </c>
    </row>
    <row r="20">
      <c r="B20" s="266" t="inlineStr">
        <is>
          <t>GSE (HYKG)</t>
        </is>
      </c>
      <c r="C20" s="266" t="inlineStr">
        <is>
          <t>k €</t>
        </is>
      </c>
      <c r="E20" s="793">
        <f>AI20/12*LEFT($F$2,2)</f>
        <v/>
      </c>
      <c r="F20" s="793">
        <f>SUM(I20:T20)/LEFT($F$2,2)</f>
        <v/>
      </c>
      <c r="G20" s="793">
        <f>AI20/12</f>
        <v/>
      </c>
      <c r="I20" s="794">
        <f>'Reporting 2021'!I26</f>
        <v/>
      </c>
      <c r="J20" s="794">
        <f>'Reporting 2021'!J26</f>
        <v/>
      </c>
      <c r="K20" s="794">
        <f>'Reporting 2021'!K26</f>
        <v/>
      </c>
      <c r="L20" s="794">
        <f>'Reporting 2021'!L26</f>
        <v/>
      </c>
      <c r="M20" s="794">
        <f>Reporting!G65</f>
        <v/>
      </c>
      <c r="N20" s="794">
        <f>Reporting!H65</f>
        <v/>
      </c>
      <c r="O20" s="794">
        <f>Reporting!I65</f>
        <v/>
      </c>
      <c r="P20" s="794">
        <f>Reporting!J65</f>
        <v/>
      </c>
      <c r="Q20" s="794">
        <f>Reporting!K65</f>
        <v/>
      </c>
      <c r="R20" s="794">
        <f>Reporting!L65</f>
        <v/>
      </c>
      <c r="S20" s="794">
        <f>Reporting!M65</f>
        <v/>
      </c>
      <c r="T20" s="794">
        <f>Reporting!N65</f>
        <v/>
      </c>
      <c r="V20" s="793">
        <f>'Reporting 2021'!M26</f>
        <v/>
      </c>
      <c r="W20" s="793">
        <f>'Reporting 2021'!N26</f>
        <v/>
      </c>
      <c r="X20" s="793" t="n">
        <v>746612.570901014</v>
      </c>
      <c r="Y20" s="793" t="n">
        <v>357019.9968644641</v>
      </c>
      <c r="Z20" s="793" t="n">
        <v>134362.12</v>
      </c>
      <c r="AA20" s="793" t="n">
        <v>228467.8333333333</v>
      </c>
      <c r="AB20" s="793">
        <f>W20</f>
        <v/>
      </c>
      <c r="AC20" s="793">
        <f>W20</f>
        <v/>
      </c>
      <c r="AD20" s="793" t="n"/>
      <c r="AE20" s="793">
        <f>SUM(I20:T20)</f>
        <v/>
      </c>
      <c r="AF20" s="793">
        <f>AJ20/12*$C$5</f>
        <v/>
      </c>
      <c r="AG20" s="795">
        <f>AE20-AF20</f>
        <v/>
      </c>
      <c r="AI20" s="793" t="n">
        <v>2741614</v>
      </c>
      <c r="AJ20" s="793" t="n">
        <v>6630000</v>
      </c>
    </row>
    <row r="21" customFormat="1" s="329">
      <c r="B21" s="265" t="inlineStr">
        <is>
          <t>TOTAL HYFR + GSE (HYKG)</t>
        </is>
      </c>
      <c r="C21" s="265" t="inlineStr">
        <is>
          <t>k €</t>
        </is>
      </c>
      <c r="E21" s="790" t="n"/>
      <c r="F21" s="790" t="n"/>
      <c r="G21" s="790" t="n"/>
      <c r="I21" s="792">
        <f>I19+I20</f>
        <v/>
      </c>
      <c r="J21" s="792">
        <f>J19+J20</f>
        <v/>
      </c>
      <c r="K21" s="792">
        <f>K19+K20</f>
        <v/>
      </c>
      <c r="L21" s="792">
        <f>L19+L20</f>
        <v/>
      </c>
      <c r="M21" s="792">
        <f>M19+M20</f>
        <v/>
      </c>
      <c r="N21" s="792">
        <f>N19+N20</f>
        <v/>
      </c>
      <c r="O21" s="792">
        <f>O19+O20</f>
        <v/>
      </c>
      <c r="P21" s="792">
        <f>P19+P20</f>
        <v/>
      </c>
      <c r="Q21" s="792">
        <f>Q19+Q20</f>
        <v/>
      </c>
      <c r="R21" s="792">
        <f>R19+R20</f>
        <v/>
      </c>
      <c r="S21" s="792">
        <f>S19+S20</f>
        <v/>
      </c>
      <c r="T21" s="792">
        <f>T19+T20</f>
        <v/>
      </c>
      <c r="U21" s="792">
        <f>U19+U20</f>
        <v/>
      </c>
      <c r="V21" s="792">
        <f>V19+V20</f>
        <v/>
      </c>
      <c r="W21" s="792">
        <f>W19+W20</f>
        <v/>
      </c>
      <c r="X21" s="792">
        <f>X19+X20</f>
        <v/>
      </c>
      <c r="Y21" s="792">
        <f>Y19+Y20</f>
        <v/>
      </c>
      <c r="Z21" s="792">
        <f>Z19+Z20</f>
        <v/>
      </c>
      <c r="AA21" s="792">
        <f>AA19+AA20</f>
        <v/>
      </c>
      <c r="AB21" s="797" t="n"/>
      <c r="AC21" s="797" t="n"/>
      <c r="AD21" s="797" t="n"/>
      <c r="AE21" s="790">
        <f>SUM(I21:K21)</f>
        <v/>
      </c>
      <c r="AF21" s="790" t="n"/>
      <c r="AG21" s="797" t="n"/>
      <c r="AI21" s="790">
        <f>SUM(M21:O21)</f>
        <v/>
      </c>
      <c r="AJ21" s="797" t="n"/>
    </row>
    <row r="22" customFormat="1" s="329">
      <c r="B22" s="265" t="inlineStr">
        <is>
          <t>CURRENT OI CUMULATED</t>
        </is>
      </c>
      <c r="C22" s="265" t="n"/>
      <c r="E22" s="790" t="n"/>
      <c r="F22" s="790" t="n"/>
      <c r="G22" s="790" t="n"/>
      <c r="I22" s="792">
        <f>I21</f>
        <v/>
      </c>
      <c r="J22" s="792">
        <f>I22+J21</f>
        <v/>
      </c>
      <c r="K22" s="792">
        <f>J22+K21</f>
        <v/>
      </c>
      <c r="L22" s="792">
        <f>K22+L21</f>
        <v/>
      </c>
      <c r="M22" s="792" t="n"/>
      <c r="N22" s="792" t="n"/>
      <c r="O22" s="792" t="n"/>
      <c r="P22" s="792" t="n"/>
      <c r="Q22" s="792" t="n"/>
      <c r="R22" s="792" t="n"/>
      <c r="S22" s="792" t="n"/>
      <c r="T22" s="792" t="n"/>
      <c r="V22" s="797">
        <f>L22+V21</f>
        <v/>
      </c>
      <c r="W22" s="797">
        <f>V22+W21</f>
        <v/>
      </c>
      <c r="X22" s="797">
        <f>W22+X21</f>
        <v/>
      </c>
      <c r="Y22" s="797">
        <f>X22+Y21</f>
        <v/>
      </c>
      <c r="Z22" s="797">
        <f>Y22+Z21</f>
        <v/>
      </c>
      <c r="AA22" s="797">
        <f>Z22+AA21</f>
        <v/>
      </c>
      <c r="AB22" s="797" t="n"/>
      <c r="AC22" s="797" t="n"/>
      <c r="AD22" s="797" t="n"/>
      <c r="AE22" s="790" t="n"/>
      <c r="AF22" s="790" t="n"/>
      <c r="AG22" s="797" t="n"/>
      <c r="AI22" s="790" t="n"/>
      <c r="AJ22" s="797" t="n"/>
    </row>
    <row r="23" customFormat="1" s="329">
      <c r="B23" s="265" t="inlineStr">
        <is>
          <t>BUDGET OI</t>
        </is>
      </c>
      <c r="C23" s="265" t="n"/>
      <c r="E23" s="790" t="n"/>
      <c r="F23" s="790" t="n"/>
      <c r="G23" s="790" t="n"/>
      <c r="I23" s="792">
        <f>(AJ20+AJ19)/12</f>
        <v/>
      </c>
      <c r="J23" s="792">
        <f>I23*2</f>
        <v/>
      </c>
      <c r="K23" s="792">
        <f>I23*3</f>
        <v/>
      </c>
      <c r="L23" s="792">
        <f>I23*4</f>
        <v/>
      </c>
      <c r="M23" s="792">
        <f>(AN20+AN19)/12</f>
        <v/>
      </c>
      <c r="N23" s="792">
        <f>(AO20+AO19)/12</f>
        <v/>
      </c>
      <c r="O23" s="792">
        <f>(AP20+AP19)/12</f>
        <v/>
      </c>
      <c r="P23" s="792">
        <f>(AQ20+AQ19)/12</f>
        <v/>
      </c>
      <c r="Q23" s="792">
        <f>(AR20+AR19)/12</f>
        <v/>
      </c>
      <c r="R23" s="792">
        <f>(AS20+AS19)/12</f>
        <v/>
      </c>
      <c r="S23" s="792">
        <f>(AT20+AT19)/12</f>
        <v/>
      </c>
      <c r="T23" s="792">
        <f>(AU20+AU19)/12</f>
        <v/>
      </c>
      <c r="U23" s="792">
        <f>(AV20+AV19)/12</f>
        <v/>
      </c>
      <c r="V23" s="792">
        <f>I23*5</f>
        <v/>
      </c>
      <c r="W23" s="792">
        <f>I23*6</f>
        <v/>
      </c>
      <c r="X23" s="792">
        <f>I23*7</f>
        <v/>
      </c>
      <c r="Y23" s="792">
        <f>I23*8</f>
        <v/>
      </c>
      <c r="Z23" s="792">
        <f>I23*9</f>
        <v/>
      </c>
      <c r="AA23" s="792">
        <f>I23*10</f>
        <v/>
      </c>
      <c r="AB23" s="792">
        <f>I23*11</f>
        <v/>
      </c>
      <c r="AC23" s="792">
        <f>I23*12</f>
        <v/>
      </c>
      <c r="AD23" s="792">
        <f>(BF20+BF19)/12</f>
        <v/>
      </c>
      <c r="AE23" s="792">
        <f>(BG20+BG19)/12</f>
        <v/>
      </c>
      <c r="AF23" s="792">
        <f>(BH20+BH19)/12</f>
        <v/>
      </c>
      <c r="AG23" s="792">
        <f>(BI20+BI19)/12</f>
        <v/>
      </c>
      <c r="AH23" s="792">
        <f>(BJ20+BJ19)/12</f>
        <v/>
      </c>
      <c r="AI23" s="792">
        <f>(BK20+BK19)/12</f>
        <v/>
      </c>
      <c r="AJ23" s="797">
        <f>AJ20+AJ19</f>
        <v/>
      </c>
    </row>
    <row r="24">
      <c r="B24" s="267" t="n"/>
      <c r="E24" s="798" t="n"/>
      <c r="F24" s="798" t="n"/>
      <c r="G24" s="799" t="n"/>
      <c r="I24" s="799" t="n"/>
      <c r="J24" s="799" t="n"/>
      <c r="K24" s="799" t="n"/>
      <c r="L24" s="799" t="n"/>
      <c r="M24" s="799" t="n"/>
      <c r="N24" s="799" t="n"/>
      <c r="O24" s="799" t="n"/>
      <c r="P24" s="799" t="n"/>
      <c r="Q24" s="799" t="n"/>
      <c r="R24" s="799" t="n"/>
      <c r="S24" s="799" t="n"/>
      <c r="T24" s="799" t="n"/>
      <c r="V24" s="800" t="n"/>
      <c r="W24" s="800" t="n"/>
      <c r="X24" s="800" t="n"/>
      <c r="Y24" s="800" t="n"/>
      <c r="Z24" s="800" t="n"/>
      <c r="AA24" s="800" t="n"/>
      <c r="AB24" s="800" t="n"/>
      <c r="AC24" s="800" t="n"/>
      <c r="AD24" s="788" t="n"/>
      <c r="AE24" s="800" t="n"/>
      <c r="AF24" s="800" t="n"/>
      <c r="AG24" s="801" t="n"/>
      <c r="AI24" s="800" t="n"/>
      <c r="AJ24" s="800" t="n"/>
    </row>
    <row r="25" customFormat="1" s="160">
      <c r="C25" s="246" t="n"/>
      <c r="E25" s="802" t="inlineStr">
        <is>
          <t>Ø 2020</t>
        </is>
      </c>
      <c r="F25" s="269" t="inlineStr">
        <is>
          <t>Ø 2021</t>
        </is>
      </c>
      <c r="G25" s="803" t="inlineStr">
        <is>
          <t>Ø 2021</t>
        </is>
      </c>
      <c r="I25" s="269" t="inlineStr">
        <is>
          <t>01 2021</t>
        </is>
      </c>
      <c r="J25" s="269" t="inlineStr">
        <is>
          <t>02 2021</t>
        </is>
      </c>
      <c r="K25" s="269" t="inlineStr">
        <is>
          <t>03 2021</t>
        </is>
      </c>
      <c r="L25" s="269" t="inlineStr">
        <is>
          <t>4 2021</t>
        </is>
      </c>
      <c r="M25" s="269" t="inlineStr">
        <is>
          <t>5 2021</t>
        </is>
      </c>
      <c r="N25" s="269" t="inlineStr">
        <is>
          <t>6 2021</t>
        </is>
      </c>
      <c r="O25" s="269" t="inlineStr">
        <is>
          <t>7 2021</t>
        </is>
      </c>
      <c r="P25" s="269" t="inlineStr">
        <is>
          <t>8 2021</t>
        </is>
      </c>
      <c r="Q25" s="269" t="inlineStr">
        <is>
          <t>9 2021</t>
        </is>
      </c>
      <c r="R25" s="269" t="inlineStr">
        <is>
          <t>10 2021</t>
        </is>
      </c>
      <c r="S25" s="269" t="inlineStr">
        <is>
          <t>11 2021</t>
        </is>
      </c>
      <c r="T25" s="269" t="inlineStr">
        <is>
          <t>12 2021</t>
        </is>
      </c>
      <c r="V25" s="269" t="inlineStr">
        <is>
          <t>05 2021</t>
        </is>
      </c>
      <c r="W25" s="269" t="inlineStr">
        <is>
          <t>06 2021</t>
        </is>
      </c>
      <c r="X25" s="269" t="inlineStr">
        <is>
          <t>07 2021</t>
        </is>
      </c>
      <c r="Y25" s="269" t="inlineStr">
        <is>
          <t>08 2021</t>
        </is>
      </c>
      <c r="Z25" s="269" t="inlineStr">
        <is>
          <t>09 2021</t>
        </is>
      </c>
      <c r="AA25" s="805" t="inlineStr">
        <is>
          <t>10 2021</t>
        </is>
      </c>
      <c r="AB25" s="805" t="inlineStr">
        <is>
          <t>11 2021</t>
        </is>
      </c>
      <c r="AC25" s="805" t="inlineStr">
        <is>
          <t>12 2021</t>
        </is>
      </c>
      <c r="AD25" s="790" t="n"/>
      <c r="AE25" s="269">
        <f>AE$2&amp;" "&amp;AE$1</f>
        <v/>
      </c>
      <c r="AF25" s="270">
        <f>AF$2&amp;" "&amp;AF$1</f>
        <v/>
      </c>
      <c r="AG25" s="261">
        <f>AG$2&amp;" "&amp;AG$1</f>
        <v/>
      </c>
      <c r="AI25" s="244">
        <f>AI$2&amp;" "&amp;AI$1</f>
        <v/>
      </c>
      <c r="AJ25" s="270">
        <f>AJ$2&amp;" "&amp;AJ$1</f>
        <v/>
      </c>
    </row>
    <row r="26" customFormat="1" s="160">
      <c r="B26" s="267" t="n"/>
      <c r="C26" s="349" t="n"/>
      <c r="E26" s="802" t="inlineStr">
        <is>
          <t>ACT</t>
        </is>
      </c>
      <c r="F26" s="269" t="inlineStr">
        <is>
          <t>ACT</t>
        </is>
      </c>
      <c r="G26" s="803" t="inlineStr">
        <is>
          <t>PLAN</t>
        </is>
      </c>
      <c r="I26" s="269" t="inlineStr">
        <is>
          <t>ACT</t>
        </is>
      </c>
      <c r="J26" s="269" t="inlineStr">
        <is>
          <t>ACT</t>
        </is>
      </c>
      <c r="K26" s="269" t="inlineStr">
        <is>
          <t>ACT</t>
        </is>
      </c>
      <c r="L26" s="269" t="inlineStr">
        <is>
          <t>ACT</t>
        </is>
      </c>
      <c r="M26" s="269" t="inlineStr">
        <is>
          <t>ACT</t>
        </is>
      </c>
      <c r="N26" s="269" t="inlineStr">
        <is>
          <t>ACT</t>
        </is>
      </c>
      <c r="O26" s="269" t="inlineStr">
        <is>
          <t>ACT</t>
        </is>
      </c>
      <c r="P26" s="269" t="inlineStr">
        <is>
          <t>ACT</t>
        </is>
      </c>
      <c r="Q26" s="269" t="inlineStr">
        <is>
          <t>ACT</t>
        </is>
      </c>
      <c r="R26" s="269" t="inlineStr">
        <is>
          <t>ACT</t>
        </is>
      </c>
      <c r="S26" s="269" t="inlineStr">
        <is>
          <t>ACT</t>
        </is>
      </c>
      <c r="T26" s="269" t="inlineStr">
        <is>
          <t>ACT</t>
        </is>
      </c>
      <c r="V26" s="269" t="inlineStr">
        <is>
          <t>ACT</t>
        </is>
      </c>
      <c r="W26" s="269" t="inlineStr">
        <is>
          <t>ACT</t>
        </is>
      </c>
      <c r="X26" s="269" t="inlineStr">
        <is>
          <t>ACT</t>
        </is>
      </c>
      <c r="Y26" s="269" t="inlineStr">
        <is>
          <t>ACT</t>
        </is>
      </c>
      <c r="Z26" s="269" t="inlineStr">
        <is>
          <t>ACT</t>
        </is>
      </c>
      <c r="AA26" s="805" t="inlineStr">
        <is>
          <t>FCST</t>
        </is>
      </c>
      <c r="AB26" s="805" t="inlineStr">
        <is>
          <t>FCST</t>
        </is>
      </c>
      <c r="AC26" s="805" t="inlineStr">
        <is>
          <t>FCST</t>
        </is>
      </c>
      <c r="AD26" s="790" t="n"/>
      <c r="AE26" s="269" t="inlineStr">
        <is>
          <t xml:space="preserve">ACT </t>
        </is>
      </c>
      <c r="AF26" s="270" t="inlineStr">
        <is>
          <t xml:space="preserve">PLAN </t>
        </is>
      </c>
      <c r="AG26" s="262" t="inlineStr">
        <is>
          <t>∆  ACT PLAN</t>
        </is>
      </c>
      <c r="AI26" s="244" t="inlineStr">
        <is>
          <t xml:space="preserve">ACT </t>
        </is>
      </c>
      <c r="AJ26" s="270" t="inlineStr">
        <is>
          <t xml:space="preserve">PLAN </t>
        </is>
      </c>
    </row>
    <row r="27" customFormat="1" s="336">
      <c r="B27" s="271" t="inlineStr">
        <is>
          <t>REVENUE</t>
        </is>
      </c>
      <c r="C27" s="246" t="n"/>
      <c r="E27" s="806" t="n"/>
      <c r="F27" s="806" t="n"/>
      <c r="G27" s="806" t="n"/>
      <c r="I27" s="806" t="n"/>
      <c r="J27" s="806" t="n"/>
      <c r="K27" s="806" t="n"/>
      <c r="L27" s="806" t="n"/>
      <c r="M27" s="806" t="n"/>
      <c r="N27" s="806" t="n"/>
      <c r="O27" s="806" t="n"/>
      <c r="P27" s="806" t="n"/>
      <c r="Q27" s="806" t="n"/>
      <c r="R27" s="806" t="n"/>
      <c r="S27" s="806" t="n"/>
      <c r="T27" s="806" t="n"/>
      <c r="V27" s="790" t="n"/>
      <c r="W27" s="790" t="n"/>
      <c r="X27" s="790" t="n"/>
      <c r="Y27" s="790" t="n"/>
      <c r="Z27" s="790" t="n"/>
      <c r="AA27" s="790" t="n"/>
      <c r="AB27" s="790" t="n"/>
      <c r="AC27" s="790" t="n"/>
      <c r="AD27" s="790" t="n"/>
      <c r="AE27" s="790" t="n"/>
      <c r="AF27" s="790" t="n"/>
      <c r="AG27" s="797" t="n"/>
      <c r="AI27" s="790" t="n"/>
      <c r="AJ27" s="790" t="n"/>
    </row>
    <row r="28">
      <c r="A28" t="inlineStr">
        <is>
          <t>TT-CP-00107-20</t>
        </is>
      </c>
      <c r="B28" s="264" t="inlineStr">
        <is>
          <t>ENGINEERING AIA</t>
        </is>
      </c>
      <c r="C28" s="246" t="inlineStr">
        <is>
          <t>k €</t>
        </is>
      </c>
      <c r="E28" s="788">
        <f>$AI28/E$3</f>
        <v/>
      </c>
      <c r="F28" s="788">
        <f>IFERROR(1/F$3,1)*SUMIFS(Data!$AD$3:$AD$305,Data!$Y$3:$Y$305,F$1,Data!$Z$3:$Z$305,IF(RIGHT(F$2,3)="YTD","&lt;="&amp;LEFT(F$2,2)*1,F$2),Data!$K$3:$K$305,$B28)</f>
        <v/>
      </c>
      <c r="G28" s="788">
        <f>AJ28/12</f>
        <v/>
      </c>
      <c r="H28" s="801" t="n"/>
      <c r="I28" s="791">
        <f>'Reporting 2021'!I39</f>
        <v/>
      </c>
      <c r="J28" s="791">
        <f>'Reporting 2021'!J39</f>
        <v/>
      </c>
      <c r="K28" s="791">
        <f>'Reporting 2021'!K39</f>
        <v/>
      </c>
      <c r="L28" s="791">
        <f>'Reporting 2021'!L39</f>
        <v/>
      </c>
      <c r="M28" s="791">
        <f>IFERROR(1/M$3,1)*SUMIFS(Data!$AD$3:$AD$316,Data!$Y$3:$Y$316,M$1,Data!$Z$3:$Z$316,IF(RIGHT(M$2,3)="YTD","&lt;="&amp;LEFT(M$2,2)*1,M$2),Data!$K$3:$K$316,$B28)</f>
        <v/>
      </c>
      <c r="N28" s="791">
        <f>IFERROR(1/N$3,1)*SUMIFS(Data!$AD$3:$AD$316,Data!$Y$3:$Y$316,N$1,Data!$Z$3:$Z$316,IF(RIGHT(N$2,3)="YTD","&lt;="&amp;LEFT(N$2,2)*1,N$2),Data!$K$3:$K$316,$B28)</f>
        <v/>
      </c>
      <c r="O28" s="791">
        <f>IFERROR(1/O$3,1)*SUMIFS(Data!$AD$3:$AD$316,Data!$Y$3:$Y$316,O$1,Data!$Z$3:$Z$316,IF(RIGHT(O$2,3)="YTD","&lt;="&amp;LEFT(O$2,2)*1,O$2),Data!$K$3:$K$316,$B28)</f>
        <v/>
      </c>
      <c r="P28" s="791">
        <f>IFERROR(1/P$3,1)*SUMIFS(Data!$AD$3:$AD$316,Data!$Y$3:$Y$316,P$1,Data!$Z$3:$Z$316,IF(RIGHT(P$2,3)="YTD","&lt;="&amp;LEFT(P$2,2)*1,P$2),Data!$K$3:$K$316,$B28)</f>
        <v/>
      </c>
      <c r="Q28" s="791">
        <f>IFERROR(1/Q$3,1)*SUMIFS(Data!$AD$3:$AD$316,Data!$Y$3:$Y$316,Q$1,Data!$Z$3:$Z$316,IF(RIGHT(Q$2,3)="YTD","&lt;="&amp;LEFT(Q$2,2)*1,Q$2),Data!$K$3:$K$316,$B28)</f>
        <v/>
      </c>
      <c r="R28" s="791">
        <f>IFERROR(1/R$3,1)*SUMIFS(Data!$AD$3:$AD$316,Data!$Y$3:$Y$316,R$1,Data!$Z$3:$Z$316,IF(RIGHT(R$2,3)="YTD","&lt;="&amp;LEFT(R$2,2)*1,R$2),Data!$K$3:$K$316,$B28)</f>
        <v/>
      </c>
      <c r="S28" s="791">
        <f>IFERROR(1/S$3,1)*SUMIFS(Data!$AD$3:$AD$316,Data!$Y$3:$Y$316,S$1,Data!$Z$3:$Z$316,IF(RIGHT(S$2,3)="YTD","&lt;="&amp;LEFT(S$2,2)*1,S$2),Data!$K$3:$K$316,$B28)</f>
        <v/>
      </c>
      <c r="T28" s="791">
        <f>IFERROR(1/T$3,1)*SUMIFS(Data!$AD$3:$AD$316,Data!$Y$3:$Y$316,T$1,Data!$Z$3:$Z$316,IF(RIGHT(T$2,3)="YTD","&lt;="&amp;LEFT(T$2,2)*1,T$2),Data!$K$3:$K$316,$B28)</f>
        <v/>
      </c>
      <c r="V28" s="788">
        <f>'Reporting 2021'!M39</f>
        <v/>
      </c>
      <c r="W28" s="788">
        <f>'Reporting 2021'!N39</f>
        <v/>
      </c>
      <c r="X28" s="791">
        <f>IFERROR(1/X$3,1)*SUMIFS(Data!$AD$3:$AD$316,Data!$Y$3:$Y$316,X$1,Data!$Z$3:$Z$316,IF(RIGHT(X$2,3)="YTD","&lt;="&amp;LEFT(X$2,2)*1,X$2),Data!$K$3:$K$316,$B28)</f>
        <v/>
      </c>
      <c r="Y28" s="788" t="n">
        <v>0</v>
      </c>
      <c r="Z28" s="788" t="n">
        <v>0</v>
      </c>
      <c r="AA28" s="788">
        <f>$G28</f>
        <v/>
      </c>
      <c r="AB28" s="788">
        <f>$G28</f>
        <v/>
      </c>
      <c r="AC28" s="788">
        <f>$G28</f>
        <v/>
      </c>
      <c r="AD28" s="788" t="n"/>
      <c r="AE28" s="788">
        <f>IFERROR(1/AE$3,1)*SUMIFS(Data!$AD$3:$AD$305,Data!$Y$3:$Y$305,AE$1,Data!$Z$3:$Z$305,IF(RIGHT(AE$2,3)="YTD","&lt;="&amp;LEFT(AE$2,2)*1,AE$2),Data!$K$3:$K$305,$B9)</f>
        <v/>
      </c>
      <c r="AF28" s="788">
        <f>AJ28/12*$C$5</f>
        <v/>
      </c>
      <c r="AG28" s="789">
        <f>AE28-AF28</f>
        <v/>
      </c>
      <c r="AI28" s="788" t="n">
        <v>689300</v>
      </c>
      <c r="AJ28" s="788" t="n">
        <v>370000</v>
      </c>
    </row>
    <row r="29">
      <c r="A29" t="inlineStr">
        <is>
          <t>TT-CP-00108-20</t>
        </is>
      </c>
      <c r="B29" s="264" t="inlineStr">
        <is>
          <t>ENGINEERING IC</t>
        </is>
      </c>
      <c r="C29" s="246" t="inlineStr">
        <is>
          <t>k €</t>
        </is>
      </c>
      <c r="E29" s="788">
        <f>$AI29/E$3</f>
        <v/>
      </c>
      <c r="F29" s="788">
        <f>IFERROR(1/F$3,1)*SUMIFS(Data!$AD$3:$AD$305,Data!$Y$3:$Y$305,F$1,Data!$Z$3:$Z$305,IF(RIGHT(F$2,3)="YTD","&lt;="&amp;LEFT(F$2,2)*1,F$2),Data!$K$3:$K$305,$B29)</f>
        <v/>
      </c>
      <c r="G29" s="788">
        <f>AJ29/12</f>
        <v/>
      </c>
      <c r="H29" s="801" t="n"/>
      <c r="I29" s="791">
        <f>'Reporting 2021'!I40</f>
        <v/>
      </c>
      <c r="J29" s="791">
        <f>'Reporting 2021'!J40</f>
        <v/>
      </c>
      <c r="K29" s="791">
        <f>'Reporting 2021'!K40</f>
        <v/>
      </c>
      <c r="L29" s="791">
        <f>'Reporting 2021'!L40</f>
        <v/>
      </c>
      <c r="M29" s="791">
        <f>IFERROR(1/M$3,1)*SUMIFS(Data!$AD$3:$AD$316,Data!$Y$3:$Y$316,M$1,Data!$Z$3:$Z$316,IF(RIGHT(M$2,3)="YTD","&lt;="&amp;LEFT(M$2,2)*1,M$2),Data!$K$3:$K$316,$B29)</f>
        <v/>
      </c>
      <c r="N29" s="791">
        <f>IFERROR(1/N$3,1)*SUMIFS(Data!$AD$3:$AD$316,Data!$Y$3:$Y$316,N$1,Data!$Z$3:$Z$316,IF(RIGHT(N$2,3)="YTD","&lt;="&amp;LEFT(N$2,2)*1,N$2),Data!$K$3:$K$316,$B29)</f>
        <v/>
      </c>
      <c r="O29" s="791">
        <f>IFERROR(1/O$3,1)*SUMIFS(Data!$AD$3:$AD$316,Data!$Y$3:$Y$316,O$1,Data!$Z$3:$Z$316,IF(RIGHT(O$2,3)="YTD","&lt;="&amp;LEFT(O$2,2)*1,O$2),Data!$K$3:$K$316,$B29)</f>
        <v/>
      </c>
      <c r="P29" s="791">
        <f>IFERROR(1/P$3,1)*SUMIFS(Data!$AD$3:$AD$316,Data!$Y$3:$Y$316,P$1,Data!$Z$3:$Z$316,IF(RIGHT(P$2,3)="YTD","&lt;="&amp;LEFT(P$2,2)*1,P$2),Data!$K$3:$K$316,$B29)</f>
        <v/>
      </c>
      <c r="Q29" s="791">
        <f>IFERROR(1/Q$3,1)*SUMIFS(Data!$AD$3:$AD$316,Data!$Y$3:$Y$316,Q$1,Data!$Z$3:$Z$316,IF(RIGHT(Q$2,3)="YTD","&lt;="&amp;LEFT(Q$2,2)*1,Q$2),Data!$K$3:$K$316,$B29)</f>
        <v/>
      </c>
      <c r="R29" s="791">
        <f>IFERROR(1/R$3,1)*SUMIFS(Data!$AD$3:$AD$316,Data!$Y$3:$Y$316,R$1,Data!$Z$3:$Z$316,IF(RIGHT(R$2,3)="YTD","&lt;="&amp;LEFT(R$2,2)*1,R$2),Data!$K$3:$K$316,$B29)</f>
        <v/>
      </c>
      <c r="S29" s="791">
        <f>IFERROR(1/S$3,1)*SUMIFS(Data!$AD$3:$AD$316,Data!$Y$3:$Y$316,S$1,Data!$Z$3:$Z$316,IF(RIGHT(S$2,3)="YTD","&lt;="&amp;LEFT(S$2,2)*1,S$2),Data!$K$3:$K$316,$B29)</f>
        <v/>
      </c>
      <c r="T29" s="791">
        <f>IFERROR(1/T$3,1)*SUMIFS(Data!$AD$3:$AD$316,Data!$Y$3:$Y$316,T$1,Data!$Z$3:$Z$316,IF(RIGHT(T$2,3)="YTD","&lt;="&amp;LEFT(T$2,2)*1,T$2),Data!$K$3:$K$316,$B29)</f>
        <v/>
      </c>
      <c r="V29" s="788">
        <f>'Reporting 2021'!M40</f>
        <v/>
      </c>
      <c r="W29" s="788">
        <f>'Reporting 2021'!N40</f>
        <v/>
      </c>
      <c r="X29" s="791">
        <f>IFERROR(1/X$3,1)*SUMIFS(Data!$AD$3:$AD$316,Data!$Y$3:$Y$316,X$1,Data!$Z$3:$Z$316,IF(RIGHT(X$2,3)="YTD","&lt;="&amp;LEFT(X$2,2)*1,X$2),Data!$K$3:$K$316,$B29)</f>
        <v/>
      </c>
      <c r="Y29" s="788" t="n">
        <v>0</v>
      </c>
      <c r="Z29" s="788" t="n">
        <v>0</v>
      </c>
      <c r="AA29" s="788">
        <f>$G29</f>
        <v/>
      </c>
      <c r="AB29" s="788">
        <f>$G29</f>
        <v/>
      </c>
      <c r="AC29" s="788">
        <f>$G29</f>
        <v/>
      </c>
      <c r="AD29" s="788" t="n"/>
      <c r="AE29" s="788">
        <f>IFERROR(1/AE$3,1)*SUMIFS(Data!$AD$3:$AD$316,Data!$Y$3:$Y$316,AE$1,Data!$Z$3:$Z$316,IF(RIGHT(AE$2,3)="YTD","&lt;="&amp;LEFT(AE$2,2)*1,AE$2),Data!$K$3:$K$316,$B10)</f>
        <v/>
      </c>
      <c r="AF29" s="788">
        <f>AJ29/12*$C$5</f>
        <v/>
      </c>
      <c r="AG29" s="789">
        <f>AE29-AF29</f>
        <v/>
      </c>
      <c r="AI29" s="788" t="n">
        <v>20096</v>
      </c>
      <c r="AJ29" s="788" t="n">
        <v>0</v>
      </c>
    </row>
    <row r="30">
      <c r="B30" s="264" t="inlineStr">
        <is>
          <t>FCP AIA</t>
        </is>
      </c>
      <c r="C30" s="246" t="inlineStr">
        <is>
          <t>k €</t>
        </is>
      </c>
      <c r="E30" s="788">
        <f>$AI30/E$3</f>
        <v/>
      </c>
      <c r="F30" s="788">
        <f>IFERROR(1/F$3,1)*SUMIFS(Data!$AD$3:$AD$305,Data!$Y$3:$Y$305,F$1,Data!$Z$3:$Z$305,IF(RIGHT(F$2,3)="YTD","&lt;="&amp;LEFT(F$2,2)*1,F$2),Data!$K$3:$K$305,$B30)</f>
        <v/>
      </c>
      <c r="G30" s="788">
        <f>AJ30/12</f>
        <v/>
      </c>
      <c r="H30" s="801" t="n"/>
      <c r="I30" s="791">
        <f>'Reporting 2021'!I41</f>
        <v/>
      </c>
      <c r="J30" s="791">
        <f>'Reporting 2021'!J41</f>
        <v/>
      </c>
      <c r="K30" s="791">
        <f>'Reporting 2021'!K41</f>
        <v/>
      </c>
      <c r="L30" s="791">
        <f>'Reporting 2021'!L41</f>
        <v/>
      </c>
      <c r="M30" s="791">
        <f>IFERROR(1/M$3,1)*SUMIFS(Data!$AD$3:$AD$316,Data!$Y$3:$Y$316,M$1,Data!$Z$3:$Z$316,IF(RIGHT(M$2,3)="YTD","&lt;="&amp;LEFT(M$2,2)*1,M$2),Data!$K$3:$K$316,$B30)</f>
        <v/>
      </c>
      <c r="N30" s="791">
        <f>IFERROR(1/N$3,1)*SUMIFS(Data!$AD$3:$AD$316,Data!$Y$3:$Y$316,N$1,Data!$Z$3:$Z$316,IF(RIGHT(N$2,3)="YTD","&lt;="&amp;LEFT(N$2,2)*1,N$2),Data!$K$3:$K$316,$B30)</f>
        <v/>
      </c>
      <c r="O30" s="791">
        <f>IFERROR(1/O$3,1)*SUMIFS(Data!$AD$3:$AD$316,Data!$Y$3:$Y$316,O$1,Data!$Z$3:$Z$316,IF(RIGHT(O$2,3)="YTD","&lt;="&amp;LEFT(O$2,2)*1,O$2),Data!$K$3:$K$316,$B30)</f>
        <v/>
      </c>
      <c r="P30" s="791">
        <f>IFERROR(1/P$3,1)*SUMIFS(Data!$AD$3:$AD$316,Data!$Y$3:$Y$316,P$1,Data!$Z$3:$Z$316,IF(RIGHT(P$2,3)="YTD","&lt;="&amp;LEFT(P$2,2)*1,P$2),Data!$K$3:$K$316,$B30)</f>
        <v/>
      </c>
      <c r="Q30" s="791">
        <f>IFERROR(1/Q$3,1)*SUMIFS(Data!$AD$3:$AD$316,Data!$Y$3:$Y$316,Q$1,Data!$Z$3:$Z$316,IF(RIGHT(Q$2,3)="YTD","&lt;="&amp;LEFT(Q$2,2)*1,Q$2),Data!$K$3:$K$316,$B30)</f>
        <v/>
      </c>
      <c r="R30" s="791">
        <f>IFERROR(1/R$3,1)*SUMIFS(Data!$AD$3:$AD$316,Data!$Y$3:$Y$316,R$1,Data!$Z$3:$Z$316,IF(RIGHT(R$2,3)="YTD","&lt;="&amp;LEFT(R$2,2)*1,R$2),Data!$K$3:$K$316,$B30)</f>
        <v/>
      </c>
      <c r="S30" s="791">
        <f>IFERROR(1/S$3,1)*SUMIFS(Data!$AD$3:$AD$316,Data!$Y$3:$Y$316,S$1,Data!$Z$3:$Z$316,IF(RIGHT(S$2,3)="YTD","&lt;="&amp;LEFT(S$2,2)*1,S$2),Data!$K$3:$K$316,$B30)</f>
        <v/>
      </c>
      <c r="T30" s="791">
        <f>IFERROR(1/T$3,1)*SUMIFS(Data!$AD$3:$AD$316,Data!$Y$3:$Y$316,T$1,Data!$Z$3:$Z$316,IF(RIGHT(T$2,3)="YTD","&lt;="&amp;LEFT(T$2,2)*1,T$2),Data!$K$3:$K$316,$B30)</f>
        <v/>
      </c>
      <c r="V30" s="788">
        <f>'Reporting 2021'!M41</f>
        <v/>
      </c>
      <c r="W30" s="788">
        <f>'Reporting 2021'!N41</f>
        <v/>
      </c>
      <c r="X30" s="791">
        <f>IFERROR(1/X$3,1)*SUMIFS(Data!$AD$3:$AD$316,Data!$Y$3:$Y$316,X$1,Data!$Z$3:$Z$316,IF(RIGHT(X$2,3)="YTD","&lt;="&amp;LEFT(X$2,2)*1,X$2),Data!$K$3:$K$316,$B30)</f>
        <v/>
      </c>
      <c r="Y30" s="788" t="n">
        <v>0</v>
      </c>
      <c r="Z30" s="788" t="n">
        <v>0</v>
      </c>
      <c r="AA30" s="788">
        <f>$G30</f>
        <v/>
      </c>
      <c r="AB30" s="788">
        <f>$G30</f>
        <v/>
      </c>
      <c r="AC30" s="788">
        <f>$G30</f>
        <v/>
      </c>
      <c r="AD30" s="788" t="n"/>
      <c r="AE30" s="788">
        <f>IFERROR(1/AE$3,1)*SUMIFS(Data!$AD$3:$AD$305,Data!$Y$3:$Y$305,AE$1,Data!$Z$3:$Z$305,IF(RIGHT(AE$2,3)="YTD","&lt;="&amp;LEFT(AE$2,2)*1,AE$2),Data!$K$3:$K$305,$B11)</f>
        <v/>
      </c>
      <c r="AF30" s="788">
        <f>AJ30/12*$C$5</f>
        <v/>
      </c>
      <c r="AG30" s="789">
        <f>AE30-AF30</f>
        <v/>
      </c>
      <c r="AI30" s="788" t="n">
        <v>5075</v>
      </c>
      <c r="AJ30" s="788" t="n">
        <v>0</v>
      </c>
    </row>
    <row r="31">
      <c r="A31" t="inlineStr">
        <is>
          <t>TT-CP-00103-20</t>
        </is>
      </c>
      <c r="B31" s="264" t="inlineStr">
        <is>
          <t>FCP OTHER AIA</t>
        </is>
      </c>
      <c r="C31" s="246" t="inlineStr">
        <is>
          <t>k €</t>
        </is>
      </c>
      <c r="E31" s="788">
        <f>$AI31/E$3</f>
        <v/>
      </c>
      <c r="F31" s="788">
        <f>IFERROR(1/F$3,1)*SUMIFS(Data!$AD$3:$AD$305,Data!$Y$3:$Y$305,F$1,Data!$Z$3:$Z$305,IF(RIGHT(F$2,3)="YTD","&lt;="&amp;LEFT(F$2,2)*1,F$2),Data!$K$3:$K$305,$B31)</f>
        <v/>
      </c>
      <c r="G31" s="788">
        <f>AJ31/12</f>
        <v/>
      </c>
      <c r="H31" s="801" t="n"/>
      <c r="I31" s="791">
        <f>'Reporting 2021'!I42</f>
        <v/>
      </c>
      <c r="J31" s="791">
        <f>'Reporting 2021'!J42</f>
        <v/>
      </c>
      <c r="K31" s="791">
        <f>'Reporting 2021'!K42</f>
        <v/>
      </c>
      <c r="L31" s="791">
        <f>'Reporting 2021'!L42</f>
        <v/>
      </c>
      <c r="M31" s="791">
        <f>IFERROR(1/M$3,1)*SUMIFS(Data!$AD$3:$AD$316,Data!$Y$3:$Y$316,M$1,Data!$Z$3:$Z$316,IF(RIGHT(M$2,3)="YTD","&lt;="&amp;LEFT(M$2,2)*1,M$2),Data!$K$3:$K$316,$B31)</f>
        <v/>
      </c>
      <c r="N31" s="791">
        <f>IFERROR(1/N$3,1)*SUMIFS(Data!$AD$3:$AD$316,Data!$Y$3:$Y$316,N$1,Data!$Z$3:$Z$316,IF(RIGHT(N$2,3)="YTD","&lt;="&amp;LEFT(N$2,2)*1,N$2),Data!$K$3:$K$316,$B31)</f>
        <v/>
      </c>
      <c r="O31" s="791">
        <f>IFERROR(1/O$3,1)*SUMIFS(Data!$AD$3:$AD$316,Data!$Y$3:$Y$316,O$1,Data!$Z$3:$Z$316,IF(RIGHT(O$2,3)="YTD","&lt;="&amp;LEFT(O$2,2)*1,O$2),Data!$K$3:$K$316,$B31)</f>
        <v/>
      </c>
      <c r="P31" s="791">
        <f>IFERROR(1/P$3,1)*SUMIFS(Data!$AD$3:$AD$316,Data!$Y$3:$Y$316,P$1,Data!$Z$3:$Z$316,IF(RIGHT(P$2,3)="YTD","&lt;="&amp;LEFT(P$2,2)*1,P$2),Data!$K$3:$K$316,$B31)</f>
        <v/>
      </c>
      <c r="Q31" s="791">
        <f>IFERROR(1/Q$3,1)*SUMIFS(Data!$AD$3:$AD$316,Data!$Y$3:$Y$316,Q$1,Data!$Z$3:$Z$316,IF(RIGHT(Q$2,3)="YTD","&lt;="&amp;LEFT(Q$2,2)*1,Q$2),Data!$K$3:$K$316,$B31)</f>
        <v/>
      </c>
      <c r="R31" s="791">
        <f>IFERROR(1/R$3,1)*SUMIFS(Data!$AD$3:$AD$316,Data!$Y$3:$Y$316,R$1,Data!$Z$3:$Z$316,IF(RIGHT(R$2,3)="YTD","&lt;="&amp;LEFT(R$2,2)*1,R$2),Data!$K$3:$K$316,$B31)</f>
        <v/>
      </c>
      <c r="S31" s="791">
        <f>IFERROR(1/S$3,1)*SUMIFS(Data!$AD$3:$AD$316,Data!$Y$3:$Y$316,S$1,Data!$Z$3:$Z$316,IF(RIGHT(S$2,3)="YTD","&lt;="&amp;LEFT(S$2,2)*1,S$2),Data!$K$3:$K$316,$B31)</f>
        <v/>
      </c>
      <c r="T31" s="791">
        <f>IFERROR(1/T$3,1)*SUMIFS(Data!$AD$3:$AD$316,Data!$Y$3:$Y$316,T$1,Data!$Z$3:$Z$316,IF(RIGHT(T$2,3)="YTD","&lt;="&amp;LEFT(T$2,2)*1,T$2),Data!$K$3:$K$316,$B31)</f>
        <v/>
      </c>
      <c r="V31" s="788">
        <f>'Reporting 2021'!M42</f>
        <v/>
      </c>
      <c r="W31" s="788">
        <f>'Reporting 2021'!N42</f>
        <v/>
      </c>
      <c r="X31" s="791">
        <f>IFERROR(1/X$3,1)*SUMIFS(Data!$AD$3:$AD$316,Data!$Y$3:$Y$316,X$1,Data!$Z$3:$Z$316,IF(RIGHT(X$2,3)="YTD","&lt;="&amp;LEFT(X$2,2)*1,X$2),Data!$K$3:$K$316,$B31)</f>
        <v/>
      </c>
      <c r="Y31" s="788" t="n">
        <v>0</v>
      </c>
      <c r="Z31" s="788" t="n">
        <v>0</v>
      </c>
      <c r="AA31" s="788">
        <f>$G31</f>
        <v/>
      </c>
      <c r="AB31" s="788">
        <f>$G31</f>
        <v/>
      </c>
      <c r="AC31" s="788">
        <f>$G31</f>
        <v/>
      </c>
      <c r="AD31" s="788" t="n"/>
      <c r="AE31" s="788">
        <f>IFERROR(1/AE$3,1)*SUMIFS(Data!$AD$3:$AD$305,Data!$Y$3:$Y$305,AE$1,Data!$Z$3:$Z$305,IF(RIGHT(AE$2,3)="YTD","&lt;="&amp;LEFT(AE$2,2)*1,AE$2),Data!$K$3:$K$305,$B12)</f>
        <v/>
      </c>
      <c r="AF31" s="788">
        <f>AJ31/12*$C$5</f>
        <v/>
      </c>
      <c r="AG31" s="789">
        <f>AE31-AF31</f>
        <v/>
      </c>
      <c r="AI31" s="788" t="n">
        <v>37742.5</v>
      </c>
      <c r="AJ31" s="788" t="n">
        <v>0</v>
      </c>
    </row>
    <row r="32">
      <c r="A32" t="inlineStr">
        <is>
          <t>TT-CP-00109-20</t>
        </is>
      </c>
      <c r="B32" s="264" t="inlineStr">
        <is>
          <t>GSE to AIA</t>
        </is>
      </c>
      <c r="C32" s="246" t="inlineStr">
        <is>
          <t>k €</t>
        </is>
      </c>
      <c r="E32" s="788">
        <f>$AI32/E$3</f>
        <v/>
      </c>
      <c r="F32" s="788">
        <f>IFERROR(1/F$3,1)*SUMIFS(Data!$AD$3:$AD$305,Data!$Y$3:$Y$305,F$1,Data!$Z$3:$Z$305,IF(RIGHT(F$2,3)="YTD","&lt;="&amp;LEFT(F$2,2)*1,F$2),Data!$K$3:$K$305,$B32)</f>
        <v/>
      </c>
      <c r="G32" s="788">
        <f>AJ32/12</f>
        <v/>
      </c>
      <c r="H32" s="801" t="n"/>
      <c r="I32" s="791">
        <f>'Reporting 2021'!I43</f>
        <v/>
      </c>
      <c r="J32" s="791">
        <f>'Reporting 2021'!J43</f>
        <v/>
      </c>
      <c r="K32" s="791">
        <f>'Reporting 2021'!K43</f>
        <v/>
      </c>
      <c r="L32" s="791">
        <f>'Reporting 2021'!L43</f>
        <v/>
      </c>
      <c r="M32" s="791">
        <f>IFERROR(1/M$3,1)*SUMIFS(Data!$AD$3:$AD$316,Data!$Y$3:$Y$316,M$1,Data!$Z$3:$Z$316,IF(RIGHT(M$2,3)="YTD","&lt;="&amp;LEFT(M$2,2)*1,M$2),Data!$K$3:$K$316,$B32)</f>
        <v/>
      </c>
      <c r="N32" s="791">
        <f>IFERROR(1/N$3,1)*SUMIFS(Data!$AD$3:$AD$316,Data!$Y$3:$Y$316,N$1,Data!$Z$3:$Z$316,IF(RIGHT(N$2,3)="YTD","&lt;="&amp;LEFT(N$2,2)*1,N$2),Data!$K$3:$K$316,$B32)</f>
        <v/>
      </c>
      <c r="O32" s="791">
        <f>IFERROR(1/O$3,1)*SUMIFS(Data!$AD$3:$AD$316,Data!$Y$3:$Y$316,O$1,Data!$Z$3:$Z$316,IF(RIGHT(O$2,3)="YTD","&lt;="&amp;LEFT(O$2,2)*1,O$2),Data!$K$3:$K$316,$B32)</f>
        <v/>
      </c>
      <c r="P32" s="791">
        <f>IFERROR(1/P$3,1)*SUMIFS(Data!$AD$3:$AD$316,Data!$Y$3:$Y$316,P$1,Data!$Z$3:$Z$316,IF(RIGHT(P$2,3)="YTD","&lt;="&amp;LEFT(P$2,2)*1,P$2),Data!$K$3:$K$316,$B32)</f>
        <v/>
      </c>
      <c r="Q32" s="791">
        <f>IFERROR(1/Q$3,1)*SUMIFS(Data!$AD$3:$AD$316,Data!$Y$3:$Y$316,Q$1,Data!$Z$3:$Z$316,IF(RIGHT(Q$2,3)="YTD","&lt;="&amp;LEFT(Q$2,2)*1,Q$2),Data!$K$3:$K$316,$B32)</f>
        <v/>
      </c>
      <c r="R32" s="791">
        <f>IFERROR(1/R$3,1)*SUMIFS(Data!$AD$3:$AD$316,Data!$Y$3:$Y$316,R$1,Data!$Z$3:$Z$316,IF(RIGHT(R$2,3)="YTD","&lt;="&amp;LEFT(R$2,2)*1,R$2),Data!$K$3:$K$316,$B32)</f>
        <v/>
      </c>
      <c r="S32" s="791">
        <f>IFERROR(1/S$3,1)*SUMIFS(Data!$AD$3:$AD$316,Data!$Y$3:$Y$316,S$1,Data!$Z$3:$Z$316,IF(RIGHT(S$2,3)="YTD","&lt;="&amp;LEFT(S$2,2)*1,S$2),Data!$K$3:$K$316,$B32)</f>
        <v/>
      </c>
      <c r="T32" s="791">
        <f>IFERROR(1/T$3,1)*SUMIFS(Data!$AD$3:$AD$316,Data!$Y$3:$Y$316,T$1,Data!$Z$3:$Z$316,IF(RIGHT(T$2,3)="YTD","&lt;="&amp;LEFT(T$2,2)*1,T$2),Data!$K$3:$K$316,$B32)</f>
        <v/>
      </c>
      <c r="V32" s="788">
        <f>'Reporting 2021'!M43</f>
        <v/>
      </c>
      <c r="W32" s="788">
        <f>'Reporting 2021'!N43</f>
        <v/>
      </c>
      <c r="X32" s="791">
        <f>IFERROR(1/X$3,1)*SUMIFS(Data!$AD$3:$AD$316,Data!$Y$3:$Y$316,X$1,Data!$Z$3:$Z$316,IF(RIGHT(X$2,3)="YTD","&lt;="&amp;LEFT(X$2,2)*1,X$2),Data!$K$3:$K$316,$B32)</f>
        <v/>
      </c>
      <c r="Y32" s="788" t="n">
        <v>0</v>
      </c>
      <c r="Z32" s="788" t="n">
        <v>0</v>
      </c>
      <c r="AA32" s="788">
        <f>$G32</f>
        <v/>
      </c>
      <c r="AB32" s="788">
        <f>$G32</f>
        <v/>
      </c>
      <c r="AC32" s="788">
        <f>$G32</f>
        <v/>
      </c>
      <c r="AD32" s="788" t="n"/>
      <c r="AE32" s="788">
        <f>IFERROR(1/AE$3,1)*SUMIFS(Data!$AD$3:$AD$305,Data!$Y$3:$Y$305,AE$1,Data!$Z$3:$Z$305,IF(RIGHT(AE$2,3)="YTD","&lt;="&amp;LEFT(AE$2,2)*1,AE$2),Data!$K$3:$K$305,$B13)</f>
        <v/>
      </c>
      <c r="AF32" s="788">
        <f>AJ32/12*$C$5</f>
        <v/>
      </c>
      <c r="AG32" s="789">
        <f>AE32-AF32</f>
        <v/>
      </c>
      <c r="AI32" s="788" t="n">
        <v>271320</v>
      </c>
      <c r="AJ32" s="788" t="n">
        <v>0</v>
      </c>
    </row>
    <row r="33">
      <c r="A33" t="inlineStr">
        <is>
          <t>TT-CP-00101-20</t>
        </is>
      </c>
      <c r="B33" s="264" t="inlineStr">
        <is>
          <t>SERVICE AIA</t>
        </is>
      </c>
      <c r="C33" s="246" t="inlineStr">
        <is>
          <t>k €</t>
        </is>
      </c>
      <c r="E33" s="788">
        <f>$AI33/E$3</f>
        <v/>
      </c>
      <c r="F33" s="788">
        <f>IFERROR(1/F$3,1)*SUMIFS(Data!$AD$3:$AD$305,Data!$Y$3:$Y$305,F$1,Data!$Z$3:$Z$305,IF(RIGHT(F$2,3)="YTD","&lt;="&amp;LEFT(F$2,2)*1,F$2),Data!$K$3:$K$305,$B33)</f>
        <v/>
      </c>
      <c r="G33" s="788">
        <f>AJ33/12</f>
        <v/>
      </c>
      <c r="H33" s="801" t="n"/>
      <c r="I33" s="791">
        <f>'Reporting 2021'!I44</f>
        <v/>
      </c>
      <c r="J33" s="791">
        <f>'Reporting 2021'!J44</f>
        <v/>
      </c>
      <c r="K33" s="791">
        <f>'Reporting 2021'!K44</f>
        <v/>
      </c>
      <c r="L33" s="791">
        <f>'Reporting 2021'!L44</f>
        <v/>
      </c>
      <c r="M33" s="791">
        <f>IFERROR(1/M$3,1)*SUMIFS(Data!$AD$3:$AD$316,Data!$Y$3:$Y$316,M$1,Data!$Z$3:$Z$316,IF(RIGHT(M$2,3)="YTD","&lt;="&amp;LEFT(M$2,2)*1,M$2),Data!$K$3:$K$316,$B33)</f>
        <v/>
      </c>
      <c r="N33" s="791">
        <f>IFERROR(1/N$3,1)*SUMIFS(Data!$AD$3:$AD$316,Data!$Y$3:$Y$316,N$1,Data!$Z$3:$Z$316,IF(RIGHT(N$2,3)="YTD","&lt;="&amp;LEFT(N$2,2)*1,N$2),Data!$K$3:$K$316,$B33)</f>
        <v/>
      </c>
      <c r="O33" s="791">
        <f>IFERROR(1/O$3,1)*SUMIFS(Data!$AD$3:$AD$316,Data!$Y$3:$Y$316,O$1,Data!$Z$3:$Z$316,IF(RIGHT(O$2,3)="YTD","&lt;="&amp;LEFT(O$2,2)*1,O$2),Data!$K$3:$K$316,$B33)</f>
        <v/>
      </c>
      <c r="P33" s="791">
        <f>IFERROR(1/P$3,1)*SUMIFS(Data!$AD$3:$AD$316,Data!$Y$3:$Y$316,P$1,Data!$Z$3:$Z$316,IF(RIGHT(P$2,3)="YTD","&lt;="&amp;LEFT(P$2,2)*1,P$2),Data!$K$3:$K$316,$B33)</f>
        <v/>
      </c>
      <c r="Q33" s="791">
        <f>IFERROR(1/Q$3,1)*SUMIFS(Data!$AD$3:$AD$316,Data!$Y$3:$Y$316,Q$1,Data!$Z$3:$Z$316,IF(RIGHT(Q$2,3)="YTD","&lt;="&amp;LEFT(Q$2,2)*1,Q$2),Data!$K$3:$K$316,$B33)</f>
        <v/>
      </c>
      <c r="R33" s="791">
        <f>IFERROR(1/R$3,1)*SUMIFS(Data!$AD$3:$AD$316,Data!$Y$3:$Y$316,R$1,Data!$Z$3:$Z$316,IF(RIGHT(R$2,3)="YTD","&lt;="&amp;LEFT(R$2,2)*1,R$2),Data!$K$3:$K$316,$B33)</f>
        <v/>
      </c>
      <c r="S33" s="791">
        <f>IFERROR(1/S$3,1)*SUMIFS(Data!$AD$3:$AD$316,Data!$Y$3:$Y$316,S$1,Data!$Z$3:$Z$316,IF(RIGHT(S$2,3)="YTD","&lt;="&amp;LEFT(S$2,2)*1,S$2),Data!$K$3:$K$316,$B33)</f>
        <v/>
      </c>
      <c r="T33" s="791">
        <f>IFERROR(1/T$3,1)*SUMIFS(Data!$AD$3:$AD$316,Data!$Y$3:$Y$316,T$1,Data!$Z$3:$Z$316,IF(RIGHT(T$2,3)="YTD","&lt;="&amp;LEFT(T$2,2)*1,T$2),Data!$K$3:$K$316,$B33)</f>
        <v/>
      </c>
      <c r="V33" s="788">
        <f>'Reporting 2021'!M44</f>
        <v/>
      </c>
      <c r="W33" s="788">
        <f>'Reporting 2021'!N44</f>
        <v/>
      </c>
      <c r="X33" s="791">
        <f>IFERROR(1/X$3,1)*SUMIFS(Data!$AD$3:$AD$316,Data!$Y$3:$Y$316,X$1,Data!$Z$3:$Z$316,IF(RIGHT(X$2,3)="YTD","&lt;="&amp;LEFT(X$2,2)*1,X$2),Data!$K$3:$K$316,$B33)</f>
        <v/>
      </c>
      <c r="Y33" s="788" t="n">
        <v>0</v>
      </c>
      <c r="Z33" s="788" t="n">
        <v>4770</v>
      </c>
      <c r="AA33" s="788">
        <f>$G33</f>
        <v/>
      </c>
      <c r="AB33" s="788">
        <f>$G33</f>
        <v/>
      </c>
      <c r="AC33" s="788">
        <f>$G33</f>
        <v/>
      </c>
      <c r="AD33" s="788" t="n"/>
      <c r="AE33" s="788">
        <f>IFERROR(1/AE$3,1)*SUMIFS(Data!$AD$3:$AD$305,Data!$Y$3:$Y$305,AE$1,Data!$Z$3:$Z$305,IF(RIGHT(AE$2,3)="YTD","&lt;="&amp;LEFT(AE$2,2)*1,AE$2),Data!$K$3:$K$305,$B14)</f>
        <v/>
      </c>
      <c r="AF33" s="788">
        <f>AJ33/12*$C$5</f>
        <v/>
      </c>
      <c r="AG33" s="789">
        <f>AE33-AF33</f>
        <v/>
      </c>
      <c r="AI33" s="788" t="n">
        <v>45130</v>
      </c>
      <c r="AJ33" s="788" t="n">
        <v>250000</v>
      </c>
    </row>
    <row r="34">
      <c r="A34" t="inlineStr">
        <is>
          <t>TT-CP-00102-20</t>
        </is>
      </c>
      <c r="B34" s="264" t="inlineStr">
        <is>
          <t>SERVICE IC</t>
        </is>
      </c>
      <c r="C34" s="246" t="inlineStr">
        <is>
          <t>k €</t>
        </is>
      </c>
      <c r="E34" s="788">
        <f>$AI34/E$3</f>
        <v/>
      </c>
      <c r="F34" s="788">
        <f>IFERROR(1/F$3,1)*SUMIFS(Data!$AD$3:$AD$305,Data!$Y$3:$Y$305,F$1,Data!$Z$3:$Z$305,IF(RIGHT(F$2,3)="YTD","&lt;="&amp;LEFT(F$2,2)*1,F$2),Data!$K$3:$K$305,$B34)</f>
        <v/>
      </c>
      <c r="G34" s="788">
        <f>AJ34/12</f>
        <v/>
      </c>
      <c r="H34" s="801" t="n"/>
      <c r="I34" s="791">
        <f>'Reporting 2021'!I45</f>
        <v/>
      </c>
      <c r="J34" s="791">
        <f>'Reporting 2021'!J45</f>
        <v/>
      </c>
      <c r="K34" s="791">
        <f>'Reporting 2021'!K45</f>
        <v/>
      </c>
      <c r="L34" s="791">
        <f>'Reporting 2021'!L45</f>
        <v/>
      </c>
      <c r="M34" s="791">
        <f>IFERROR(1/M$3,1)*SUMIFS(Data!$AD$3:$AD$316,Data!$Y$3:$Y$316,M$1,Data!$Z$3:$Z$316,IF(RIGHT(M$2,3)="YTD","&lt;="&amp;LEFT(M$2,2)*1,M$2),Data!$K$3:$K$316,$B34)</f>
        <v/>
      </c>
      <c r="N34" s="791">
        <f>IFERROR(1/N$3,1)*SUMIFS(Data!$AD$3:$AD$316,Data!$Y$3:$Y$316,N$1,Data!$Z$3:$Z$316,IF(RIGHT(N$2,3)="YTD","&lt;="&amp;LEFT(N$2,2)*1,N$2),Data!$K$3:$K$316,$B34)</f>
        <v/>
      </c>
      <c r="O34" s="791">
        <f>IFERROR(1/O$3,1)*SUMIFS(Data!$AD$3:$AD$316,Data!$Y$3:$Y$316,O$1,Data!$Z$3:$Z$316,IF(RIGHT(O$2,3)="YTD","&lt;="&amp;LEFT(O$2,2)*1,O$2),Data!$K$3:$K$316,$B34)</f>
        <v/>
      </c>
      <c r="P34" s="791">
        <f>IFERROR(1/P$3,1)*SUMIFS(Data!$AD$3:$AD$316,Data!$Y$3:$Y$316,P$1,Data!$Z$3:$Z$316,IF(RIGHT(P$2,3)="YTD","&lt;="&amp;LEFT(P$2,2)*1,P$2),Data!$K$3:$K$316,$B34)</f>
        <v/>
      </c>
      <c r="Q34" s="791">
        <f>IFERROR(1/Q$3,1)*SUMIFS(Data!$AD$3:$AD$316,Data!$Y$3:$Y$316,Q$1,Data!$Z$3:$Z$316,IF(RIGHT(Q$2,3)="YTD","&lt;="&amp;LEFT(Q$2,2)*1,Q$2),Data!$K$3:$K$316,$B34)</f>
        <v/>
      </c>
      <c r="R34" s="791">
        <f>IFERROR(1/R$3,1)*SUMIFS(Data!$AD$3:$AD$316,Data!$Y$3:$Y$316,R$1,Data!$Z$3:$Z$316,IF(RIGHT(R$2,3)="YTD","&lt;="&amp;LEFT(R$2,2)*1,R$2),Data!$K$3:$K$316,$B34)</f>
        <v/>
      </c>
      <c r="S34" s="791">
        <f>IFERROR(1/S$3,1)*SUMIFS(Data!$AD$3:$AD$316,Data!$Y$3:$Y$316,S$1,Data!$Z$3:$Z$316,IF(RIGHT(S$2,3)="YTD","&lt;="&amp;LEFT(S$2,2)*1,S$2),Data!$K$3:$K$316,$B34)</f>
        <v/>
      </c>
      <c r="T34" s="791">
        <f>IFERROR(1/T$3,1)*SUMIFS(Data!$AD$3:$AD$316,Data!$Y$3:$Y$316,T$1,Data!$Z$3:$Z$316,IF(RIGHT(T$2,3)="YTD","&lt;="&amp;LEFT(T$2,2)*1,T$2),Data!$K$3:$K$316,$B34)</f>
        <v/>
      </c>
      <c r="V34" s="788">
        <f>'Reporting 2021'!M45</f>
        <v/>
      </c>
      <c r="W34" s="788">
        <f>'Reporting 2021'!N45</f>
        <v/>
      </c>
      <c r="X34" s="791">
        <f>IFERROR(1/X$3,1)*SUMIFS(Data!$AD$3:$AD$316,Data!$Y$3:$Y$316,X$1,Data!$Z$3:$Z$316,IF(RIGHT(X$2,3)="YTD","&lt;="&amp;LEFT(X$2,2)*1,X$2),Data!$K$3:$K$316,$B34)</f>
        <v/>
      </c>
      <c r="Y34" s="788" t="n">
        <v>0</v>
      </c>
      <c r="Z34" s="788" t="n">
        <v>0</v>
      </c>
      <c r="AA34" s="788">
        <f>$G34</f>
        <v/>
      </c>
      <c r="AB34" s="788">
        <f>$G34</f>
        <v/>
      </c>
      <c r="AC34" s="788">
        <f>$G34</f>
        <v/>
      </c>
      <c r="AD34" s="788" t="n"/>
      <c r="AE34" s="788">
        <f>IFERROR(1/AE$3,1)*SUMIFS(Data!$AD$3:$AD$305,Data!$Y$3:$Y$305,AE$1,Data!$Z$3:$Z$305,IF(RIGHT(AE$2,3)="YTD","&lt;="&amp;LEFT(AE$2,2)*1,AE$2),Data!$K$3:$K$305,$B15)</f>
        <v/>
      </c>
      <c r="AF34" s="788">
        <f>AJ34/12*$C$5</f>
        <v/>
      </c>
      <c r="AG34" s="789">
        <f>AE34-AF34</f>
        <v/>
      </c>
      <c r="AI34" s="788" t="n">
        <v>127114</v>
      </c>
      <c r="AJ34" s="788" t="n">
        <v>45000</v>
      </c>
    </row>
    <row r="35">
      <c r="A35" t="inlineStr">
        <is>
          <t>TT-CP-00100-20</t>
        </is>
      </c>
      <c r="B35" s="264" t="inlineStr">
        <is>
          <t>SERVICE OTHER AIA</t>
        </is>
      </c>
      <c r="C35" s="246" t="inlineStr">
        <is>
          <t>k €</t>
        </is>
      </c>
      <c r="E35" s="788">
        <f>$AI35/E$3</f>
        <v/>
      </c>
      <c r="F35" s="788">
        <f>IFERROR(1/F$3,1)*SUMIFS(Data!$AD$3:$AD$305,Data!$Y$3:$Y$305,F$1,Data!$Z$3:$Z$305,IF(RIGHT(F$2,3)="YTD","&lt;="&amp;LEFT(F$2,2)*1,F$2),Data!$K$3:$K$305,$B35)</f>
        <v/>
      </c>
      <c r="G35" s="788">
        <f>AJ35/12</f>
        <v/>
      </c>
      <c r="H35" s="801" t="n"/>
      <c r="I35" s="791">
        <f>'Reporting 2021'!I46</f>
        <v/>
      </c>
      <c r="J35" s="791">
        <f>'Reporting 2021'!J46</f>
        <v/>
      </c>
      <c r="K35" s="791">
        <f>'Reporting 2021'!K46</f>
        <v/>
      </c>
      <c r="L35" s="791">
        <f>'Reporting 2021'!L46</f>
        <v/>
      </c>
      <c r="M35" s="791">
        <f>IFERROR(1/M$3,1)*SUMIFS(Data!$AD$3:$AD$316,Data!$Y$3:$Y$316,M$1,Data!$Z$3:$Z$316,IF(RIGHT(M$2,3)="YTD","&lt;="&amp;LEFT(M$2,2)*1,M$2),Data!$K$3:$K$316,$B35)</f>
        <v/>
      </c>
      <c r="N35" s="791">
        <f>IFERROR(1/N$3,1)*SUMIFS(Data!$AD$3:$AD$316,Data!$Y$3:$Y$316,N$1,Data!$Z$3:$Z$316,IF(RIGHT(N$2,3)="YTD","&lt;="&amp;LEFT(N$2,2)*1,N$2),Data!$K$3:$K$316,$B35)</f>
        <v/>
      </c>
      <c r="O35" s="791">
        <f>IFERROR(1/O$3,1)*SUMIFS(Data!$AD$3:$AD$316,Data!$Y$3:$Y$316,O$1,Data!$Z$3:$Z$316,IF(RIGHT(O$2,3)="YTD","&lt;="&amp;LEFT(O$2,2)*1,O$2),Data!$K$3:$K$316,$B35)</f>
        <v/>
      </c>
      <c r="P35" s="791">
        <f>IFERROR(1/P$3,1)*SUMIFS(Data!$AD$3:$AD$316,Data!$Y$3:$Y$316,P$1,Data!$Z$3:$Z$316,IF(RIGHT(P$2,3)="YTD","&lt;="&amp;LEFT(P$2,2)*1,P$2),Data!$K$3:$K$316,$B35)</f>
        <v/>
      </c>
      <c r="Q35" s="791">
        <f>IFERROR(1/Q$3,1)*SUMIFS(Data!$AD$3:$AD$316,Data!$Y$3:$Y$316,Q$1,Data!$Z$3:$Z$316,IF(RIGHT(Q$2,3)="YTD","&lt;="&amp;LEFT(Q$2,2)*1,Q$2),Data!$K$3:$K$316,$B35)</f>
        <v/>
      </c>
      <c r="R35" s="791">
        <f>IFERROR(1/R$3,1)*SUMIFS(Data!$AD$3:$AD$316,Data!$Y$3:$Y$316,R$1,Data!$Z$3:$Z$316,IF(RIGHT(R$2,3)="YTD","&lt;="&amp;LEFT(R$2,2)*1,R$2),Data!$K$3:$K$316,$B35)</f>
        <v/>
      </c>
      <c r="S35" s="791">
        <f>IFERROR(1/S$3,1)*SUMIFS(Data!$AD$3:$AD$316,Data!$Y$3:$Y$316,S$1,Data!$Z$3:$Z$316,IF(RIGHT(S$2,3)="YTD","&lt;="&amp;LEFT(S$2,2)*1,S$2),Data!$K$3:$K$316,$B35)</f>
        <v/>
      </c>
      <c r="T35" s="791">
        <f>IFERROR(1/T$3,1)*SUMIFS(Data!$AD$3:$AD$316,Data!$Y$3:$Y$316,T$1,Data!$Z$3:$Z$316,IF(RIGHT(T$2,3)="YTD","&lt;="&amp;LEFT(T$2,2)*1,T$2),Data!$K$3:$K$316,$B35)</f>
        <v/>
      </c>
      <c r="V35" s="788">
        <f>'Reporting 2021'!M46</f>
        <v/>
      </c>
      <c r="W35" s="788">
        <f>'Reporting 2021'!N46</f>
        <v/>
      </c>
      <c r="X35" s="791">
        <f>IFERROR(1/X$3,1)*SUMIFS(Data!$AD$3:$AD$316,Data!$Y$3:$Y$316,X$1,Data!$Z$3:$Z$316,IF(RIGHT(X$2,3)="YTD","&lt;="&amp;LEFT(X$2,2)*1,X$2),Data!$K$3:$K$316,$B35)</f>
        <v/>
      </c>
      <c r="Y35" s="788" t="n">
        <v>27271.5</v>
      </c>
      <c r="Z35" s="788" t="n">
        <v>12588.5</v>
      </c>
      <c r="AA35" s="788">
        <f>$G35</f>
        <v/>
      </c>
      <c r="AB35" s="788">
        <f>$G35</f>
        <v/>
      </c>
      <c r="AC35" s="788">
        <f>$G35</f>
        <v/>
      </c>
      <c r="AD35" s="788" t="n"/>
      <c r="AE35" s="788">
        <f>IFERROR(1/AE$3,1)*SUMIFS(Data!$AD$3:$AD$305,Data!$Y$3:$Y$305,AE$1,Data!$Z$3:$Z$305,IF(RIGHT(AE$2,3)="YTD","&lt;="&amp;LEFT(AE$2,2)*1,AE$2),Data!$K$3:$K$305,$B16)</f>
        <v/>
      </c>
      <c r="AF35" s="788">
        <f>AJ35/12*$C$5</f>
        <v/>
      </c>
      <c r="AG35" s="789">
        <f>AE35-AF35</f>
        <v/>
      </c>
      <c r="AI35" s="788" t="n">
        <v>130576</v>
      </c>
      <c r="AJ35" s="788" t="n">
        <v>250000</v>
      </c>
    </row>
    <row r="36">
      <c r="A36" t="inlineStr">
        <is>
          <t>TT-CP-00110-20</t>
        </is>
      </c>
      <c r="B36" s="264" t="inlineStr">
        <is>
          <t>TRADING OTHER AIA</t>
        </is>
      </c>
      <c r="C36" s="246" t="inlineStr">
        <is>
          <t>k €</t>
        </is>
      </c>
      <c r="E36" s="788">
        <f>$AI36/E$3</f>
        <v/>
      </c>
      <c r="F36" s="788">
        <f>IFERROR(1/F$3,1)*SUMIFS(Data!$AD$3:$AD$305,Data!$Y$3:$Y$305,F$1,Data!$Z$3:$Z$305,IF(RIGHT(F$2,3)="YTD","&lt;="&amp;LEFT(F$2,2)*1,F$2),Data!$K$3:$K$305,$B36)</f>
        <v/>
      </c>
      <c r="G36" s="788">
        <f>AJ36/12</f>
        <v/>
      </c>
      <c r="H36" s="801" t="n"/>
      <c r="I36" s="791">
        <f>'Reporting 2021'!I47</f>
        <v/>
      </c>
      <c r="J36" s="791">
        <f>'Reporting 2021'!J47</f>
        <v/>
      </c>
      <c r="K36" s="791">
        <f>'Reporting 2021'!K47</f>
        <v/>
      </c>
      <c r="L36" s="791">
        <f>'Reporting 2021'!L47</f>
        <v/>
      </c>
      <c r="M36" s="791">
        <f>IFERROR(1/M$3,1)*SUMIFS(Data!$AD$3:$AD$316,Data!$Y$3:$Y$316,M$1,Data!$Z$3:$Z$316,IF(RIGHT(M$2,3)="YTD","&lt;="&amp;LEFT(M$2,2)*1,M$2),Data!$K$3:$K$316,$B36)</f>
        <v/>
      </c>
      <c r="N36" s="791">
        <f>IFERROR(1/N$3,1)*SUMIFS(Data!$AD$3:$AD$316,Data!$Y$3:$Y$316,N$1,Data!$Z$3:$Z$316,IF(RIGHT(N$2,3)="YTD","&lt;="&amp;LEFT(N$2,2)*1,N$2),Data!$K$3:$K$316,$B36)</f>
        <v/>
      </c>
      <c r="O36" s="791">
        <f>IFERROR(1/O$3,1)*SUMIFS(Data!$AD$3:$AD$316,Data!$Y$3:$Y$316,O$1,Data!$Z$3:$Z$316,IF(RIGHT(O$2,3)="YTD","&lt;="&amp;LEFT(O$2,2)*1,O$2),Data!$K$3:$K$316,$B36)</f>
        <v/>
      </c>
      <c r="P36" s="791">
        <f>IFERROR(1/P$3,1)*SUMIFS(Data!$AD$3:$AD$316,Data!$Y$3:$Y$316,P$1,Data!$Z$3:$Z$316,IF(RIGHT(P$2,3)="YTD","&lt;="&amp;LEFT(P$2,2)*1,P$2),Data!$K$3:$K$316,$B36)</f>
        <v/>
      </c>
      <c r="Q36" s="791">
        <f>IFERROR(1/Q$3,1)*SUMIFS(Data!$AD$3:$AD$316,Data!$Y$3:$Y$316,Q$1,Data!$Z$3:$Z$316,IF(RIGHT(Q$2,3)="YTD","&lt;="&amp;LEFT(Q$2,2)*1,Q$2),Data!$K$3:$K$316,$B36)</f>
        <v/>
      </c>
      <c r="R36" s="791">
        <f>IFERROR(1/R$3,1)*SUMIFS(Data!$AD$3:$AD$316,Data!$Y$3:$Y$316,R$1,Data!$Z$3:$Z$316,IF(RIGHT(R$2,3)="YTD","&lt;="&amp;LEFT(R$2,2)*1,R$2),Data!$K$3:$K$316,$B36)</f>
        <v/>
      </c>
      <c r="S36" s="791">
        <f>IFERROR(1/S$3,1)*SUMIFS(Data!$AD$3:$AD$316,Data!$Y$3:$Y$316,S$1,Data!$Z$3:$Z$316,IF(RIGHT(S$2,3)="YTD","&lt;="&amp;LEFT(S$2,2)*1,S$2),Data!$K$3:$K$316,$B36)</f>
        <v/>
      </c>
      <c r="T36" s="791">
        <f>IFERROR(1/T$3,1)*SUMIFS(Data!$AD$3:$AD$316,Data!$Y$3:$Y$316,T$1,Data!$Z$3:$Z$316,IF(RIGHT(T$2,3)="YTD","&lt;="&amp;LEFT(T$2,2)*1,T$2),Data!$K$3:$K$316,$B36)</f>
        <v/>
      </c>
      <c r="V36" s="788">
        <f>'Reporting 2021'!M47</f>
        <v/>
      </c>
      <c r="W36" s="788">
        <f>'Reporting 2021'!N47</f>
        <v/>
      </c>
      <c r="X36" s="791">
        <f>IFERROR(1/X$3,1)*SUMIFS(Data!$AD$3:$AD$316,Data!$Y$3:$Y$316,X$1,Data!$Z$3:$Z$316,IF(RIGHT(X$2,3)="YTD","&lt;="&amp;LEFT(X$2,2)*1,X$2),Data!$K$3:$K$316,$B36)</f>
        <v/>
      </c>
      <c r="Y36" s="788" t="n">
        <v>0</v>
      </c>
      <c r="Z36" s="788" t="n">
        <v>40.5</v>
      </c>
      <c r="AA36" s="788">
        <f>$G36</f>
        <v/>
      </c>
      <c r="AB36" s="788">
        <f>$G36</f>
        <v/>
      </c>
      <c r="AC36" s="788">
        <f>$G36</f>
        <v/>
      </c>
      <c r="AD36" s="788" t="n"/>
      <c r="AE36" s="788">
        <f>IFERROR(1/AE$3,1)*SUMIFS(Data!$AD$3:$AD$305,Data!$Y$3:$Y$305,AE$1,Data!$Z$3:$Z$305,IF(RIGHT(AE$2,3)="YTD","&lt;="&amp;LEFT(AE$2,2)*1,AE$2),Data!$K$3:$K$305,$B17)</f>
        <v/>
      </c>
      <c r="AF36" s="788">
        <f>AJ36/12*$C$5</f>
        <v/>
      </c>
      <c r="AG36" s="789">
        <f>AE36-AF36</f>
        <v/>
      </c>
      <c r="AI36" s="788" t="n">
        <v>8904</v>
      </c>
      <c r="AJ36" s="788" t="n">
        <v>0</v>
      </c>
    </row>
    <row r="37">
      <c r="B37" s="264" t="inlineStr">
        <is>
          <t>TRADING AIA</t>
        </is>
      </c>
      <c r="C37" s="246" t="inlineStr">
        <is>
          <t>k €</t>
        </is>
      </c>
      <c r="E37" s="788">
        <f>$AI37/E$3</f>
        <v/>
      </c>
      <c r="F37" s="788">
        <f>IFERROR(1/F$3,1)*SUMIFS(Data!$AD$3:$AD$305,Data!$Y$3:$Y$305,F$1,Data!$Z$3:$Z$305,IF(RIGHT(F$2,3)="YTD","&lt;="&amp;LEFT(F$2,2)*1,F$2),Data!$K$3:$K$305,$B37)</f>
        <v/>
      </c>
      <c r="G37" s="788">
        <f>AJ37/12</f>
        <v/>
      </c>
      <c r="H37" s="801" t="n"/>
      <c r="I37" s="791">
        <f>'Reporting 2021'!I48</f>
        <v/>
      </c>
      <c r="J37" s="791">
        <f>'Reporting 2021'!J48</f>
        <v/>
      </c>
      <c r="K37" s="791">
        <f>'Reporting 2021'!K48</f>
        <v/>
      </c>
      <c r="L37" s="791">
        <f>'Reporting 2021'!L48</f>
        <v/>
      </c>
      <c r="M37" s="791">
        <f>IFERROR(1/M$3,1)*SUMIFS(Data!$AD$3:$AD$316,Data!$Y$3:$Y$316,M$1,Data!$Z$3:$Z$316,IF(RIGHT(M$2,3)="YTD","&lt;="&amp;LEFT(M$2,2)*1,M$2),Data!$K$3:$K$316,$B37)</f>
        <v/>
      </c>
      <c r="N37" s="791">
        <f>IFERROR(1/N$3,1)*SUMIFS(Data!$AD$3:$AD$316,Data!$Y$3:$Y$316,N$1,Data!$Z$3:$Z$316,IF(RIGHT(N$2,3)="YTD","&lt;="&amp;LEFT(N$2,2)*1,N$2),Data!$K$3:$K$316,$B37)</f>
        <v/>
      </c>
      <c r="O37" s="791">
        <f>IFERROR(1/O$3,1)*SUMIFS(Data!$AD$3:$AD$316,Data!$Y$3:$Y$316,O$1,Data!$Z$3:$Z$316,IF(RIGHT(O$2,3)="YTD","&lt;="&amp;LEFT(O$2,2)*1,O$2),Data!$K$3:$K$316,$B37)</f>
        <v/>
      </c>
      <c r="P37" s="791">
        <f>IFERROR(1/P$3,1)*SUMIFS(Data!$AD$3:$AD$316,Data!$Y$3:$Y$316,P$1,Data!$Z$3:$Z$316,IF(RIGHT(P$2,3)="YTD","&lt;="&amp;LEFT(P$2,2)*1,P$2),Data!$K$3:$K$316,$B37)</f>
        <v/>
      </c>
      <c r="Q37" s="791">
        <f>IFERROR(1/Q$3,1)*SUMIFS(Data!$AD$3:$AD$316,Data!$Y$3:$Y$316,Q$1,Data!$Z$3:$Z$316,IF(RIGHT(Q$2,3)="YTD","&lt;="&amp;LEFT(Q$2,2)*1,Q$2),Data!$K$3:$K$316,$B37)</f>
        <v/>
      </c>
      <c r="R37" s="791">
        <f>IFERROR(1/R$3,1)*SUMIFS(Data!$AD$3:$AD$316,Data!$Y$3:$Y$316,R$1,Data!$Z$3:$Z$316,IF(RIGHT(R$2,3)="YTD","&lt;="&amp;LEFT(R$2,2)*1,R$2),Data!$K$3:$K$316,$B37)</f>
        <v/>
      </c>
      <c r="S37" s="791">
        <f>IFERROR(1/S$3,1)*SUMIFS(Data!$AD$3:$AD$316,Data!$Y$3:$Y$316,S$1,Data!$Z$3:$Z$316,IF(RIGHT(S$2,3)="YTD","&lt;="&amp;LEFT(S$2,2)*1,S$2),Data!$K$3:$K$316,$B37)</f>
        <v/>
      </c>
      <c r="T37" s="791">
        <f>IFERROR(1/T$3,1)*SUMIFS(Data!$AD$3:$AD$316,Data!$Y$3:$Y$316,T$1,Data!$Z$3:$Z$316,IF(RIGHT(T$2,3)="YTD","&lt;="&amp;LEFT(T$2,2)*1,T$2),Data!$K$3:$K$316,$B37)</f>
        <v/>
      </c>
      <c r="V37" s="788">
        <f>'Reporting 2021'!M48</f>
        <v/>
      </c>
      <c r="W37" s="788">
        <f>'Reporting 2021'!N48</f>
        <v/>
      </c>
      <c r="X37" s="791">
        <f>IFERROR(1/X$3,1)*SUMIFS(Data!$AD$3:$AD$316,Data!$Y$3:$Y$316,X$1,Data!$Z$3:$Z$316,IF(RIGHT(X$2,3)="YTD","&lt;="&amp;LEFT(X$2,2)*1,X$2),Data!$K$3:$K$316,$B37)</f>
        <v/>
      </c>
      <c r="Y37" s="788" t="n">
        <v>0</v>
      </c>
      <c r="Z37" s="788" t="n">
        <v>0</v>
      </c>
      <c r="AA37" s="788">
        <f>$G37</f>
        <v/>
      </c>
      <c r="AB37" s="788">
        <f>$G37</f>
        <v/>
      </c>
      <c r="AC37" s="788">
        <f>$G37</f>
        <v/>
      </c>
      <c r="AD37" s="788" t="n"/>
      <c r="AE37" s="788">
        <f>IFERROR(1/AE$3,1)*SUMIFS(Data!$AD$3:$AD$305,Data!$Y$3:$Y$305,AE$1,Data!$Z$3:$Z$305,IF(RIGHT(AE$2,3)="YTD","&lt;="&amp;LEFT(AE$2,2)*1,AE$2),Data!$K$3:$K$305,$B18)</f>
        <v/>
      </c>
      <c r="AF37" s="788">
        <f>AJ37/12*$C$5</f>
        <v/>
      </c>
      <c r="AG37" s="789">
        <f>AE37-AF37</f>
        <v/>
      </c>
      <c r="AI37" s="788" t="n">
        <v>271320</v>
      </c>
      <c r="AJ37" s="788" t="n">
        <v>0</v>
      </c>
    </row>
    <row r="38" customFormat="1" s="329">
      <c r="B38" s="265" t="inlineStr">
        <is>
          <t>TOTAL HYFR</t>
        </is>
      </c>
      <c r="C38" s="246" t="inlineStr">
        <is>
          <t>k €</t>
        </is>
      </c>
      <c r="E38" s="790" t="n"/>
      <c r="F38" s="790" t="n"/>
      <c r="G38" s="788" t="n"/>
      <c r="H38" s="801" t="n"/>
      <c r="I38" s="792">
        <f>SUM(I28:I37)</f>
        <v/>
      </c>
      <c r="J38" s="792">
        <f>SUM(J28:J37)</f>
        <v/>
      </c>
      <c r="K38" s="792">
        <f>SUM(K28:K37)</f>
        <v/>
      </c>
      <c r="L38" s="792">
        <f>SUM(L28:L37)</f>
        <v/>
      </c>
      <c r="M38" s="792">
        <f>SUM(M28:M37)</f>
        <v/>
      </c>
      <c r="N38" s="792">
        <f>SUM(N28:N37)</f>
        <v/>
      </c>
      <c r="O38" s="792">
        <f>SUM(O28:O37)</f>
        <v/>
      </c>
      <c r="P38" s="792">
        <f>SUM(P28:P37)</f>
        <v/>
      </c>
      <c r="Q38" s="792">
        <f>SUM(Q28:Q37)</f>
        <v/>
      </c>
      <c r="R38" s="792">
        <f>SUM(R28:R37)</f>
        <v/>
      </c>
      <c r="S38" s="792">
        <f>SUM(S28:S37)</f>
        <v/>
      </c>
      <c r="T38" s="792">
        <f>SUM(T28:T37)</f>
        <v/>
      </c>
      <c r="U38" s="792">
        <f>SUM(U28:U37)</f>
        <v/>
      </c>
      <c r="V38" s="792">
        <f>SUM(V28:V37)</f>
        <v/>
      </c>
      <c r="W38" s="792">
        <f>SUM(W28:W37)</f>
        <v/>
      </c>
      <c r="X38" s="792">
        <f>SUM(X28:X37)</f>
        <v/>
      </c>
      <c r="Y38" s="790" t="n">
        <v>27271.5</v>
      </c>
      <c r="Z38" s="790" t="n">
        <v>17399</v>
      </c>
      <c r="AA38" s="790" t="n"/>
      <c r="AB38" s="790" t="n"/>
      <c r="AC38" s="790" t="n"/>
      <c r="AD38" s="790" t="n"/>
      <c r="AE38" s="790">
        <f>SUM(AE28:AE37)</f>
        <v/>
      </c>
      <c r="AF38" s="790">
        <f>SUM(AF28:AF37)</f>
        <v/>
      </c>
      <c r="AG38" s="790">
        <f>SUM(AG28:AG37)</f>
        <v/>
      </c>
      <c r="AI38" s="790" t="n">
        <v>1606577.5</v>
      </c>
      <c r="AJ38" s="790">
        <f>SUM(AJ28:AJ37)</f>
        <v/>
      </c>
    </row>
    <row r="39">
      <c r="B39" s="266" t="inlineStr">
        <is>
          <t>GSE (HYKG)</t>
        </is>
      </c>
      <c r="C39" s="246" t="inlineStr">
        <is>
          <t>k €</t>
        </is>
      </c>
      <c r="E39" s="793">
        <f>$AI39/E$3</f>
        <v/>
      </c>
      <c r="F39" s="793">
        <f>SUM(I39:T39)/LEFT($F$2,2)</f>
        <v/>
      </c>
      <c r="G39" s="793">
        <f>AJ39/12</f>
        <v/>
      </c>
      <c r="H39" s="801" t="n"/>
      <c r="I39" s="794">
        <f>'Reporting 2021'!I50</f>
        <v/>
      </c>
      <c r="J39" s="794">
        <f>'Reporting 2021'!J50</f>
        <v/>
      </c>
      <c r="K39" s="794">
        <f>'Reporting 2021'!K50</f>
        <v/>
      </c>
      <c r="L39" s="794">
        <f>'Reporting 2021'!L50</f>
        <v/>
      </c>
      <c r="M39" s="794">
        <f>Reporting!G74</f>
        <v/>
      </c>
      <c r="N39" s="807">
        <f>Reporting!H74</f>
        <v/>
      </c>
      <c r="O39" s="807">
        <f>Reporting!I74</f>
        <v/>
      </c>
      <c r="P39" s="807">
        <f>Reporting!J74</f>
        <v/>
      </c>
      <c r="Q39" s="807">
        <f>Reporting!K74</f>
        <v/>
      </c>
      <c r="R39" s="807">
        <f>Reporting!L74</f>
        <v/>
      </c>
      <c r="S39" s="807">
        <f>Reporting!M74</f>
        <v/>
      </c>
      <c r="T39" s="807">
        <f>Reporting!N74</f>
        <v/>
      </c>
      <c r="V39" s="793">
        <f>'Reporting 2021'!M50</f>
        <v/>
      </c>
      <c r="W39" s="793">
        <f>'Reporting 2021'!N50</f>
        <v/>
      </c>
      <c r="X39" s="807">
        <f>Reporting!R75</f>
        <v/>
      </c>
      <c r="Y39" s="793" t="n">
        <v>527830</v>
      </c>
      <c r="Z39" s="793" t="n">
        <v>178647</v>
      </c>
      <c r="AA39" s="793">
        <f>AJ39/12</f>
        <v/>
      </c>
      <c r="AB39" s="793">
        <f>AJ39/12</f>
        <v/>
      </c>
      <c r="AC39" s="793">
        <f>Y39</f>
        <v/>
      </c>
      <c r="AD39" s="793" t="n"/>
      <c r="AE39" s="793">
        <f>SUM(I39:T39)</f>
        <v/>
      </c>
      <c r="AF39" s="793">
        <f>AJ39/12*$C$5</f>
        <v/>
      </c>
      <c r="AG39" s="809" t="n"/>
      <c r="AI39" s="793" t="n">
        <v>2943191.83</v>
      </c>
      <c r="AJ39" s="793" t="n">
        <v>6630000</v>
      </c>
    </row>
    <row r="40" customFormat="1" s="329">
      <c r="B40" s="265" t="inlineStr">
        <is>
          <t>TOTAL HYFR + GSE (HYKG)</t>
        </is>
      </c>
      <c r="C40" s="246" t="inlineStr">
        <is>
          <t>k €</t>
        </is>
      </c>
      <c r="E40" s="790" t="n"/>
      <c r="F40" s="790" t="n"/>
      <c r="G40" s="788" t="n"/>
      <c r="H40" s="801" t="n"/>
      <c r="I40" s="792">
        <f>I38+I39</f>
        <v/>
      </c>
      <c r="J40" s="792">
        <f>J38+J39</f>
        <v/>
      </c>
      <c r="K40" s="792">
        <f>K38+K39</f>
        <v/>
      </c>
      <c r="L40" s="792">
        <f>L38+L39</f>
        <v/>
      </c>
      <c r="M40" s="792">
        <f>M38+M39</f>
        <v/>
      </c>
      <c r="N40" s="792">
        <f>N38+N39</f>
        <v/>
      </c>
      <c r="O40" s="792">
        <f>O38+O39</f>
        <v/>
      </c>
      <c r="P40" s="792">
        <f>P38+P39</f>
        <v/>
      </c>
      <c r="Q40" s="792">
        <f>Q38+Q39</f>
        <v/>
      </c>
      <c r="R40" s="792">
        <f>R38+R39</f>
        <v/>
      </c>
      <c r="S40" s="792">
        <f>S38+S39</f>
        <v/>
      </c>
      <c r="T40" s="792">
        <f>T38+T39</f>
        <v/>
      </c>
      <c r="U40" s="792">
        <f>U38+U39</f>
        <v/>
      </c>
      <c r="V40" s="792">
        <f>V38+V39</f>
        <v/>
      </c>
      <c r="W40" s="792">
        <f>W38+W39</f>
        <v/>
      </c>
      <c r="X40" s="792">
        <f>X38+X39</f>
        <v/>
      </c>
      <c r="Y40" s="790">
        <f>Y39+Y38</f>
        <v/>
      </c>
      <c r="Z40" s="790">
        <f>Z39+Z38</f>
        <v/>
      </c>
      <c r="AA40" s="790">
        <f>AA39+AA38</f>
        <v/>
      </c>
      <c r="AB40" s="790">
        <f>AB39+AB38</f>
        <v/>
      </c>
      <c r="AC40" s="790">
        <f>AC39+AC38</f>
        <v/>
      </c>
      <c r="AD40" s="790">
        <f>AD39+AD38</f>
        <v/>
      </c>
      <c r="AE40" s="790">
        <f>AE39+AE38</f>
        <v/>
      </c>
      <c r="AF40" s="790">
        <f>AF39+AF38</f>
        <v/>
      </c>
      <c r="AG40" s="790">
        <f>AG39+AG38</f>
        <v/>
      </c>
      <c r="AH40" s="790">
        <f>AH39+AH38</f>
        <v/>
      </c>
      <c r="AI40" s="790">
        <f>AI39+AI38</f>
        <v/>
      </c>
      <c r="AJ40" s="790">
        <f>AJ39+AJ38</f>
        <v/>
      </c>
      <c r="AK40" s="336" t="n"/>
      <c r="AL40" s="336" t="n"/>
      <c r="AM40" s="336" t="n"/>
      <c r="AN40" s="336" t="n"/>
      <c r="AO40" s="336" t="n"/>
      <c r="AP40" s="336" t="n"/>
      <c r="AQ40" s="336" t="n"/>
      <c r="AR40" s="336" t="n"/>
    </row>
    <row r="41" customFormat="1" s="329">
      <c r="B41" s="265" t="inlineStr">
        <is>
          <t>CURRENT REVENUE CUMULATED</t>
        </is>
      </c>
      <c r="C41" s="246" t="n"/>
      <c r="E41" s="790" t="n"/>
      <c r="F41" s="790" t="n"/>
      <c r="G41" s="788" t="n"/>
      <c r="H41" s="801" t="n"/>
      <c r="I41" s="792">
        <f>I40</f>
        <v/>
      </c>
      <c r="J41" s="792">
        <f>I41+J40</f>
        <v/>
      </c>
      <c r="K41" s="792">
        <f>K40+J41</f>
        <v/>
      </c>
      <c r="L41" s="792">
        <f>L40+K41</f>
        <v/>
      </c>
      <c r="M41" s="792" t="n"/>
      <c r="N41" s="810" t="n"/>
      <c r="O41" s="810" t="n"/>
      <c r="P41" s="810" t="n"/>
      <c r="Q41" s="810" t="n"/>
      <c r="R41" s="810" t="n"/>
      <c r="S41" s="810" t="n"/>
      <c r="T41" s="810" t="n"/>
      <c r="V41" s="790">
        <f>L41+V40</f>
        <v/>
      </c>
      <c r="W41" s="790">
        <f>V41+W40</f>
        <v/>
      </c>
      <c r="X41" s="790">
        <f>W41+X40</f>
        <v/>
      </c>
      <c r="Y41" s="790">
        <f>X41+Y40</f>
        <v/>
      </c>
      <c r="Z41" s="790">
        <f>Y41+Z40</f>
        <v/>
      </c>
      <c r="AA41" s="790">
        <f>Z41+AA40</f>
        <v/>
      </c>
      <c r="AB41" s="790" t="n"/>
      <c r="AC41" s="790" t="n"/>
      <c r="AD41" s="790" t="n"/>
      <c r="AE41" s="790" t="n"/>
      <c r="AF41" s="790" t="n"/>
      <c r="AG41" s="797" t="n"/>
      <c r="AI41" s="790" t="n"/>
      <c r="AJ41" s="790" t="n"/>
      <c r="AK41" s="336" t="n"/>
      <c r="AL41" s="336" t="n"/>
      <c r="AM41" s="336" t="n"/>
      <c r="AN41" s="336" t="n"/>
      <c r="AO41" s="336" t="n"/>
      <c r="AP41" s="336" t="n"/>
      <c r="AQ41" s="336" t="n"/>
      <c r="AR41" s="336" t="n"/>
    </row>
    <row r="42" customFormat="1" s="329">
      <c r="B42" s="265" t="inlineStr">
        <is>
          <t>BUDGET OI</t>
        </is>
      </c>
      <c r="C42" s="246" t="n"/>
      <c r="E42" s="790" t="n"/>
      <c r="F42" s="790" t="n"/>
      <c r="G42" s="788" t="n"/>
      <c r="H42" s="801" t="n"/>
      <c r="I42" s="792">
        <f>(AJ39+AJ38)/12</f>
        <v/>
      </c>
      <c r="J42" s="792">
        <f>I42*2</f>
        <v/>
      </c>
      <c r="K42" s="792">
        <f>I42*3</f>
        <v/>
      </c>
      <c r="L42" s="792">
        <f>I42*4</f>
        <v/>
      </c>
      <c r="M42" s="792">
        <f>(AN39+AN38)/12</f>
        <v/>
      </c>
      <c r="N42" s="792">
        <f>(AO39+AO38)/12</f>
        <v/>
      </c>
      <c r="O42" s="792">
        <f>(AP39+AP38)/12</f>
        <v/>
      </c>
      <c r="P42" s="792">
        <f>(AQ39+AQ38)/12</f>
        <v/>
      </c>
      <c r="Q42" s="792">
        <f>(AR39+AR38)/12</f>
        <v/>
      </c>
      <c r="R42" s="792">
        <f>(AS39+AS38)/12</f>
        <v/>
      </c>
      <c r="S42" s="792">
        <f>(AT39+AT38)/12</f>
        <v/>
      </c>
      <c r="T42" s="792">
        <f>(AU39+AU38)/12</f>
        <v/>
      </c>
      <c r="U42" s="792">
        <f>(AV39+AV38)/12</f>
        <v/>
      </c>
      <c r="V42" s="792">
        <f>I42*5</f>
        <v/>
      </c>
      <c r="W42" s="792">
        <f>I42*6</f>
        <v/>
      </c>
      <c r="X42" s="792">
        <f>I42*7</f>
        <v/>
      </c>
      <c r="Y42" s="792">
        <f>I42*8</f>
        <v/>
      </c>
      <c r="Z42" s="792">
        <f>I42*9</f>
        <v/>
      </c>
      <c r="AA42" s="792">
        <f>I42*10</f>
        <v/>
      </c>
      <c r="AB42" s="792">
        <f>I42*11</f>
        <v/>
      </c>
      <c r="AC42" s="792">
        <f>I42*12</f>
        <v/>
      </c>
      <c r="AD42" s="790" t="n"/>
      <c r="AE42" s="790" t="n"/>
      <c r="AF42" s="790" t="n"/>
      <c r="AG42" s="797" t="n"/>
      <c r="AI42" s="790" t="n"/>
      <c r="AJ42" s="790" t="n"/>
      <c r="AK42" s="336" t="n"/>
      <c r="AL42" s="336" t="n"/>
      <c r="AM42" s="336" t="n"/>
      <c r="AN42" s="336" t="n"/>
      <c r="AO42" s="336" t="n"/>
      <c r="AP42" s="336" t="n"/>
      <c r="AQ42" s="336" t="n"/>
      <c r="AR42" s="336" t="n"/>
    </row>
    <row r="43" customFormat="1" s="329">
      <c r="B43" s="265" t="n"/>
      <c r="C43" s="246" t="n"/>
      <c r="E43" s="790" t="n"/>
      <c r="F43" s="790" t="n"/>
      <c r="G43" s="788" t="n"/>
      <c r="H43" s="801" t="n"/>
      <c r="I43" s="792" t="n"/>
      <c r="J43" s="792" t="n"/>
      <c r="K43" s="792" t="n"/>
      <c r="L43" s="792" t="n"/>
      <c r="M43" s="792" t="n"/>
      <c r="N43" s="810" t="n"/>
      <c r="O43" s="810" t="n"/>
      <c r="P43" s="810" t="n"/>
      <c r="Q43" s="810" t="n"/>
      <c r="R43" s="810" t="n"/>
      <c r="S43" s="810" t="n"/>
      <c r="T43" s="810" t="n"/>
      <c r="V43" s="790" t="n"/>
      <c r="W43" s="790" t="n"/>
      <c r="X43" s="790" t="n"/>
      <c r="Y43" s="790" t="n"/>
      <c r="Z43" s="790" t="n"/>
      <c r="AA43" s="790" t="n"/>
      <c r="AB43" s="790" t="n"/>
      <c r="AC43" s="790" t="n"/>
      <c r="AD43" s="790" t="n"/>
      <c r="AE43" s="790" t="n"/>
      <c r="AF43" s="790" t="n"/>
      <c r="AG43" s="797" t="n"/>
      <c r="AI43" s="790" t="n"/>
      <c r="AJ43" s="790" t="n"/>
      <c r="AK43" s="336" t="n"/>
      <c r="AL43" s="336" t="n"/>
      <c r="AM43" s="336" t="n"/>
      <c r="AN43" s="336" t="n"/>
      <c r="AO43" s="336" t="n"/>
      <c r="AP43" s="336" t="n"/>
      <c r="AQ43" s="336" t="n"/>
      <c r="AR43" s="336" t="n"/>
    </row>
    <row r="44">
      <c r="B44" s="268" t="n"/>
      <c r="C44" s="700" t="n"/>
      <c r="E44" s="799" t="n"/>
      <c r="F44" s="799" t="n"/>
      <c r="G44" s="799" t="n"/>
      <c r="I44" s="799" t="n"/>
      <c r="J44" s="799" t="n"/>
      <c r="K44" s="799" t="n"/>
      <c r="L44" s="799" t="n"/>
      <c r="M44" s="799" t="n"/>
      <c r="N44" s="799" t="n"/>
      <c r="O44" s="799" t="n"/>
      <c r="P44" s="799" t="n"/>
      <c r="Q44" s="799" t="n"/>
      <c r="R44" s="799" t="n"/>
      <c r="S44" s="799" t="n"/>
      <c r="T44" s="799" t="n"/>
      <c r="V44" s="799" t="n"/>
      <c r="W44" s="799" t="n"/>
      <c r="X44" s="799" t="n"/>
      <c r="Y44" s="799" t="n"/>
      <c r="Z44" s="799" t="n"/>
      <c r="AA44" s="799" t="n"/>
      <c r="AB44" s="799" t="n"/>
      <c r="AI44" s="811" t="n"/>
    </row>
    <row r="45" customFormat="1" s="160">
      <c r="C45" s="246" t="n"/>
      <c r="D45" s="329" t="n"/>
      <c r="E45" s="259" t="inlineStr">
        <is>
          <t>Ø 2020</t>
        </is>
      </c>
      <c r="F45" s="269" t="inlineStr">
        <is>
          <t>Ø 2021</t>
        </is>
      </c>
      <c r="G45" s="270" t="inlineStr">
        <is>
          <t>Ø 2021</t>
        </is>
      </c>
      <c r="I45" s="269">
        <f>TEXT(I$2,"00")&amp;" "&amp;I$1</f>
        <v/>
      </c>
      <c r="J45" s="269">
        <f>TEXT(J$2,"00")&amp;" "&amp;J$1</f>
        <v/>
      </c>
      <c r="K45" s="269">
        <f>TEXT(K$2,"00")&amp;" "&amp;K$1</f>
        <v/>
      </c>
      <c r="L45" s="269">
        <f>TEXT(L$2,"00")&amp;" "&amp;L$1</f>
        <v/>
      </c>
      <c r="M45" s="269">
        <f>TEXT(M$2,"00")&amp;" "&amp;M$1</f>
        <v/>
      </c>
      <c r="N45" s="269">
        <f>TEXT(N$2,"00")&amp;" "&amp;N$1</f>
        <v/>
      </c>
      <c r="O45" s="269">
        <f>TEXT(O$2,"00")&amp;" "&amp;O$1</f>
        <v/>
      </c>
      <c r="P45" s="269">
        <f>TEXT(P$2,"00")&amp;" "&amp;P$1</f>
        <v/>
      </c>
      <c r="Q45" s="269">
        <f>TEXT(Q$2,"00")&amp;" "&amp;Q$1</f>
        <v/>
      </c>
      <c r="R45" s="269">
        <f>TEXT(R$2,"00")&amp;" "&amp;R$1</f>
        <v/>
      </c>
      <c r="S45" s="269">
        <f>TEXT(S$2,"00")&amp;" "&amp;S$1</f>
        <v/>
      </c>
      <c r="T45" s="269">
        <f>TEXT(T$2,"00")&amp;" "&amp;T$1</f>
        <v/>
      </c>
      <c r="V45" s="269" t="inlineStr">
        <is>
          <t>05 2021</t>
        </is>
      </c>
      <c r="W45" s="269" t="inlineStr">
        <is>
          <t>06 2021</t>
        </is>
      </c>
      <c r="X45" s="269" t="inlineStr">
        <is>
          <t>07 2021</t>
        </is>
      </c>
      <c r="Y45" s="269" t="inlineStr">
        <is>
          <t>08 2021</t>
        </is>
      </c>
      <c r="Z45" s="269" t="inlineStr">
        <is>
          <t>09 2021</t>
        </is>
      </c>
      <c r="AA45" s="782" t="inlineStr">
        <is>
          <t>10 2021</t>
        </is>
      </c>
      <c r="AB45" s="782" t="inlineStr">
        <is>
          <t>11 2021</t>
        </is>
      </c>
      <c r="AC45" s="782" t="inlineStr">
        <is>
          <t>12 2021</t>
        </is>
      </c>
      <c r="AD45" s="246" t="n"/>
      <c r="AE45" s="269">
        <f>AE$2&amp;" "&amp;AE$1</f>
        <v/>
      </c>
      <c r="AF45" s="270">
        <f>AF$2&amp;" "&amp;AF$1</f>
        <v/>
      </c>
      <c r="AG45" s="261">
        <f>AG$2&amp;" "&amp;AG$1</f>
        <v/>
      </c>
      <c r="AI45" s="244">
        <f>AI$2&amp;" "&amp;AI$1</f>
        <v/>
      </c>
      <c r="AJ45" s="270">
        <f>AJ$2&amp;" "&amp;AJ$1</f>
        <v/>
      </c>
    </row>
    <row r="46" customFormat="1" s="160">
      <c r="C46" s="349" t="n"/>
      <c r="E46" s="259" t="inlineStr">
        <is>
          <t>ACT</t>
        </is>
      </c>
      <c r="F46" s="269" t="inlineStr">
        <is>
          <t>ACT</t>
        </is>
      </c>
      <c r="G46" s="270" t="inlineStr">
        <is>
          <t>PLAN</t>
        </is>
      </c>
      <c r="I46" s="269" t="inlineStr">
        <is>
          <t>ACT</t>
        </is>
      </c>
      <c r="J46" s="269" t="inlineStr">
        <is>
          <t>ACT</t>
        </is>
      </c>
      <c r="K46" s="269" t="inlineStr">
        <is>
          <t>ACT</t>
        </is>
      </c>
      <c r="L46" s="269" t="inlineStr">
        <is>
          <t>ACT</t>
        </is>
      </c>
      <c r="M46" s="269" t="inlineStr">
        <is>
          <t>ACT</t>
        </is>
      </c>
      <c r="N46" s="269" t="inlineStr">
        <is>
          <t>ACT</t>
        </is>
      </c>
      <c r="O46" s="269" t="inlineStr">
        <is>
          <t>ACT</t>
        </is>
      </c>
      <c r="P46" s="269" t="inlineStr">
        <is>
          <t>ACT</t>
        </is>
      </c>
      <c r="Q46" s="269" t="inlineStr">
        <is>
          <t>ACT</t>
        </is>
      </c>
      <c r="R46" s="269" t="inlineStr">
        <is>
          <t>ACT</t>
        </is>
      </c>
      <c r="S46" s="269" t="inlineStr">
        <is>
          <t>ACT</t>
        </is>
      </c>
      <c r="T46" s="269" t="inlineStr">
        <is>
          <t>ACT</t>
        </is>
      </c>
      <c r="U46" s="269" t="inlineStr">
        <is>
          <t>ACT</t>
        </is>
      </c>
      <c r="V46" s="269" t="inlineStr">
        <is>
          <t>ACT</t>
        </is>
      </c>
      <c r="W46" s="269" t="inlineStr">
        <is>
          <t>ACT</t>
        </is>
      </c>
      <c r="X46" s="269" t="inlineStr">
        <is>
          <t>ACT</t>
        </is>
      </c>
      <c r="Y46" s="269" t="inlineStr">
        <is>
          <t>ACT</t>
        </is>
      </c>
      <c r="Z46" s="269" t="inlineStr">
        <is>
          <t>ACT</t>
        </is>
      </c>
      <c r="AA46" s="782" t="inlineStr">
        <is>
          <t>FCST</t>
        </is>
      </c>
      <c r="AB46" s="782" t="inlineStr">
        <is>
          <t>FCST</t>
        </is>
      </c>
      <c r="AC46" s="782" t="inlineStr">
        <is>
          <t>FCST</t>
        </is>
      </c>
      <c r="AD46" s="246" t="n"/>
      <c r="AE46" s="269" t="inlineStr">
        <is>
          <t xml:space="preserve">ACT </t>
        </is>
      </c>
      <c r="AF46" s="270" t="inlineStr">
        <is>
          <t xml:space="preserve">PLAN </t>
        </is>
      </c>
      <c r="AG46" s="262" t="inlineStr">
        <is>
          <t>∆  ACT PLAN</t>
        </is>
      </c>
      <c r="AI46" s="244" t="inlineStr">
        <is>
          <t xml:space="preserve">ACT </t>
        </is>
      </c>
      <c r="AJ46" s="270" t="inlineStr">
        <is>
          <t xml:space="preserve">PLAN </t>
        </is>
      </c>
    </row>
    <row r="47">
      <c r="B47" s="271" t="inlineStr">
        <is>
          <t>PRIMAY COST / CM2 Serv Station / Revenue Service Station</t>
        </is>
      </c>
    </row>
    <row r="48" customFormat="1" s="329">
      <c r="B48" s="264" t="inlineStr">
        <is>
          <t>Primary Costs</t>
        </is>
      </c>
      <c r="C48" s="246" t="inlineStr">
        <is>
          <t>m€</t>
        </is>
      </c>
      <c r="E48" s="788" t="n"/>
      <c r="F48" s="788">
        <f>IFERROR(1/F$3,1)*SUM(I48:T48)</f>
        <v/>
      </c>
      <c r="G48" s="788">
        <f>AJ48/12</f>
        <v/>
      </c>
      <c r="H48" s="816" t="n"/>
      <c r="I48" s="788" t="n">
        <v>80.292</v>
      </c>
      <c r="J48" s="788" t="n">
        <v>75.122</v>
      </c>
      <c r="K48" s="788" t="n">
        <v>91.46899999999999</v>
      </c>
      <c r="L48" s="788" t="n">
        <v>91.489</v>
      </c>
      <c r="M48" s="788" t="n"/>
      <c r="N48" s="788" t="n"/>
      <c r="O48" s="788" t="n"/>
      <c r="P48" s="788" t="n"/>
      <c r="Q48" s="788" t="n"/>
      <c r="R48" s="788" t="n"/>
      <c r="S48" s="788" t="n"/>
      <c r="T48" s="788" t="n"/>
      <c r="U48" s="816" t="n"/>
      <c r="V48" s="788" t="n">
        <v>99.928</v>
      </c>
      <c r="W48" s="788" t="n">
        <v>96.21899999999999</v>
      </c>
      <c r="X48" s="788">
        <f>86.952</f>
        <v/>
      </c>
      <c r="Y48" s="788">
        <f>AJ48/12</f>
        <v/>
      </c>
      <c r="Z48" s="788">
        <f>AJ48/12</f>
        <v/>
      </c>
      <c r="AA48" s="788">
        <f>AJ48/12</f>
        <v/>
      </c>
      <c r="AB48" s="788">
        <f>AJ48/12</f>
        <v/>
      </c>
      <c r="AC48" s="788">
        <f>AJ48/12</f>
        <v/>
      </c>
      <c r="AD48" s="788" t="n"/>
      <c r="AE48" s="788">
        <f>SUM(I48:L48)</f>
        <v/>
      </c>
      <c r="AF48" s="788">
        <f>AC48*C5</f>
        <v/>
      </c>
      <c r="AG48" s="816" t="n"/>
      <c r="AH48" s="816" t="n"/>
      <c r="AI48" s="788">
        <f>SUM(M48:P48)</f>
        <v/>
      </c>
      <c r="AJ48" s="788" t="n">
        <v>1149</v>
      </c>
    </row>
    <row r="49" customFormat="1" s="329">
      <c r="B49" s="264" t="inlineStr">
        <is>
          <t>Primary Costs Cumulated</t>
        </is>
      </c>
      <c r="C49" s="246" t="n"/>
      <c r="E49" s="788" t="n"/>
      <c r="F49" s="788" t="n"/>
      <c r="G49" s="788" t="n"/>
      <c r="H49" s="816" t="n"/>
      <c r="I49" s="788">
        <f>I48</f>
        <v/>
      </c>
      <c r="J49" s="788">
        <f>J48+I49</f>
        <v/>
      </c>
      <c r="K49" s="788">
        <f>K48+J49</f>
        <v/>
      </c>
      <c r="L49" s="788">
        <f>L48+K49</f>
        <v/>
      </c>
      <c r="M49" s="788" t="n"/>
      <c r="N49" s="788" t="n"/>
      <c r="O49" s="788" t="n"/>
      <c r="P49" s="788" t="n"/>
      <c r="Q49" s="788" t="n"/>
      <c r="R49" s="788" t="n"/>
      <c r="S49" s="788" t="n"/>
      <c r="T49" s="788" t="n"/>
      <c r="U49" s="816" t="n"/>
      <c r="V49" s="788">
        <f>L49+V48</f>
        <v/>
      </c>
      <c r="W49" s="788">
        <f>V49+W48</f>
        <v/>
      </c>
      <c r="X49" s="788">
        <f>W49+X48</f>
        <v/>
      </c>
      <c r="Y49" s="788">
        <f>X49+Y48</f>
        <v/>
      </c>
      <c r="Z49" s="788">
        <f>Y49+Z48</f>
        <v/>
      </c>
      <c r="AA49" s="788">
        <f>Z49+AA48</f>
        <v/>
      </c>
      <c r="AB49" s="788">
        <f>AA49+AB48</f>
        <v/>
      </c>
      <c r="AC49" s="788">
        <f>AB49+AC48</f>
        <v/>
      </c>
      <c r="AD49" s="788" t="n"/>
      <c r="AE49" s="788" t="n"/>
      <c r="AF49" s="788" t="n"/>
      <c r="AG49" s="816" t="n"/>
      <c r="AH49" s="816" t="n"/>
      <c r="AI49" s="788" t="n"/>
      <c r="AJ49" s="788" t="n"/>
    </row>
    <row r="50" customFormat="1" s="329">
      <c r="B50" s="264" t="inlineStr">
        <is>
          <t>Primary Costs Budget</t>
        </is>
      </c>
      <c r="C50" s="246" t="inlineStr">
        <is>
          <t>m€</t>
        </is>
      </c>
      <c r="E50" s="788" t="n"/>
      <c r="F50" s="788">
        <f>IFERROR(1/F$3,1)*SUM(I50:T50)</f>
        <v/>
      </c>
      <c r="G50" s="788">
        <f>AJ50/12</f>
        <v/>
      </c>
      <c r="H50" s="816" t="n"/>
      <c r="I50" s="788">
        <f>AJ48/12</f>
        <v/>
      </c>
      <c r="J50" s="788">
        <f>I50*2</f>
        <v/>
      </c>
      <c r="K50" s="788">
        <f>I50*3</f>
        <v/>
      </c>
      <c r="L50" s="788">
        <f>I50*4</f>
        <v/>
      </c>
      <c r="M50" s="788" t="n"/>
      <c r="N50" s="788" t="n"/>
      <c r="O50" s="788" t="n"/>
      <c r="P50" s="788" t="n"/>
      <c r="Q50" s="788" t="n"/>
      <c r="R50" s="788" t="n"/>
      <c r="S50" s="788" t="n"/>
      <c r="T50" s="788" t="n"/>
      <c r="U50" s="816" t="n"/>
      <c r="V50" s="788">
        <f>I50*5</f>
        <v/>
      </c>
      <c r="W50" s="788">
        <f>I50*6</f>
        <v/>
      </c>
      <c r="X50" s="788">
        <f>I50*7</f>
        <v/>
      </c>
      <c r="Y50" s="788">
        <f>I50*8</f>
        <v/>
      </c>
      <c r="Z50" s="788">
        <f>I50*9</f>
        <v/>
      </c>
      <c r="AA50" s="788">
        <f>I50*10</f>
        <v/>
      </c>
      <c r="AB50" s="788">
        <f>I50*11</f>
        <v/>
      </c>
      <c r="AC50" s="788">
        <f>I50*12</f>
        <v/>
      </c>
      <c r="AD50" s="788" t="n"/>
      <c r="AE50" s="788">
        <f>SUM(I50:L50)</f>
        <v/>
      </c>
      <c r="AF50" s="788">
        <f>AC50*C6</f>
        <v/>
      </c>
      <c r="AG50" s="816" t="n"/>
      <c r="AH50" s="816" t="n"/>
      <c r="AI50" s="788">
        <f>SUM(M50:P50)</f>
        <v/>
      </c>
      <c r="AJ50" s="788" t="n">
        <v>1149</v>
      </c>
    </row>
    <row r="51" customFormat="1" s="329">
      <c r="B51" s="264" t="inlineStr">
        <is>
          <t>CM2 Service Station</t>
        </is>
      </c>
      <c r="C51" s="246" t="inlineStr">
        <is>
          <t>k€</t>
        </is>
      </c>
      <c r="E51" s="788" t="n"/>
      <c r="F51" s="788">
        <f>IFERROR(1/F$3,1)*SUM(I51:T51)</f>
        <v/>
      </c>
      <c r="G51" s="788">
        <f>AJ51/12</f>
        <v/>
      </c>
      <c r="H51" s="816" t="n"/>
      <c r="I51" s="788" t="n">
        <v>10974</v>
      </c>
      <c r="J51" s="788" t="n">
        <v>11021</v>
      </c>
      <c r="K51" s="788" t="n">
        <v>464</v>
      </c>
      <c r="L51" s="788" t="n">
        <v>5351</v>
      </c>
      <c r="M51" s="788" t="n"/>
      <c r="N51" s="788" t="n"/>
      <c r="O51" s="788" t="n"/>
      <c r="P51" s="788" t="n"/>
      <c r="Q51" s="788" t="n"/>
      <c r="R51" s="788" t="n"/>
      <c r="S51" s="788" t="n"/>
      <c r="T51" s="788" t="n"/>
      <c r="U51" s="816" t="n"/>
      <c r="V51" s="788" t="n">
        <v>4939</v>
      </c>
      <c r="W51" s="788" t="n">
        <v>-17669</v>
      </c>
      <c r="X51" s="788" t="n">
        <v>68299</v>
      </c>
      <c r="Y51" s="788">
        <f>G51</f>
        <v/>
      </c>
      <c r="Z51" s="788">
        <f>V51</f>
        <v/>
      </c>
      <c r="AA51" s="788">
        <f>W51</f>
        <v/>
      </c>
      <c r="AB51" s="788">
        <f>X51</f>
        <v/>
      </c>
      <c r="AC51" s="788">
        <f>Y51</f>
        <v/>
      </c>
      <c r="AD51" s="788" t="n"/>
      <c r="AE51" s="788">
        <f>SUM(I51:K51)</f>
        <v/>
      </c>
      <c r="AF51" s="788">
        <f>AC51*C5</f>
        <v/>
      </c>
      <c r="AG51" s="816" t="n"/>
      <c r="AH51" s="816" t="n"/>
      <c r="AI51" s="788">
        <f>SUM(M51:O51)</f>
        <v/>
      </c>
      <c r="AJ51" s="788" t="n">
        <v>214000</v>
      </c>
    </row>
    <row r="52" customFormat="1" s="329">
      <c r="B52" s="264" t="inlineStr">
        <is>
          <t>CM2 Service Station Cumulated</t>
        </is>
      </c>
      <c r="C52" s="246" t="n"/>
      <c r="E52" s="788" t="n"/>
      <c r="F52" s="788" t="n"/>
      <c r="G52" s="788" t="n"/>
      <c r="H52" s="816" t="n"/>
      <c r="I52" s="788">
        <f>I51</f>
        <v/>
      </c>
      <c r="J52" s="788">
        <f>J51+I52</f>
        <v/>
      </c>
      <c r="K52" s="788">
        <f>J52+K51</f>
        <v/>
      </c>
      <c r="L52" s="788">
        <f>K52+L51</f>
        <v/>
      </c>
      <c r="M52" s="788" t="n"/>
      <c r="N52" s="788" t="n"/>
      <c r="O52" s="788" t="n"/>
      <c r="P52" s="788" t="n"/>
      <c r="Q52" s="788" t="n"/>
      <c r="R52" s="788" t="n"/>
      <c r="S52" s="788" t="n"/>
      <c r="T52" s="788" t="n"/>
      <c r="U52" s="816" t="n"/>
      <c r="V52" s="788">
        <f>L52+V51</f>
        <v/>
      </c>
      <c r="W52" s="788">
        <f>V52+W51</f>
        <v/>
      </c>
      <c r="X52" s="788">
        <f>W52+X51</f>
        <v/>
      </c>
      <c r="Y52" s="788">
        <f>X52+Y51</f>
        <v/>
      </c>
      <c r="Z52" s="788">
        <f>Y52+Z51</f>
        <v/>
      </c>
      <c r="AA52" s="788">
        <f>Z52+AA51</f>
        <v/>
      </c>
      <c r="AB52" s="788">
        <f>AA52+AB51</f>
        <v/>
      </c>
      <c r="AC52" s="788">
        <f>AB52+AC51</f>
        <v/>
      </c>
      <c r="AD52" s="788" t="n"/>
      <c r="AE52" s="788" t="n"/>
      <c r="AF52" s="788" t="n"/>
      <c r="AG52" s="816" t="n"/>
      <c r="AH52" s="816" t="n"/>
      <c r="AI52" s="788" t="n"/>
      <c r="AJ52" s="788" t="n"/>
    </row>
    <row r="53" customFormat="1" s="329">
      <c r="B53" s="264" t="inlineStr">
        <is>
          <t>CM2 Service Station Budget</t>
        </is>
      </c>
      <c r="C53" s="246" t="inlineStr">
        <is>
          <t>k€</t>
        </is>
      </c>
      <c r="E53" s="788" t="n"/>
      <c r="F53" s="788">
        <f>IFERROR(1/F$3,1)*SUM(I53:T53)</f>
        <v/>
      </c>
      <c r="G53" s="788">
        <f>AJ53/12</f>
        <v/>
      </c>
      <c r="H53" s="816" t="n"/>
      <c r="I53" s="788">
        <f>AJ51/12</f>
        <v/>
      </c>
      <c r="J53" s="788">
        <f>I53*2</f>
        <v/>
      </c>
      <c r="K53" s="788">
        <f>I53*3</f>
        <v/>
      </c>
      <c r="L53" s="788">
        <f>I53*4</f>
        <v/>
      </c>
      <c r="M53" s="788">
        <f>K53*3</f>
        <v/>
      </c>
      <c r="N53" s="788">
        <f>L53*3</f>
        <v/>
      </c>
      <c r="O53" s="788">
        <f>M53*3</f>
        <v/>
      </c>
      <c r="P53" s="788">
        <f>N53*3</f>
        <v/>
      </c>
      <c r="Q53" s="788">
        <f>O53*3</f>
        <v/>
      </c>
      <c r="R53" s="788">
        <f>P53*3</f>
        <v/>
      </c>
      <c r="S53" s="788">
        <f>Q53*3</f>
        <v/>
      </c>
      <c r="T53" s="788">
        <f>R53*3</f>
        <v/>
      </c>
      <c r="U53" s="788">
        <f>S53*3</f>
        <v/>
      </c>
      <c r="V53" s="788">
        <f>I53*5</f>
        <v/>
      </c>
      <c r="W53" s="788">
        <f>I53*6</f>
        <v/>
      </c>
      <c r="X53" s="788">
        <f>I53*7</f>
        <v/>
      </c>
      <c r="Y53" s="788">
        <f>I53*8</f>
        <v/>
      </c>
      <c r="Z53" s="788">
        <f>I53*9</f>
        <v/>
      </c>
      <c r="AA53" s="788">
        <f>I53*10</f>
        <v/>
      </c>
      <c r="AB53" s="788">
        <f>I53*11</f>
        <v/>
      </c>
      <c r="AC53" s="788">
        <f>I53*12</f>
        <v/>
      </c>
      <c r="AD53" s="788">
        <f>AB53*3</f>
        <v/>
      </c>
      <c r="AE53" s="788">
        <f>AC53*3</f>
        <v/>
      </c>
      <c r="AF53" s="788">
        <f>AD53*3</f>
        <v/>
      </c>
      <c r="AG53" s="788">
        <f>AE53*3</f>
        <v/>
      </c>
      <c r="AH53" s="788">
        <f>AF53*3</f>
        <v/>
      </c>
      <c r="AI53" s="788">
        <f>AG53*3</f>
        <v/>
      </c>
      <c r="AJ53" s="788" t="n">
        <v>214000</v>
      </c>
    </row>
    <row r="54" customFormat="1" s="329">
      <c r="B54" s="264" t="inlineStr">
        <is>
          <t>Revenue Service Station</t>
        </is>
      </c>
      <c r="C54" s="246" t="inlineStr">
        <is>
          <t>k€</t>
        </is>
      </c>
      <c r="E54" s="788" t="n"/>
      <c r="F54" s="788">
        <f>IFERROR(1/F$3,1)*SUM(I54:T54)</f>
        <v/>
      </c>
      <c r="G54" s="788">
        <f>AJ54/12</f>
        <v/>
      </c>
      <c r="H54" s="816" t="n"/>
      <c r="I54" s="788">
        <f>I33+I34+I35</f>
        <v/>
      </c>
      <c r="J54" s="788">
        <f>J33+J34+J35</f>
        <v/>
      </c>
      <c r="K54" s="788">
        <f>K33+K34+K35</f>
        <v/>
      </c>
      <c r="L54" s="788">
        <f>L33+L34+L35</f>
        <v/>
      </c>
      <c r="M54" s="788">
        <f>M33+M34+M35</f>
        <v/>
      </c>
      <c r="N54" s="788">
        <f>N33+N34+N35</f>
        <v/>
      </c>
      <c r="O54" s="788">
        <f>O33+O34+O35</f>
        <v/>
      </c>
      <c r="P54" s="788">
        <f>P33+P34+P35</f>
        <v/>
      </c>
      <c r="Q54" s="788">
        <f>Q33+Q34+Q35</f>
        <v/>
      </c>
      <c r="R54" s="788">
        <f>R33+R34+R35</f>
        <v/>
      </c>
      <c r="S54" s="788">
        <f>S33+S34+S35</f>
        <v/>
      </c>
      <c r="T54" s="788">
        <f>T33+T34+T35</f>
        <v/>
      </c>
      <c r="U54" s="788">
        <f>U33+U34+U35</f>
        <v/>
      </c>
      <c r="V54" s="788">
        <f>V33+V34+V35</f>
        <v/>
      </c>
      <c r="W54" s="788">
        <f>W33+W34+W35</f>
        <v/>
      </c>
      <c r="X54" s="788">
        <f>X33+X34+X35</f>
        <v/>
      </c>
      <c r="Y54" s="788">
        <f>Y33+Y34+Y35</f>
        <v/>
      </c>
      <c r="Z54" s="788">
        <f>Z33+Z34+Z35</f>
        <v/>
      </c>
      <c r="AA54" s="788">
        <f>AA33+AA34+AA35</f>
        <v/>
      </c>
      <c r="AB54" s="788">
        <f>AJ54/12</f>
        <v/>
      </c>
      <c r="AC54" s="788">
        <f>AJ54/12</f>
        <v/>
      </c>
      <c r="AD54" s="788" t="n"/>
      <c r="AE54" s="788">
        <f>SUM(I54:K54)</f>
        <v/>
      </c>
      <c r="AF54" s="788">
        <f>AC54*C5</f>
        <v/>
      </c>
      <c r="AG54" s="816" t="n"/>
      <c r="AH54" s="816" t="n"/>
      <c r="AI54" s="788">
        <f>SUM(M54:O54)</f>
        <v/>
      </c>
      <c r="AJ54" s="788" t="n">
        <v>500000</v>
      </c>
    </row>
    <row r="55" customFormat="1" s="329">
      <c r="B55" s="264" t="inlineStr">
        <is>
          <t>Revenue Service Current Cumulated</t>
        </is>
      </c>
      <c r="C55" s="246" t="n"/>
      <c r="E55" s="788" t="n"/>
      <c r="F55" s="788" t="n"/>
      <c r="G55" s="788" t="n"/>
      <c r="H55" s="816" t="n"/>
      <c r="I55" s="788">
        <f>I54</f>
        <v/>
      </c>
      <c r="J55" s="788">
        <f>I55+J54</f>
        <v/>
      </c>
      <c r="K55" s="788">
        <f>J55+K54</f>
        <v/>
      </c>
      <c r="L55" s="788">
        <f>K55+L54</f>
        <v/>
      </c>
      <c r="M55" s="788">
        <f>M54</f>
        <v/>
      </c>
      <c r="N55" s="788">
        <f>N54</f>
        <v/>
      </c>
      <c r="O55" s="788">
        <f>O54</f>
        <v/>
      </c>
      <c r="P55" s="788">
        <f>P54</f>
        <v/>
      </c>
      <c r="Q55" s="788">
        <f>Q54</f>
        <v/>
      </c>
      <c r="R55" s="788">
        <f>R54</f>
        <v/>
      </c>
      <c r="S55" s="788">
        <f>S54</f>
        <v/>
      </c>
      <c r="T55" s="788">
        <f>T54</f>
        <v/>
      </c>
      <c r="U55" s="788">
        <f>U54</f>
        <v/>
      </c>
      <c r="V55" s="788">
        <f>L55+V54</f>
        <v/>
      </c>
      <c r="W55" s="788">
        <f>V55+W54</f>
        <v/>
      </c>
      <c r="X55" s="788">
        <f>W55+X54</f>
        <v/>
      </c>
      <c r="Y55" s="788">
        <f>X55+Y54</f>
        <v/>
      </c>
      <c r="Z55" s="788">
        <f>Y55+Z54</f>
        <v/>
      </c>
      <c r="AA55" s="788">
        <f>Z55+AA54</f>
        <v/>
      </c>
      <c r="AB55" s="788">
        <f>AA55+AB54</f>
        <v/>
      </c>
      <c r="AC55" s="788">
        <f>AB55+AC54</f>
        <v/>
      </c>
      <c r="AD55" s="788">
        <f>AC55+AD54</f>
        <v/>
      </c>
      <c r="AE55" s="788">
        <f>AD55+AE54</f>
        <v/>
      </c>
      <c r="AF55" s="788">
        <f>AE55+AF54</f>
        <v/>
      </c>
      <c r="AG55" s="788">
        <f>AF55+AG54</f>
        <v/>
      </c>
      <c r="AH55" s="788">
        <f>AG55+AH54</f>
        <v/>
      </c>
      <c r="AI55" s="788">
        <f>AH55+AI54</f>
        <v/>
      </c>
      <c r="AJ55" s="788" t="n"/>
    </row>
    <row r="56">
      <c r="B56" s="272" t="inlineStr">
        <is>
          <t>Revenue Service Station Budget</t>
        </is>
      </c>
      <c r="I56" s="788">
        <f>AJ56/12</f>
        <v/>
      </c>
      <c r="J56" s="788">
        <f>I56*2</f>
        <v/>
      </c>
      <c r="K56" s="788">
        <f>I56*3</f>
        <v/>
      </c>
      <c r="L56" s="788">
        <f>I56*4</f>
        <v/>
      </c>
      <c r="M56" s="788" t="n"/>
      <c r="N56" s="788" t="n"/>
      <c r="O56" s="788" t="n"/>
      <c r="P56" s="788" t="n"/>
      <c r="Q56" s="788" t="n"/>
      <c r="R56" s="788" t="n"/>
      <c r="S56" s="788" t="n"/>
      <c r="T56" s="788" t="n"/>
      <c r="U56" s="816" t="n"/>
      <c r="V56" s="788">
        <f>I56*5</f>
        <v/>
      </c>
      <c r="W56" s="788">
        <f>I56*6</f>
        <v/>
      </c>
      <c r="X56" s="788">
        <f>I56*7</f>
        <v/>
      </c>
      <c r="Y56" s="788">
        <f>I56*8</f>
        <v/>
      </c>
      <c r="Z56" s="788">
        <f>I56*9</f>
        <v/>
      </c>
      <c r="AA56" s="788">
        <f>I56*10</f>
        <v/>
      </c>
      <c r="AB56" s="788">
        <f>I56*11</f>
        <v/>
      </c>
      <c r="AC56" s="788">
        <f>I56*12</f>
        <v/>
      </c>
      <c r="AD56" s="788" t="n"/>
      <c r="AE56" s="788">
        <f>SUM(I56:K56)</f>
        <v/>
      </c>
      <c r="AF56" s="788">
        <f>AC56*C6</f>
        <v/>
      </c>
      <c r="AG56" s="816" t="n"/>
      <c r="AH56" s="816" t="n"/>
      <c r="AI56" s="788">
        <f>SUM(M56:O56)</f>
        <v/>
      </c>
      <c r="AJ56" s="788" t="n">
        <v>500000</v>
      </c>
    </row>
  </sheetData>
  <conditionalFormatting sqref="AE9:AG18 E9:G18 B9:C18 B20:C20 E20:G20 I20:M20 V20:X20 AE20:AG20 B28:C37 B39:C39 E28:G37 I39:M39 V39:W39 AE28:AG37 AE39:AG39 B48:C49 E48:G49 I48:M49 AE48:AG49 AI9:AJ18 AI20:AJ20 AI28:AJ37 AI39:AJ39 AI48:AJ49 E39:G39 AI54:AJ54 AE54:AG54 E54:G55 B54:C55 AI51:AJ52 AE51:AG52 I51:M52 E51:G52 B51:C52 V9:X18 I9:M18 I28:M37 V28:W37 V51:AC52 I55:AJ55 I53:AJ53 AA9:AC18 AA20:AC20 Y28:AC37 Y39:AC39 V48:AC49 I54:AC54">
    <cfRule type="expression" priority="33" dxfId="396">
      <formula>MOD(ROW(),2)</formula>
    </cfRule>
  </conditionalFormatting>
  <conditionalFormatting sqref="N28:T37">
    <cfRule type="expression" priority="32" dxfId="396">
      <formula>MOD(ROW(),2)</formula>
    </cfRule>
  </conditionalFormatting>
  <conditionalFormatting sqref="N48:R49 N51:R52">
    <cfRule type="expression" priority="31" dxfId="396">
      <formula>MOD(ROW(),2)</formula>
    </cfRule>
  </conditionalFormatting>
  <conditionalFormatting sqref="S48:T49 S51:T52">
    <cfRule type="expression" priority="30" dxfId="396">
      <formula>MOD(ROW(),2)</formula>
    </cfRule>
  </conditionalFormatting>
  <conditionalFormatting sqref="I56:M56 V56:AC56 AE56:AG56 AI56:AJ56">
    <cfRule type="expression" priority="15" dxfId="396">
      <formula>MOD(ROW(),2)</formula>
    </cfRule>
  </conditionalFormatting>
  <conditionalFormatting sqref="N56:R56">
    <cfRule type="expression" priority="14" dxfId="396">
      <formula>MOD(ROW(),2)</formula>
    </cfRule>
  </conditionalFormatting>
  <conditionalFormatting sqref="S56:T56">
    <cfRule type="expression" priority="13" dxfId="396">
      <formula>MOD(ROW(),2)</formula>
    </cfRule>
  </conditionalFormatting>
  <conditionalFormatting sqref="B53:C53 E53:G53">
    <cfRule type="expression" priority="11" dxfId="396">
      <formula>MOD(ROW(),2)</formula>
    </cfRule>
  </conditionalFormatting>
  <conditionalFormatting sqref="N50:R50">
    <cfRule type="expression" priority="6" dxfId="396">
      <formula>MOD(ROW(),2)</formula>
    </cfRule>
  </conditionalFormatting>
  <conditionalFormatting sqref="S50:T50">
    <cfRule type="expression" priority="5" dxfId="396">
      <formula>MOD(ROW(),2)</formula>
    </cfRule>
  </conditionalFormatting>
  <conditionalFormatting sqref="B50:C50 E50:G50 I50:M50 V50:AC50 AE50:AG50 AI50:AJ50">
    <cfRule type="expression" priority="7" dxfId="396">
      <formula>MOD(ROW(),2)</formula>
    </cfRule>
  </conditionalFormatting>
  <conditionalFormatting sqref="Y9:Y18 Y20">
    <cfRule type="expression" priority="3" dxfId="396">
      <formula>MOD(ROW(),2)</formula>
    </cfRule>
  </conditionalFormatting>
  <conditionalFormatting sqref="X28:X37">
    <cfRule type="expression" priority="2" dxfId="396">
      <formula>MOD(ROW(),2)</formula>
    </cfRule>
  </conditionalFormatting>
  <conditionalFormatting sqref="Z9:Z18 Z20">
    <cfRule type="expression" priority="1" dxfId="396">
      <formula>MOD(ROW(),2)</formula>
    </cfRule>
  </conditionalFormatting>
  <pageMargins left="0.7" right="0.7" top="0.75" bottom="0.75" header="0.3" footer="0.3"/>
  <pageSetup orientation="landscape" paperSize="9" scale="47" fitToHeight="0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5">
    <tabColor rgb="FFFFFF00"/>
    <outlinePr summaryBelow="1" summaryRight="1"/>
    <pageSetUpPr/>
  </sheetPr>
  <dimension ref="A1:BB88"/>
  <sheetViews>
    <sheetView zoomScaleNormal="100" workbookViewId="0">
      <pane xSplit="2" ySplit="1" topLeftCell="C2" activePane="bottomRight" state="frozenSplit"/>
      <selection pane="topRight" activeCell="G1" sqref="G1"/>
      <selection pane="bottomLeft" activeCell="A10" sqref="A10"/>
      <selection pane="bottomRight" activeCell="E5" sqref="E5"/>
    </sheetView>
  </sheetViews>
  <sheetFormatPr baseColWidth="10" defaultColWidth="9.109375" defaultRowHeight="14.4"/>
  <cols>
    <col width="12.109375" bestFit="1" customWidth="1" style="701" min="1" max="1"/>
    <col width="26" bestFit="1" customWidth="1" style="701" min="2" max="2"/>
    <col width="12.109375" bestFit="1" customWidth="1" style="701" min="3" max="4"/>
    <col width="12" bestFit="1" customWidth="1" style="701" min="5" max="7"/>
    <col width="12.109375" bestFit="1" customWidth="1" style="701" min="8" max="8"/>
    <col width="12" bestFit="1" customWidth="1" style="701" min="9" max="10"/>
    <col width="13.109375" bestFit="1" customWidth="1" style="701" min="11" max="14"/>
    <col width="12.44140625" customWidth="1" style="701" min="15" max="15"/>
    <col width="10.44140625" bestFit="1" customWidth="1" style="701" min="16" max="16"/>
    <col width="13.5546875" bestFit="1" customWidth="1" style="701" min="17" max="17"/>
  </cols>
  <sheetData>
    <row r="1" customFormat="1" s="349">
      <c r="A1" s="6" t="inlineStr">
        <is>
          <t>Total</t>
        </is>
      </c>
      <c r="C1" s="255" t="inlineStr">
        <is>
          <t>Jan</t>
        </is>
      </c>
      <c r="D1" s="255" t="inlineStr">
        <is>
          <t>Feb</t>
        </is>
      </c>
      <c r="E1" s="255" t="inlineStr">
        <is>
          <t>Mar</t>
        </is>
      </c>
      <c r="F1" s="255" t="inlineStr">
        <is>
          <t>Apr</t>
        </is>
      </c>
      <c r="G1" s="255" t="inlineStr">
        <is>
          <t>May</t>
        </is>
      </c>
      <c r="H1" s="255" t="inlineStr">
        <is>
          <t>Jun</t>
        </is>
      </c>
      <c r="I1" s="255" t="inlineStr">
        <is>
          <t>Jul</t>
        </is>
      </c>
      <c r="J1" s="255" t="inlineStr">
        <is>
          <t>Aug</t>
        </is>
      </c>
      <c r="K1" s="255" t="inlineStr">
        <is>
          <t>Sep</t>
        </is>
      </c>
      <c r="L1" s="255" t="inlineStr">
        <is>
          <t>Oct</t>
        </is>
      </c>
      <c r="M1" s="255" t="inlineStr">
        <is>
          <t>Nov</t>
        </is>
      </c>
      <c r="N1" s="255" t="inlineStr">
        <is>
          <t>Dec</t>
        </is>
      </c>
      <c r="O1" s="253" t="inlineStr">
        <is>
          <t>Sum</t>
        </is>
      </c>
    </row>
    <row r="2">
      <c r="A2" s="759">
        <f>SUM(C2:N2)</f>
        <v/>
      </c>
      <c r="B2" s="343" t="inlineStr">
        <is>
          <t>Devis/Quotes</t>
        </is>
      </c>
      <c r="C2" s="709">
        <f t="array" ref="C2">SUMPRODUCT((YEAR(Data!$D$3:$D511)=2022)*(MONTH(Data!$D$3:$D511)=1)*(Data!$I$3:I511))</f>
        <v/>
      </c>
      <c r="D2" s="774">
        <f t="array" ref="D2">SUMPRODUCT((YEAR(Data!$D$3:$D511)=2022)*(MONTH(Data!$D$3:$D511)=2)*(Data!$I$3:I511))</f>
        <v/>
      </c>
      <c r="E2" s="774">
        <f t="array" ref="E2">SUMPRODUCT((YEAR(Data!$D$3:$D$511)=2022)*(MONTH(Data!$D$3:$D$511)=3)*(Data!$I$3:$I$511))</f>
        <v/>
      </c>
      <c r="F2" s="774">
        <f t="array" ref="F2">SUMPRODUCT((YEAR(Data!$D$3:$D$511)=2022)*(MONTH(Data!$D$3:$D$511)=4)*(Data!$I$3:$I$511))</f>
        <v/>
      </c>
      <c r="G2" s="774">
        <f t="array" ref="G2">SUMPRODUCT((YEAR(Data!$D$3:$D$511)=2022)*(MONTH(Data!$D$3:$D$511)=5)*(Data!$I$3:$I$511))</f>
        <v/>
      </c>
      <c r="H2" s="774">
        <f t="array" ref="H2">SUMPRODUCT((YEAR(Data!$D$3:$D$511)=2022)*(MONTH(Data!$D$3:$D$511)=6)*(Data!$I$3:$I$511))</f>
        <v/>
      </c>
      <c r="I2" s="774">
        <f t="array" ref="I2">SUMPRODUCT((YEAR(Data!$D$3:$D$511)=2022)*(MONTH(Data!$D$3:$D$511)=7)*(Data!$I$3:$I$511))</f>
        <v/>
      </c>
      <c r="J2" s="774">
        <f t="array" ref="J2">SUMPRODUCT((YEAR(Data!$D$3:$D$511)=2022)*(MONTH(Data!$D$3:$D$511)=8)*(Data!$I$3:$I$511))</f>
        <v/>
      </c>
      <c r="K2" s="774">
        <f t="array" ref="K2">SUMPRODUCT((YEAR(Data!$D$3:$D$511)=2022)*(MONTH(Data!$D$3:$D$511)=9)*(Data!$I$3:$I$511))</f>
        <v/>
      </c>
      <c r="L2" s="774">
        <f t="array" ref="L2">SUMPRODUCT((YEAR(Data!$D$3:$D$511)=2022)*(MONTH(Data!$D$3:$D$511)=10)*(Data!$I$3:$I$511))</f>
        <v/>
      </c>
      <c r="M2" s="774">
        <f t="array" ref="M2">SUMPRODUCT((YEAR(Data!$D$3:$D$511)=2022)*(MONTH(Data!$D$3:$D$511)=11)*(Data!$I$3:$I$511))</f>
        <v/>
      </c>
      <c r="N2" s="774">
        <f t="array" ref="N2">SUMPRODUCT((YEAR(Data!$D$3:$D$511)=2022)*(MONTH(Data!$D$3:$D$511)=12)*(Data!$I$3:$I$511))</f>
        <v/>
      </c>
      <c r="O2" s="817">
        <f>SUM(C2:N2)</f>
        <v/>
      </c>
      <c r="P2" s="50" t="n"/>
    </row>
    <row r="3">
      <c r="A3" s="818">
        <f>SUM(C3:N3)</f>
        <v/>
      </c>
      <c r="B3" s="106" t="inlineStr">
        <is>
          <t>Cmde/O.I</t>
        </is>
      </c>
      <c r="C3" s="819">
        <f>SUMIFS(Data!$S$3:$S$348,Data!$P$3:$P$348,C$21,Data!$O$3:$O$348,"2022")</f>
        <v/>
      </c>
      <c r="D3" s="819">
        <f>SUMIFS(Data!$S$3:$S$348,Data!$P$3:$P$348,D$21,Data!$O$3:$O$348,"2022")</f>
        <v/>
      </c>
      <c r="E3" s="819">
        <f>SUMIFS(Data!$S$3:$S$348,Data!$P$3:$P$348,E$21,Data!$O$3:$O$348,"2022")</f>
        <v/>
      </c>
      <c r="F3" s="819">
        <f>SUMIFS(Data!$S$3:$S$348,Data!$P$3:$P$348,F$21,Data!$O$3:$O$348,"2022")</f>
        <v/>
      </c>
      <c r="G3" s="819">
        <f>SUMIFS(Data!$S$3:$S$348,Data!$P$3:$P$348,G$21,Data!$O$3:$O$348,"2022")</f>
        <v/>
      </c>
      <c r="H3" s="819">
        <f>SUMIFS(Data!$S$3:$S$348,Data!$P$3:$P$348,H$21,Data!$O$3:$O$348,"2022")</f>
        <v/>
      </c>
      <c r="I3" s="819">
        <f>SUMIFS(Data!$S$3:$S$348,Data!$P$3:$P$348,I$21,Data!$O$3:$O$348,"2022")</f>
        <v/>
      </c>
      <c r="J3" s="819">
        <f>SUMIFS(Data!$S$3:$S$348,Data!$P$3:$P$348,J$21,Data!$O$3:$O$348,"2022")</f>
        <v/>
      </c>
      <c r="K3" s="819">
        <f>SUMIFS(Data!$S$3:$S$348,Data!$P$3:$P$348,K$21,Data!$O$3:$O$348,"2022")</f>
        <v/>
      </c>
      <c r="L3" s="819">
        <f>SUMIFS(Data!$S$3:$S$348,Data!$P$3:$P$348,L$21,Data!$O$3:$O$348,"2022")</f>
        <v/>
      </c>
      <c r="M3" s="819">
        <f>SUMIFS(Data!$S$3:$S$348,Data!$P$3:$P$348,M$21,Data!$O$3:$O$348,"2022")</f>
        <v/>
      </c>
      <c r="N3" s="819">
        <f>SUMIFS(Data!$S$3:$S$348,Data!$P$3:$P$348,N$21,Data!$O$3:$O$348,"2022")</f>
        <v/>
      </c>
      <c r="O3" s="817">
        <f>SUM(C3:N3)</f>
        <v/>
      </c>
      <c r="P3" s="150" t="n"/>
    </row>
    <row r="4" customFormat="1" s="696">
      <c r="A4" s="820">
        <f>SUM(C4:N4)</f>
        <v/>
      </c>
      <c r="B4" s="162" t="inlineStr">
        <is>
          <t>CA/Revenue</t>
        </is>
      </c>
      <c r="C4" s="821">
        <f t="array" ref="C4">SUMPRODUCT((YEAR(Data!$AC$3:$AC$511)=2022)*(MONTH(Data!$AC$3:$AC$511)=1)*(Data!$AD$3:$AD$511))-Data!AD64-Data!AD65-Data!AD95</f>
        <v/>
      </c>
      <c r="D4" s="821">
        <f t="array" ref="D4">SUMPRODUCT((YEAR(Data!$AC$3:$AC$511)=2022)*(MONTH(Data!$AC$3:$AC$511)=2)*(Data!$AD$3:$AD$511))</f>
        <v/>
      </c>
      <c r="E4" s="821">
        <f t="array" ref="E4">SUMPRODUCT((YEAR(Data!$AC$3:$AC$511)=2022)*(MONTH(Data!$AC$3:$AC$511)=3)*(Data!$AD$3:$AD$511))-Data!AD128-Data!AD129-Data!AD130</f>
        <v/>
      </c>
      <c r="F4" s="821">
        <f t="array" ref="F4">SUMPRODUCT((YEAR(Data!$AC$3:$AC$511)=2022)*(MONTH(Data!$AC$3:$AC$511)=4)*(Data!$AD$3:$AD$511))</f>
        <v/>
      </c>
      <c r="G4" s="821">
        <f t="array" ref="G4">SUMPRODUCT((YEAR(Data!$AC$3:$AC$511)=2022)*(MONTH(Data!$AC$3:$AC$511)=5)*(Data!$AD$3:$AD$511))</f>
        <v/>
      </c>
      <c r="H4" s="821">
        <f t="array" ref="H4">SUMPRODUCT((YEAR(Data!$AC$3:$AC$511)=2022)*(MONTH(Data!$AC$3:$AC$511)=6)*(Data!$AD$3:$AD$511))</f>
        <v/>
      </c>
      <c r="I4" s="821">
        <f t="array" ref="I4">SUMPRODUCT((YEAR(Data!$AC$3:$AC$511)=2022)*(MONTH(Data!$AC$3:$AC$511)=7)*(Data!$AD$3:$AD$511))</f>
        <v/>
      </c>
      <c r="J4" s="821">
        <f t="array" ref="J4">SUMPRODUCT((YEAR(Data!$AC$3:$AC$511)=2022)*(MONTH(Data!$AC$3:$AC$511)=8)*(Data!$AD$3:$AD$511))</f>
        <v/>
      </c>
      <c r="K4" s="821">
        <f t="array" ref="K4">SUMPRODUCT((YEAR(Data!$AC$3:$AC$511)=2022)*(MONTH(Data!$AC$3:$AC$511)=9)*(Data!$AD$3:$AD$511))</f>
        <v/>
      </c>
      <c r="L4" s="821">
        <f t="array" ref="L4">SUMPRODUCT((YEAR(Data!$AC$3:$AC$511)=2022)*(MONTH(Data!$AC$3:$AC$511)=10)*(Data!$AD$3:$AD$511))</f>
        <v/>
      </c>
      <c r="M4" s="821">
        <f t="array" ref="M4">SUMPRODUCT((YEAR(Data!$AC$3:$AC$511)=2022)*(MONTH(Data!$AC$3:$AC$511)=11)*(Data!$AD$3:$AD$511))</f>
        <v/>
      </c>
      <c r="N4" s="821">
        <f t="array" ref="N4">SUMPRODUCT((YEAR(Data!$AC$3:$AC$511)=2022)*(MONTH(Data!$AC$3:$AC$511)=12)*(Data!$AD$3:$AD$511))</f>
        <v/>
      </c>
      <c r="O4" s="817">
        <f>SUM(C4:N4)</f>
        <v/>
      </c>
      <c r="P4" s="822" t="n"/>
      <c r="Q4" t="n"/>
    </row>
    <row r="5">
      <c r="A5" s="818">
        <f>SUM(C5:N5)</f>
        <v/>
      </c>
      <c r="B5" s="106" t="inlineStr">
        <is>
          <t>Cmde/O.I</t>
        </is>
      </c>
      <c r="C5" s="819">
        <f>C17*$O$5</f>
        <v/>
      </c>
      <c r="D5" s="819">
        <f>D17*$O$5</f>
        <v/>
      </c>
      <c r="E5" s="819">
        <f>E17*$O$5</f>
        <v/>
      </c>
      <c r="F5" s="819">
        <f>F17*$O$5</f>
        <v/>
      </c>
      <c r="G5" s="819">
        <f>G17*$O$5</f>
        <v/>
      </c>
      <c r="H5" s="819">
        <f>H17*$O$5</f>
        <v/>
      </c>
      <c r="I5" s="819">
        <f>I17*$O$5</f>
        <v/>
      </c>
      <c r="J5" s="819">
        <f>J17*$O$5</f>
        <v/>
      </c>
      <c r="K5" s="819">
        <f>K17*$O$5</f>
        <v/>
      </c>
      <c r="L5" s="819">
        <f>L17*$O$5</f>
        <v/>
      </c>
      <c r="M5" s="819">
        <f>M17*$O$5</f>
        <v/>
      </c>
      <c r="N5" s="819">
        <f>N17*$O$5</f>
        <v/>
      </c>
      <c r="O5" s="823" t="n"/>
      <c r="P5" s="150" t="n"/>
    </row>
    <row r="6" customFormat="1" s="696">
      <c r="A6" s="820">
        <f>SUM(C6:N6)</f>
        <v/>
      </c>
      <c r="B6" s="162" t="inlineStr">
        <is>
          <t>CA/Revenue</t>
        </is>
      </c>
      <c r="C6" s="821">
        <f>C19*$O$6</f>
        <v/>
      </c>
      <c r="D6" s="821">
        <f>D19*$O$6</f>
        <v/>
      </c>
      <c r="E6" s="821">
        <f>E19*$O$6</f>
        <v/>
      </c>
      <c r="F6" s="821">
        <f>F19*$O$6</f>
        <v/>
      </c>
      <c r="G6" s="821">
        <f>G19*$O$6</f>
        <v/>
      </c>
      <c r="H6" s="821">
        <f>H19*$O$6</f>
        <v/>
      </c>
      <c r="I6" s="821">
        <f>I19*$O$6</f>
        <v/>
      </c>
      <c r="J6" s="821">
        <f>J19*$O$6</f>
        <v/>
      </c>
      <c r="K6" s="821">
        <f>K19*$O$6</f>
        <v/>
      </c>
      <c r="L6" s="821">
        <f>L19*$O$6</f>
        <v/>
      </c>
      <c r="M6" s="821">
        <f>M19*$O$6</f>
        <v/>
      </c>
      <c r="N6" s="821">
        <f>N19*$O$6</f>
        <v/>
      </c>
      <c r="O6" s="824" t="n"/>
      <c r="P6" s="822" t="n"/>
    </row>
    <row r="7">
      <c r="A7" s="825" t="n"/>
      <c r="B7" s="26" t="inlineStr">
        <is>
          <t>Cum. Devis</t>
        </is>
      </c>
      <c r="C7" s="826">
        <f>C2</f>
        <v/>
      </c>
      <c r="D7" s="827">
        <f>C7+D2</f>
        <v/>
      </c>
      <c r="E7" s="827">
        <f>D7+E2</f>
        <v/>
      </c>
      <c r="F7" s="827">
        <f>E7+F2</f>
        <v/>
      </c>
      <c r="G7" s="826">
        <f>F7+G2</f>
        <v/>
      </c>
      <c r="H7" s="761">
        <f>G7+H2</f>
        <v/>
      </c>
      <c r="I7" s="826">
        <f>H7+I2</f>
        <v/>
      </c>
      <c r="J7" s="825">
        <f>I7+J2</f>
        <v/>
      </c>
      <c r="K7" s="825">
        <f>J7+K2</f>
        <v/>
      </c>
      <c r="L7" s="825">
        <f>K7+L2</f>
        <v/>
      </c>
      <c r="M7" s="825">
        <f>L7+M2</f>
        <v/>
      </c>
      <c r="N7" s="825">
        <f>M7+N2</f>
        <v/>
      </c>
    </row>
    <row r="8" customFormat="1" s="160">
      <c r="A8" s="828" t="inlineStr">
        <is>
          <t>O.I</t>
        </is>
      </c>
      <c r="B8" s="160" t="inlineStr">
        <is>
          <t>Cum. O.I</t>
        </is>
      </c>
      <c r="C8" s="829">
        <f>C3</f>
        <v/>
      </c>
      <c r="D8" s="830">
        <f>C8+D3</f>
        <v/>
      </c>
      <c r="E8" s="830">
        <f>D8+E3</f>
        <v/>
      </c>
      <c r="F8" s="830">
        <f>E8+F3</f>
        <v/>
      </c>
      <c r="G8" s="830">
        <f>F8+G3</f>
        <v/>
      </c>
      <c r="H8" s="830">
        <f>G8+H3</f>
        <v/>
      </c>
      <c r="I8" s="830">
        <f>H8+I3</f>
        <v/>
      </c>
      <c r="J8" s="830">
        <f>I8+J3</f>
        <v/>
      </c>
      <c r="K8" s="830">
        <f>J8+K3</f>
        <v/>
      </c>
      <c r="L8" s="830">
        <f>K8+L3</f>
        <v/>
      </c>
      <c r="M8" s="830">
        <f>L8+M3</f>
        <v/>
      </c>
      <c r="N8" s="830">
        <f>M8+N3</f>
        <v/>
      </c>
    </row>
    <row r="9" customFormat="1" s="160">
      <c r="A9" s="831" t="inlineStr">
        <is>
          <t>PLAN</t>
        </is>
      </c>
      <c r="B9" t="inlineStr">
        <is>
          <t>Target O.I</t>
        </is>
      </c>
      <c r="C9" s="709">
        <f>SUM('Weekly Data'!C5:G5)</f>
        <v/>
      </c>
      <c r="D9" s="832">
        <f>SUM('Weekly Data'!H5:K5)</f>
        <v/>
      </c>
      <c r="E9" s="832">
        <f>SUM('Weekly Data'!L5:O5)</f>
        <v/>
      </c>
      <c r="F9" s="709">
        <f>SUM('Weekly Data'!P5:S5)</f>
        <v/>
      </c>
      <c r="G9" s="709">
        <f>SUM('Weekly Data'!T5:X5)</f>
        <v/>
      </c>
      <c r="H9" s="709">
        <f>SUM('Weekly Data'!Y5:AB5)</f>
        <v/>
      </c>
      <c r="I9" s="709">
        <f>SUM('Weekly Data'!AC5:AG5)</f>
        <v/>
      </c>
      <c r="J9" s="759">
        <f>SUM('Weekly Data'!AH5:AK5)</f>
        <v/>
      </c>
      <c r="K9" s="709">
        <f>SUM('Weekly Data'!AL5:AO5)</f>
        <v/>
      </c>
      <c r="L9" s="709">
        <f>SUM('Weekly Data'!AP5:AT5)</f>
        <v/>
      </c>
      <c r="M9" s="709">
        <f>SUM('Weekly Data'!AU5:AX5)</f>
        <v/>
      </c>
      <c r="N9" s="709">
        <f>SUM('Weekly Data'!AY5:BB5)</f>
        <v/>
      </c>
    </row>
    <row r="10">
      <c r="A10" s="831" t="inlineStr">
        <is>
          <t>PLAN</t>
        </is>
      </c>
      <c r="B10" t="inlineStr">
        <is>
          <t>Cum. Target O.I</t>
        </is>
      </c>
      <c r="C10" s="709">
        <f>C9</f>
        <v/>
      </c>
      <c r="D10" s="832">
        <f>C10+D9</f>
        <v/>
      </c>
      <c r="E10" s="832">
        <f>D10+E9</f>
        <v/>
      </c>
      <c r="F10" s="709">
        <f>E10+F9</f>
        <v/>
      </c>
      <c r="G10" s="709">
        <f>F10+G9</f>
        <v/>
      </c>
      <c r="H10" s="709">
        <f>G10+H9</f>
        <v/>
      </c>
      <c r="I10" s="709">
        <f>H10+I9</f>
        <v/>
      </c>
      <c r="J10" s="759">
        <f>I10+J9</f>
        <v/>
      </c>
      <c r="K10" s="709">
        <f>J10+K9</f>
        <v/>
      </c>
      <c r="L10" s="709">
        <f>K10+L9</f>
        <v/>
      </c>
      <c r="M10" s="709">
        <f>L10+M9</f>
        <v/>
      </c>
      <c r="N10" s="709">
        <f>M10+N9</f>
        <v/>
      </c>
    </row>
    <row r="11">
      <c r="A11" s="49" t="inlineStr">
        <is>
          <t>DEVIATION</t>
        </is>
      </c>
      <c r="B11" s="696" t="inlineStr">
        <is>
          <t>Cum. Dev. O.I</t>
        </is>
      </c>
      <c r="C11" s="833">
        <f>C8-C10</f>
        <v/>
      </c>
      <c r="D11" s="834">
        <f>D8-D10</f>
        <v/>
      </c>
      <c r="E11" s="834">
        <f>E8-E10</f>
        <v/>
      </c>
      <c r="F11" s="833">
        <f>F8-F10</f>
        <v/>
      </c>
      <c r="G11" s="833">
        <f>G8-G10</f>
        <v/>
      </c>
      <c r="H11" s="835">
        <f>H8-H10</f>
        <v/>
      </c>
      <c r="I11" s="835">
        <f>I8-I10</f>
        <v/>
      </c>
      <c r="J11" s="835">
        <f>J8-J10</f>
        <v/>
      </c>
      <c r="K11" s="835">
        <f>K8-K10</f>
        <v/>
      </c>
      <c r="L11" s="836">
        <f>L8-L10</f>
        <v/>
      </c>
      <c r="M11" s="836">
        <f>M8-M10</f>
        <v/>
      </c>
      <c r="N11" s="822">
        <f>N8-N10</f>
        <v/>
      </c>
    </row>
    <row r="12" customFormat="1" s="160">
      <c r="A12" s="30" t="inlineStr">
        <is>
          <t>REVENUE</t>
        </is>
      </c>
      <c r="B12" s="837" t="inlineStr">
        <is>
          <t>Cum. Revenue</t>
        </is>
      </c>
      <c r="C12" s="838">
        <f>C4</f>
        <v/>
      </c>
      <c r="D12" s="839">
        <f>D4+C12</f>
        <v/>
      </c>
      <c r="E12" s="839">
        <f>E4+D12</f>
        <v/>
      </c>
      <c r="F12" s="839">
        <f>F4+E12</f>
        <v/>
      </c>
      <c r="G12" s="839">
        <f>G4+F12</f>
        <v/>
      </c>
      <c r="H12" s="839">
        <f>H4+G12</f>
        <v/>
      </c>
      <c r="I12" s="839">
        <f>I4+H12</f>
        <v/>
      </c>
      <c r="J12" s="839">
        <f>J4+I12</f>
        <v/>
      </c>
      <c r="K12" s="839">
        <f>K4+J12</f>
        <v/>
      </c>
      <c r="L12" s="839">
        <f>L4+K12</f>
        <v/>
      </c>
      <c r="M12" s="839">
        <f>M4+L12</f>
        <v/>
      </c>
      <c r="N12" s="839">
        <f>N4+M12</f>
        <v/>
      </c>
    </row>
    <row r="13" customFormat="1" s="160">
      <c r="A13" s="47" t="inlineStr">
        <is>
          <t>PLAN</t>
        </is>
      </c>
      <c r="B13" t="inlineStr">
        <is>
          <t>Target Revenue</t>
        </is>
      </c>
      <c r="C13" s="709">
        <f>SUM('Weekly Data'!C6:G6)</f>
        <v/>
      </c>
      <c r="D13" s="832">
        <f>SUM('Weekly Data'!H6:K6)</f>
        <v/>
      </c>
      <c r="E13" s="832">
        <f>SUM('Weekly Data'!L6:O6)</f>
        <v/>
      </c>
      <c r="F13" s="709">
        <f>SUM('Weekly Data'!P6:S6)</f>
        <v/>
      </c>
      <c r="G13" s="709">
        <f>SUM('Weekly Data'!T6:X6)</f>
        <v/>
      </c>
      <c r="H13" s="709">
        <f>SUM('Weekly Data'!Y6:AB6)</f>
        <v/>
      </c>
      <c r="I13" s="709">
        <f>SUM('Weekly Data'!AC6:AG6)</f>
        <v/>
      </c>
      <c r="J13" s="759">
        <f>SUM('Weekly Data'!AH6:AK6)</f>
        <v/>
      </c>
      <c r="K13" s="709">
        <f>SUM('Weekly Data'!AL6:AO6)</f>
        <v/>
      </c>
      <c r="L13" s="709">
        <f>SUM('Weekly Data'!AP6:AT6)</f>
        <v/>
      </c>
      <c r="M13" s="709">
        <f>SUM('Weekly Data'!AU6:AX6)</f>
        <v/>
      </c>
      <c r="N13" s="709">
        <f>SUM('Weekly Data'!AV6:AY6)</f>
        <v/>
      </c>
    </row>
    <row r="14">
      <c r="A14" s="47" t="inlineStr">
        <is>
          <t>PLAN</t>
        </is>
      </c>
      <c r="B14" t="inlineStr">
        <is>
          <t>Cum. Target Revenue</t>
        </is>
      </c>
      <c r="C14" s="840">
        <f>C13</f>
        <v/>
      </c>
      <c r="D14" s="832">
        <f>C14+D13</f>
        <v/>
      </c>
      <c r="E14" s="832">
        <f>D14+E13</f>
        <v/>
      </c>
      <c r="F14" s="709">
        <f>E14+F13</f>
        <v/>
      </c>
      <c r="G14" s="709">
        <f>F14+G13</f>
        <v/>
      </c>
      <c r="H14" s="709">
        <f>G14+H13</f>
        <v/>
      </c>
      <c r="I14" s="709">
        <f>H14+I13</f>
        <v/>
      </c>
      <c r="J14" s="759">
        <f>I14+J13</f>
        <v/>
      </c>
      <c r="K14" s="709">
        <f>J14+K13</f>
        <v/>
      </c>
      <c r="L14" s="709">
        <f>K14+L13</f>
        <v/>
      </c>
      <c r="M14" s="709">
        <f>L14+M13</f>
        <v/>
      </c>
      <c r="N14" s="709">
        <f>M14+N13</f>
        <v/>
      </c>
    </row>
    <row r="15">
      <c r="A15" s="48" t="inlineStr">
        <is>
          <t>DEVIATION</t>
        </is>
      </c>
      <c r="B15" s="761" t="inlineStr">
        <is>
          <t>Cum. Dev. Revenue</t>
        </is>
      </c>
      <c r="C15" s="833">
        <f>C12-C14</f>
        <v/>
      </c>
      <c r="D15" s="834">
        <f>D12-D14</f>
        <v/>
      </c>
      <c r="E15" s="834">
        <f>E12-E14</f>
        <v/>
      </c>
      <c r="F15" s="833">
        <f>F12-F14</f>
        <v/>
      </c>
      <c r="G15" s="833">
        <f>G12-G14</f>
        <v/>
      </c>
      <c r="H15" s="835">
        <f>H12-H14</f>
        <v/>
      </c>
      <c r="I15" s="835">
        <f>I12-I14</f>
        <v/>
      </c>
      <c r="J15" s="835">
        <f>J12-J14</f>
        <v/>
      </c>
      <c r="K15" s="835">
        <f>K12-K14</f>
        <v/>
      </c>
      <c r="L15" s="835">
        <f>L12-L14</f>
        <v/>
      </c>
      <c r="M15" s="835">
        <f>M12-M14</f>
        <v/>
      </c>
      <c r="N15" s="761">
        <f>N12-N14</f>
        <v/>
      </c>
      <c r="S15" s="774" t="n"/>
    </row>
    <row r="16">
      <c r="A16" t="inlineStr">
        <is>
          <t>Backlog 2020</t>
        </is>
      </c>
      <c r="B16" s="841" t="n">
        <v>39254</v>
      </c>
      <c r="C16" s="759">
        <f>B16+C3-C4</f>
        <v/>
      </c>
      <c r="D16" s="759">
        <f>C16+D3-D4</f>
        <v/>
      </c>
      <c r="E16" s="759">
        <f>D16+E3-E4</f>
        <v/>
      </c>
      <c r="F16" s="759">
        <f>E16+F3-F4</f>
        <v/>
      </c>
      <c r="G16" s="759">
        <f>F16+G3-G4</f>
        <v/>
      </c>
      <c r="H16" s="759">
        <f>G16+H3-H4</f>
        <v/>
      </c>
      <c r="I16" s="759">
        <f>H16+I3-I4</f>
        <v/>
      </c>
      <c r="J16" s="759">
        <f>I16+J3-J4</f>
        <v/>
      </c>
      <c r="K16" s="759">
        <f>J16+K3-K4</f>
        <v/>
      </c>
      <c r="L16" s="759">
        <f>K16+L3-L4</f>
        <v/>
      </c>
      <c r="M16" s="759">
        <f>L16+M3-M4</f>
        <v/>
      </c>
      <c r="N16" s="759">
        <f>M16+N3-N4</f>
        <v/>
      </c>
      <c r="O16" s="759" t="n"/>
      <c r="S16" s="774" t="n"/>
    </row>
    <row r="17">
      <c r="B17" s="841" t="inlineStr">
        <is>
          <t>Cmde Distribution</t>
        </is>
      </c>
      <c r="C17" s="161" t="n">
        <v>0.09818431320813201</v>
      </c>
      <c r="D17" s="161" t="n">
        <v>0.07628396311362316</v>
      </c>
      <c r="E17" s="161" t="n">
        <v>0.1005893766451187</v>
      </c>
      <c r="F17" s="161" t="n">
        <v>0.08833016383639521</v>
      </c>
      <c r="G17" s="161" t="n">
        <v>0.1027978467776269</v>
      </c>
      <c r="H17" s="161" t="n">
        <v>0.1130793165408566</v>
      </c>
      <c r="I17" s="161" t="n">
        <v>0.1249037196893451</v>
      </c>
      <c r="J17" s="161" t="n">
        <v>0.06954938222174342</v>
      </c>
      <c r="K17" s="161" t="n">
        <v>0.06617201006788159</v>
      </c>
      <c r="L17" s="161" t="n">
        <v>0.0448903887909843</v>
      </c>
      <c r="M17" s="161" t="n">
        <v>0.05760975955414655</v>
      </c>
      <c r="N17" s="161" t="n">
        <v>0.05760975955414655</v>
      </c>
      <c r="O17" s="759" t="n"/>
      <c r="S17" s="774" t="n"/>
    </row>
    <row r="18">
      <c r="B18" s="841" t="inlineStr">
        <is>
          <t>CA Distribution</t>
        </is>
      </c>
      <c r="C18" s="161" t="n">
        <v>0.03906880124113987</v>
      </c>
      <c r="D18" s="161" t="n">
        <v>0.1083888695887865</v>
      </c>
      <c r="E18" s="161" t="n">
        <v>0.05958236601051375</v>
      </c>
      <c r="F18" s="161" t="n">
        <v>0.06120408029449428</v>
      </c>
      <c r="G18" s="161" t="n">
        <v>0.1166287491291777</v>
      </c>
      <c r="H18" s="161" t="n">
        <v>0.03992845645871607</v>
      </c>
      <c r="I18" s="161" t="n">
        <v>0.108953713634688</v>
      </c>
      <c r="J18" s="161" t="n">
        <v>0.07527545628729071</v>
      </c>
      <c r="K18" s="161" t="n">
        <v>0.0716396203964831</v>
      </c>
      <c r="L18" s="161" t="n">
        <v>0.1170580710584261</v>
      </c>
      <c r="M18" s="161" t="n">
        <v>0.134847877266856</v>
      </c>
      <c r="N18" s="161" t="n">
        <v>0.06742393863342802</v>
      </c>
      <c r="O18" s="759" t="n"/>
      <c r="S18" s="774" t="n"/>
    </row>
    <row r="19">
      <c r="B19" s="841" t="inlineStr">
        <is>
          <t>Mittigated CA Distribution</t>
        </is>
      </c>
      <c r="C19" s="161">
        <f>C18*2/3+D18/3</f>
        <v/>
      </c>
      <c r="D19" s="161">
        <f>C18/3+D18/3+E18/3</f>
        <v/>
      </c>
      <c r="E19" s="161">
        <f>D18/3+E18/3+F18/3</f>
        <v/>
      </c>
      <c r="F19" s="161">
        <f>E18/3+F18/3+G18/3</f>
        <v/>
      </c>
      <c r="G19" s="161">
        <f>F18/3+G18/3+H18/3</f>
        <v/>
      </c>
      <c r="H19" s="161">
        <f>G18/3+H18/3+I18/3</f>
        <v/>
      </c>
      <c r="I19" s="161">
        <f>H18/3+I18/3+J18/3</f>
        <v/>
      </c>
      <c r="J19" s="161">
        <f>I18/3+J18/3+K18/3</f>
        <v/>
      </c>
      <c r="K19" s="161">
        <f>J18/3+K18/3+L18/3</f>
        <v/>
      </c>
      <c r="L19" s="161">
        <f>K18/3+L18/3+M18/3</f>
        <v/>
      </c>
      <c r="M19" s="161">
        <f>L18/3+M18/3+N18/3</f>
        <v/>
      </c>
      <c r="N19" s="161">
        <f>M18/3+N18*2/3</f>
        <v/>
      </c>
      <c r="O19" s="759" t="n"/>
      <c r="S19" s="774" t="n"/>
    </row>
    <row r="21" customFormat="1" s="252">
      <c r="C21" s="254" t="n">
        <v>1</v>
      </c>
      <c r="D21" s="254" t="n">
        <v>2</v>
      </c>
      <c r="E21" s="254" t="n">
        <v>3</v>
      </c>
      <c r="F21" s="254" t="n">
        <v>4</v>
      </c>
      <c r="G21" s="254" t="n">
        <v>5</v>
      </c>
      <c r="H21" s="254" t="n">
        <v>6</v>
      </c>
      <c r="I21" s="254" t="n">
        <v>7</v>
      </c>
      <c r="J21" s="254" t="n">
        <v>8</v>
      </c>
      <c r="K21" s="254" t="n">
        <v>9</v>
      </c>
      <c r="L21" s="254" t="n">
        <v>10</v>
      </c>
      <c r="M21" s="254" t="n">
        <v>11</v>
      </c>
      <c r="N21" s="254" t="n">
        <v>12</v>
      </c>
    </row>
    <row r="22">
      <c r="B22" s="267" t="inlineStr">
        <is>
          <t>BU GSE OI</t>
        </is>
      </c>
      <c r="C22" s="709">
        <f>SUMIFS(tbl_DCFC[C Montant € HT],tbl_DCFC[OI_Month],C$21,tbl_DCFC[BU_Key],"GSE",tbl_DCFC[OI_Year],2022)</f>
        <v/>
      </c>
      <c r="D22" s="709">
        <f>SUMIFS(tbl_DCFC[C Montant € HT],tbl_DCFC[OI_Month],D$21,tbl_DCFC[BU_Key],"GSE",tbl_DCFC[OI_Year],2022)</f>
        <v/>
      </c>
      <c r="E22" s="709">
        <f>SUMIFS(tbl_DCFC[C Montant € HT],tbl_DCFC[OI_Month],E$21,tbl_DCFC[BU_Key],"GSE",tbl_DCFC[OI_Year],2022)</f>
        <v/>
      </c>
      <c r="F22" s="709">
        <f>SUMIFS(tbl_DCFC[C Montant € HT],tbl_DCFC[OI_Month],F$21,tbl_DCFC[BU_Key],"GSE",tbl_DCFC[OI_Year],2022)</f>
        <v/>
      </c>
      <c r="G22" s="709">
        <f>SUMIFS(tbl_DCFC[C Montant € HT],tbl_DCFC[OI_Month],G$21,tbl_DCFC[BU_Key],"GSE",tbl_DCFC[OI_Year],2022)</f>
        <v/>
      </c>
      <c r="H22" s="709">
        <f>SUMIFS(tbl_DCFC[C Montant € HT],tbl_DCFC[OI_Month],H$21,tbl_DCFC[BU_Key],"GSE",tbl_DCFC[OI_Year],2022)</f>
        <v/>
      </c>
      <c r="I22" s="709">
        <f>SUMIFS(tbl_DCFC[C Montant € HT],tbl_DCFC[OI_Month],I$21,tbl_DCFC[BU_Key],"GSE",tbl_DCFC[OI_Year],2022)</f>
        <v/>
      </c>
      <c r="J22" s="709">
        <f>SUMIFS(tbl_DCFC[C Montant € HT],tbl_DCFC[OI_Month],J$21,tbl_DCFC[BU_Key],"GSE",tbl_DCFC[OI_Year],2022)</f>
        <v/>
      </c>
      <c r="K22" s="709">
        <f>SUMIFS(tbl_DCFC[C Montant € HT],tbl_DCFC[OI_Month],K$21,tbl_DCFC[BU_Key],"GSE",tbl_DCFC[OI_Year],2022)</f>
        <v/>
      </c>
      <c r="L22" s="709">
        <f>SUMIFS(tbl_DCFC[C Montant € HT],tbl_DCFC[OI_Month],L$21,tbl_DCFC[BU_Key],"GSE",tbl_DCFC[OI_Year],2022)</f>
        <v/>
      </c>
      <c r="M22" s="709">
        <f>SUMIFS(tbl_DCFC[C Montant € HT],tbl_DCFC[OI_Month],M$21,tbl_DCFC[BU_Key],"GSE",tbl_DCFC[OI_Year],2022)</f>
        <v/>
      </c>
      <c r="N22" s="709">
        <f>SUMIFS(tbl_DCFC[C Montant € HT],tbl_DCFC[OI_Month],N$21,tbl_DCFC[BU_Key],"GSE",tbl_DCFC[OI_Year],2022)</f>
        <v/>
      </c>
      <c r="O22" s="709" t="n"/>
      <c r="P22" s="709" t="n"/>
      <c r="Q22" s="709" t="n"/>
      <c r="R22" s="709" t="n"/>
      <c r="S22" s="709" t="n"/>
      <c r="T22" s="709" t="n"/>
      <c r="U22" s="709" t="n"/>
      <c r="V22" s="709" t="n"/>
      <c r="W22" s="709" t="n"/>
      <c r="X22" s="709" t="n"/>
      <c r="Y22" s="709" t="n"/>
      <c r="Z22" s="709" t="n"/>
      <c r="AA22" s="709" t="n"/>
      <c r="AB22" s="709" t="n"/>
      <c r="AC22" s="709" t="n"/>
      <c r="AD22" s="709" t="n"/>
      <c r="AE22" s="709" t="n"/>
      <c r="AF22" s="709" t="n"/>
      <c r="AG22" s="709" t="n"/>
      <c r="AH22" s="709" t="n"/>
      <c r="AI22" s="709" t="n"/>
      <c r="AJ22" s="709" t="n"/>
      <c r="AK22" s="709" t="n"/>
      <c r="AL22" s="709" t="n"/>
      <c r="AM22" s="709" t="n"/>
      <c r="AN22" s="709" t="n"/>
      <c r="AO22" s="709" t="n"/>
      <c r="AP22" s="709" t="n"/>
      <c r="AQ22" s="709" t="n"/>
      <c r="AR22" s="709" t="n"/>
      <c r="AS22" s="709" t="n"/>
      <c r="AT22" s="709">
        <f>SUMIFS(tbl_DCFC[Status],tbl_DCFC[Client],AT$1,tbl_DCFC[Contact Person],"GSE")</f>
        <v/>
      </c>
      <c r="AU22" s="709">
        <f>SUMIFS(tbl_DCFC[Spalte2],tbl_DCFC[End Client],AU$1,tbl_DCFC[Spalte12],"GSE")</f>
        <v/>
      </c>
      <c r="AV22" s="709">
        <f>SUMIFS(tbl_DCFC[CW ORDER],tbl_DCFC[D Montant € HT],AV$1,tbl_DCFC[Coûts achats],"GSE")</f>
        <v/>
      </c>
      <c r="AW22" s="709">
        <f>SUMIFS(tbl_DCFC[OI_Year],tbl_DCFC[ASM],AW$1,tbl_DCFC[Coûts main d''œuvre],"GSE")</f>
        <v/>
      </c>
      <c r="AX22" s="709">
        <f>SUMIFS(tbl_DCFC[OI_Month],tbl_DCFC[Categorie],AX$1,tbl_DCFC[Marge],"GSE")</f>
        <v/>
      </c>
      <c r="AY22" s="709">
        <f>SUMIFS(tbl_DCFC[Date Cmde],tbl_DCFC[Status],AY$1,tbl_DCFC[Marge %],"GSE")</f>
        <v/>
      </c>
      <c r="AZ22" s="709">
        <f>SUMIFS(tbl_DCFC[Cmde N°],tbl_DCFC[Spalte2],AZ$1,tbl_DCFC[Date],"GSE")</f>
        <v/>
      </c>
      <c r="BA22" s="709">
        <f>SUMIFS(tbl_DCFC[C Montant € HT],tbl_DCFC[CW ORDER],BA$1,tbl_DCFC[BU_Key],"GSE")</f>
        <v/>
      </c>
      <c r="BB22" s="709">
        <f>SUMIFS(tbl_DCFC[Montant Restant €],tbl_DCFC[OI_Year],BB$1,tbl_DCFC[CW],"GSE")</f>
        <v/>
      </c>
    </row>
    <row r="23">
      <c r="B23" s="267" t="inlineStr">
        <is>
          <t>BU Tooling OI</t>
        </is>
      </c>
      <c r="C23" s="709">
        <f>SUMIFS(tbl_DCFC[C Montant € HT],tbl_DCFC[OI_Month],C$21,tbl_DCFC[BU_Key],"TOO",tbl_DCFC[OI_Year],2022)</f>
        <v/>
      </c>
      <c r="D23" s="709">
        <f>SUMIFS(tbl_DCFC[C Montant € HT],tbl_DCFC[OI_Month],D$21,tbl_DCFC[BU_Key],"TOO",tbl_DCFC[OI_Year],2022)</f>
        <v/>
      </c>
      <c r="E23" s="709">
        <f>SUMIFS(tbl_DCFC[C Montant € HT],tbl_DCFC[OI_Month],E$21,tbl_DCFC[BU_Key],"TOO",tbl_DCFC[OI_Year],2022)</f>
        <v/>
      </c>
      <c r="F23" s="709">
        <f>SUMIFS(tbl_DCFC[C Montant € HT],tbl_DCFC[OI_Month],F$21,tbl_DCFC[BU_Key],"TOO",tbl_DCFC[OI_Year],2022)</f>
        <v/>
      </c>
      <c r="G23" s="709">
        <f>SUMIFS(tbl_DCFC[C Montant € HT],tbl_DCFC[OI_Month],G$21,tbl_DCFC[BU_Key],"TOO",tbl_DCFC[OI_Year],2022)</f>
        <v/>
      </c>
      <c r="H23" s="709">
        <f>SUMIFS(tbl_DCFC[C Montant € HT],tbl_DCFC[OI_Month],H$21,tbl_DCFC[BU_Key],"TOO",tbl_DCFC[OI_Year],2022)</f>
        <v/>
      </c>
      <c r="I23" s="709">
        <f>SUMIFS(tbl_DCFC[C Montant € HT],tbl_DCFC[OI_Month],I$21,tbl_DCFC[BU_Key],"TOO",tbl_DCFC[OI_Year],2022)</f>
        <v/>
      </c>
      <c r="J23" s="709">
        <f>SUMIFS(tbl_DCFC[C Montant € HT],tbl_DCFC[OI_Month],J$21,tbl_DCFC[BU_Key],"TOO",tbl_DCFC[OI_Year],2022)</f>
        <v/>
      </c>
      <c r="K23" s="709">
        <f>SUMIFS(tbl_DCFC[C Montant € HT],tbl_DCFC[OI_Month],K$21,tbl_DCFC[BU_Key],"TOO",tbl_DCFC[OI_Year],2022)</f>
        <v/>
      </c>
      <c r="L23" s="709">
        <f>SUMIFS(tbl_DCFC[C Montant € HT],tbl_DCFC[OI_Month],L$21,tbl_DCFC[BU_Key],"TOO",tbl_DCFC[OI_Year],2022)</f>
        <v/>
      </c>
      <c r="M23" s="709">
        <f>SUMIFS(tbl_DCFC[C Montant € HT],tbl_DCFC[OI_Month],M$21,tbl_DCFC[BU_Key],"TOO",tbl_DCFC[OI_Year],2022)</f>
        <v/>
      </c>
      <c r="N23" s="709">
        <f>SUMIFS(tbl_DCFC[C Montant € HT],tbl_DCFC[OI_Month],N$21,tbl_DCFC[BU_Key],"TOO",tbl_DCFC[OI_Year],2022)</f>
        <v/>
      </c>
      <c r="O23" s="709" t="n"/>
      <c r="P23" s="709" t="n"/>
      <c r="Q23" s="709" t="n"/>
      <c r="R23" s="709" t="n"/>
      <c r="S23" s="709" t="n"/>
      <c r="T23" s="709" t="n"/>
      <c r="U23" s="709" t="n"/>
      <c r="V23" s="709" t="n"/>
      <c r="W23" s="709" t="n"/>
      <c r="X23" s="709" t="n"/>
      <c r="Y23" s="709" t="n"/>
      <c r="Z23" s="709" t="n"/>
      <c r="AA23" s="709" t="n"/>
      <c r="AB23" s="709" t="n"/>
      <c r="AC23" s="709" t="n"/>
      <c r="AD23" s="709" t="n"/>
      <c r="AE23" s="709" t="n"/>
      <c r="AF23" s="709" t="n"/>
      <c r="AG23" s="709" t="n"/>
      <c r="AH23" s="709" t="n"/>
      <c r="AI23" s="709" t="n"/>
      <c r="AJ23" s="709" t="n"/>
      <c r="AK23" s="709" t="n"/>
      <c r="AL23" s="709" t="n"/>
      <c r="AM23" s="709" t="n"/>
      <c r="AN23" s="709" t="n"/>
      <c r="AO23" s="709" t="n"/>
      <c r="AP23" s="709" t="n"/>
      <c r="AQ23" s="709" t="n"/>
      <c r="AR23" s="709" t="n"/>
      <c r="AS23" s="709" t="n"/>
      <c r="AT23" s="709">
        <f>SUMIFS(tbl_DCFC[Status],tbl_DCFC[Client],AT$1,tbl_DCFC[Contact Person],"TOO")</f>
        <v/>
      </c>
      <c r="AU23" s="709">
        <f>SUMIFS(tbl_DCFC[Spalte2],tbl_DCFC[End Client],AU$1,tbl_DCFC[Spalte12],"TOO")</f>
        <v/>
      </c>
      <c r="AV23" s="709">
        <f>SUMIFS(tbl_DCFC[CW ORDER],tbl_DCFC[D Montant € HT],AV$1,tbl_DCFC[Coûts achats],"TOO")</f>
        <v/>
      </c>
      <c r="AW23" s="709">
        <f>SUMIFS(tbl_DCFC[OI_Year],tbl_DCFC[ASM],AW$1,tbl_DCFC[Coûts main d''œuvre],"TOO")</f>
        <v/>
      </c>
      <c r="AX23" s="709">
        <f>SUMIFS(tbl_DCFC[OI_Month],tbl_DCFC[Categorie],AX$1,tbl_DCFC[Marge],"TOO")</f>
        <v/>
      </c>
      <c r="AY23" s="709">
        <f>SUMIFS(tbl_DCFC[Date Cmde],tbl_DCFC[Status],AY$1,tbl_DCFC[Marge %],"TOO")</f>
        <v/>
      </c>
      <c r="AZ23" s="709">
        <f>SUMIFS(tbl_DCFC[Cmde N°],tbl_DCFC[Spalte2],AZ$1,tbl_DCFC[Date],"TOO")</f>
        <v/>
      </c>
      <c r="BA23" s="709">
        <f>SUMIFS(tbl_DCFC[C Montant € HT],tbl_DCFC[CW ORDER],BA$1,tbl_DCFC[BU_Key],"TOO")</f>
        <v/>
      </c>
      <c r="BB23" s="709">
        <f>SUMIFS(tbl_DCFC[Montant Restant €],tbl_DCFC[OI_Year],BB$1,tbl_DCFC[CW],"TOO")</f>
        <v/>
      </c>
    </row>
    <row r="24">
      <c r="B24" s="267" t="inlineStr">
        <is>
          <t>BU Service OI</t>
        </is>
      </c>
      <c r="C24" s="709">
        <f>SUMIFS(tbl_DCFC[C Montant € HT],tbl_DCFC[OI_Month],C$21,tbl_DCFC[BU_Key],"SER",tbl_DCFC[OI_Year],2022)</f>
        <v/>
      </c>
      <c r="D24" s="709">
        <f>SUMIFS(tbl_DCFC[C Montant € HT],tbl_DCFC[OI_Month],D$21,tbl_DCFC[BU_Key],"SER",tbl_DCFC[OI_Year],2022)</f>
        <v/>
      </c>
      <c r="E24" s="709">
        <f>SUMIFS(tbl_DCFC[C Montant € HT],tbl_DCFC[OI_Month],E$21,tbl_DCFC[BU_Key],"SER",tbl_DCFC[OI_Year],2022)</f>
        <v/>
      </c>
      <c r="F24" s="709">
        <f>SUMIFS(tbl_DCFC[C Montant € HT],tbl_DCFC[OI_Month],F$21,tbl_DCFC[BU_Key],"SER",tbl_DCFC[OI_Year],2022)</f>
        <v/>
      </c>
      <c r="G24" s="709">
        <f>SUMIFS(tbl_DCFC[C Montant € HT],tbl_DCFC[OI_Month],G$21,tbl_DCFC[BU_Key],"SER",tbl_DCFC[OI_Year],2022)</f>
        <v/>
      </c>
      <c r="H24" s="709">
        <f>SUMIFS(tbl_DCFC[C Montant € HT],tbl_DCFC[OI_Month],H$21,tbl_DCFC[BU_Key],"SER",tbl_DCFC[OI_Year],2022)</f>
        <v/>
      </c>
      <c r="I24" s="709">
        <f>SUMIFS(tbl_DCFC[C Montant € HT],tbl_DCFC[OI_Month],I$21,tbl_DCFC[BU_Key],"SER",tbl_DCFC[OI_Year],2022)</f>
        <v/>
      </c>
      <c r="J24" s="709">
        <f>SUMIFS(tbl_DCFC[C Montant € HT],tbl_DCFC[OI_Month],J$21,tbl_DCFC[BU_Key],"SER",tbl_DCFC[OI_Year],2022)</f>
        <v/>
      </c>
      <c r="K24" s="709">
        <f>SUMIFS(tbl_DCFC[C Montant € HT],tbl_DCFC[OI_Month],K$21,tbl_DCFC[BU_Key],"SER",tbl_DCFC[OI_Year],2022)</f>
        <v/>
      </c>
      <c r="L24" s="709">
        <f>SUMIFS(tbl_DCFC[C Montant € HT],tbl_DCFC[OI_Month],L$21,tbl_DCFC[BU_Key],"SER",tbl_DCFC[OI_Year],2022)</f>
        <v/>
      </c>
      <c r="M24" s="709">
        <f>SUMIFS(tbl_DCFC[C Montant € HT],tbl_DCFC[OI_Month],M$21,tbl_DCFC[BU_Key],"SER",tbl_DCFC[OI_Year],2022)</f>
        <v/>
      </c>
      <c r="N24" s="709">
        <f>SUMIFS(tbl_DCFC[C Montant € HT],tbl_DCFC[OI_Month],N$21,tbl_DCFC[BU_Key],"SER",tbl_DCFC[OI_Year],2022)</f>
        <v/>
      </c>
      <c r="O24" s="709" t="n"/>
      <c r="P24" s="709" t="n"/>
      <c r="Q24" s="709" t="n"/>
      <c r="R24" s="709" t="n"/>
      <c r="S24" s="709" t="n"/>
      <c r="T24" s="709" t="n"/>
      <c r="U24" s="709" t="n"/>
      <c r="V24" s="709" t="n"/>
      <c r="W24" s="709" t="n"/>
      <c r="X24" s="709" t="n"/>
      <c r="Y24" s="709" t="n"/>
      <c r="Z24" s="709" t="n"/>
      <c r="AA24" s="709" t="n"/>
      <c r="AB24" s="709" t="n"/>
      <c r="AC24" s="709" t="n"/>
      <c r="AD24" s="709" t="n"/>
      <c r="AE24" s="709" t="n"/>
      <c r="AF24" s="709" t="n"/>
      <c r="AG24" s="709" t="n"/>
      <c r="AH24" s="709" t="n"/>
      <c r="AI24" s="709" t="n"/>
      <c r="AJ24" s="709" t="n"/>
      <c r="AK24" s="709" t="n"/>
      <c r="AL24" s="709" t="n"/>
      <c r="AM24" s="709" t="n"/>
      <c r="AN24" s="709" t="n"/>
      <c r="AO24" s="709" t="n"/>
      <c r="AP24" s="709" t="n"/>
      <c r="AQ24" s="709" t="n"/>
      <c r="AR24" s="709" t="n"/>
      <c r="AS24" s="709" t="n"/>
      <c r="AT24" s="709">
        <f>SUMIFS(tbl_DCFC[Status],tbl_DCFC[Client],AT$1,tbl_DCFC[Contact Person],"SER")</f>
        <v/>
      </c>
      <c r="AU24" s="709">
        <f>SUMIFS(tbl_DCFC[Spalte2],tbl_DCFC[End Client],AU$1,tbl_DCFC[Spalte12],"SER")</f>
        <v/>
      </c>
      <c r="AV24" s="709">
        <f>SUMIFS(tbl_DCFC[CW ORDER],tbl_DCFC[D Montant € HT],AV$1,tbl_DCFC[Coûts achats],"SER")</f>
        <v/>
      </c>
      <c r="AW24" s="709">
        <f>SUMIFS(tbl_DCFC[OI_Year],tbl_DCFC[ASM],AW$1,tbl_DCFC[Coûts main d''œuvre],"SER")</f>
        <v/>
      </c>
      <c r="AX24" s="709">
        <f>SUMIFS(tbl_DCFC[OI_Month],tbl_DCFC[Categorie],AX$1,tbl_DCFC[Marge],"SER")</f>
        <v/>
      </c>
      <c r="AY24" s="709">
        <f>SUMIFS(tbl_DCFC[Date Cmde],tbl_DCFC[Status],AY$1,tbl_DCFC[Marge %],"SER")</f>
        <v/>
      </c>
      <c r="AZ24" s="709">
        <f>SUMIFS(tbl_DCFC[Cmde N°],tbl_DCFC[Spalte2],AZ$1,tbl_DCFC[Date],"SER")</f>
        <v/>
      </c>
      <c r="BA24" s="709">
        <f>SUMIFS(tbl_DCFC[C Montant € HT],tbl_DCFC[CW ORDER],BA$1,tbl_DCFC[BU_Key],"SER")</f>
        <v/>
      </c>
      <c r="BB24" s="709">
        <f>SUMIFS(tbl_DCFC[Montant Restant €],tbl_DCFC[OI_Year],BB$1,tbl_DCFC[CW],"SER")</f>
        <v/>
      </c>
    </row>
    <row r="25">
      <c r="B25" s="267" t="inlineStr">
        <is>
          <t>Intercompany</t>
        </is>
      </c>
      <c r="C25" s="772">
        <f>SUMIFS(tbl_DCFC[C Montant € HT],tbl_DCFC[OI_Month],C$21,tbl_DCFC[BU_Key],"INT",tbl_DCFC[OI_Year],2022)</f>
        <v/>
      </c>
      <c r="D25" s="772">
        <f>SUMIFS(tbl_DCFC[C Montant € HT],tbl_DCFC[OI_Month],D$21,tbl_DCFC[BU_Key],"INT",tbl_DCFC[OI_Year],2022)</f>
        <v/>
      </c>
      <c r="E25" s="772">
        <f>SUMIFS(tbl_DCFC[C Montant € HT],tbl_DCFC[OI_Month],E$21,tbl_DCFC[BU_Key],"INT",tbl_DCFC[OI_Year],2022)</f>
        <v/>
      </c>
      <c r="F25" s="772">
        <f>SUMIFS(tbl_DCFC[C Montant € HT],tbl_DCFC[OI_Month],F$21,tbl_DCFC[BU_Key],"INT",tbl_DCFC[OI_Year],2022)</f>
        <v/>
      </c>
      <c r="G25" s="772">
        <f>SUMIFS(tbl_DCFC[C Montant € HT],tbl_DCFC[OI_Month],G$21,tbl_DCFC[BU_Key],"INT",tbl_DCFC[OI_Year],2022)</f>
        <v/>
      </c>
      <c r="H25" s="772">
        <f>SUMIFS(tbl_DCFC[C Montant € HT],tbl_DCFC[OI_Month],H$21,tbl_DCFC[BU_Key],"INT",tbl_DCFC[OI_Year],2022)</f>
        <v/>
      </c>
      <c r="I25" s="772">
        <f>SUMIFS(tbl_DCFC[C Montant € HT],tbl_DCFC[OI_Month],I$21,tbl_DCFC[BU_Key],"INT",tbl_DCFC[OI_Year],2022)</f>
        <v/>
      </c>
      <c r="J25" s="772">
        <f>SUMIFS(tbl_DCFC[C Montant € HT],tbl_DCFC[OI_Month],J$21,tbl_DCFC[BU_Key],"INT",tbl_DCFC[OI_Year],2022)</f>
        <v/>
      </c>
      <c r="K25" s="772">
        <f>SUMIFS(tbl_DCFC[C Montant € HT],tbl_DCFC[OI_Month],K$21,tbl_DCFC[BU_Key],"INT",tbl_DCFC[OI_Year],2022)</f>
        <v/>
      </c>
      <c r="L25" s="772">
        <f>SUMIFS(tbl_DCFC[C Montant € HT],tbl_DCFC[OI_Month],L$21,tbl_DCFC[BU_Key],"INT",tbl_DCFC[OI_Year],2022)</f>
        <v/>
      </c>
      <c r="M25" s="772">
        <f>SUMIFS(tbl_DCFC[C Montant € HT],tbl_DCFC[OI_Month],M$21,tbl_DCFC[BU_Key],"INT",tbl_DCFC[OI_Year],2022)</f>
        <v/>
      </c>
      <c r="N25" s="772">
        <f>SUMIFS(tbl_DCFC[C Montant € HT],tbl_DCFC[OI_Month],N$21,tbl_DCFC[BU_Key],"INT",tbl_DCFC[OI_Year],2022)</f>
        <v/>
      </c>
      <c r="O25" s="772" t="n"/>
      <c r="P25" s="772" t="n"/>
      <c r="Q25" s="772" t="n"/>
      <c r="R25" s="772" t="n"/>
      <c r="S25" s="772" t="n"/>
      <c r="T25" s="772" t="n"/>
      <c r="U25" s="772" t="n"/>
      <c r="V25" s="772" t="n"/>
      <c r="W25" s="772" t="n"/>
      <c r="X25" s="772" t="n"/>
      <c r="Y25" s="772" t="n"/>
      <c r="Z25" s="772" t="n"/>
      <c r="AA25" s="772" t="n"/>
      <c r="AB25" s="772" t="n"/>
      <c r="AC25" s="772" t="n"/>
      <c r="AD25" s="772" t="n"/>
      <c r="AE25" s="772" t="n"/>
      <c r="AF25" s="772" t="n"/>
      <c r="AG25" s="772" t="n"/>
      <c r="AH25" s="772" t="n"/>
      <c r="AI25" s="772" t="n"/>
      <c r="AJ25" s="772" t="n"/>
      <c r="AK25" s="772" t="n"/>
      <c r="AL25" s="772" t="n"/>
      <c r="AM25" s="772" t="n"/>
      <c r="AN25" s="772" t="n"/>
      <c r="AO25" s="772" t="n"/>
      <c r="AP25" s="772" t="n"/>
      <c r="AQ25" s="772" t="n"/>
      <c r="AR25" s="772" t="n"/>
      <c r="AS25" s="772" t="n"/>
      <c r="AT25" s="772">
        <f>SUMIFS(tbl_DCFC[C Montant € HT],tbl_DCFC[CW ORDER],AT$1,tbl_DCFC[BU_Key],"INT")</f>
        <v/>
      </c>
      <c r="AU25" s="772">
        <f>SUMIFS(tbl_DCFC[C Montant € HT],tbl_DCFC[CW ORDER],AU$1,tbl_DCFC[BU_Key],"INT")</f>
        <v/>
      </c>
      <c r="AV25" s="772">
        <f>SUMIFS(tbl_DCFC[C Montant € HT],tbl_DCFC[CW ORDER],AV$1,tbl_DCFC[BU_Key],"INT")</f>
        <v/>
      </c>
      <c r="AW25" s="772">
        <f>SUMIFS(tbl_DCFC[C Montant € HT],tbl_DCFC[CW ORDER],AW$1,tbl_DCFC[BU_Key],"INT")</f>
        <v/>
      </c>
      <c r="AX25" s="772">
        <f>SUMIFS(tbl_DCFC[C Montant € HT],tbl_DCFC[CW ORDER],AX$1,tbl_DCFC[BU_Key],"INT")</f>
        <v/>
      </c>
      <c r="AY25" s="772">
        <f>SUMIFS(tbl_DCFC[C Montant € HT],tbl_DCFC[CW ORDER],AY$1,tbl_DCFC[BU_Key],"INT")</f>
        <v/>
      </c>
      <c r="AZ25" s="772">
        <f>SUMIFS(tbl_DCFC[C Montant € HT],tbl_DCFC[CW ORDER],AZ$1,tbl_DCFC[BU_Key],"INT")</f>
        <v/>
      </c>
      <c r="BA25" s="772">
        <f>SUMIFS(tbl_DCFC[C Montant € HT],tbl_DCFC[CW ORDER],BA$1,tbl_DCFC[BU_Key],"INT")</f>
        <v/>
      </c>
      <c r="BB25" s="772">
        <f>SUMIFS(tbl_DCFC[C Montant € HT],tbl_DCFC[CW ORDER],BB$1,tbl_DCFC[BU_Key],"INT")</f>
        <v/>
      </c>
    </row>
    <row r="26">
      <c r="B26" s="267" t="inlineStr">
        <is>
          <t>BU GSE OI YTD</t>
        </is>
      </c>
      <c r="C26" s="773">
        <f>C22</f>
        <v/>
      </c>
      <c r="D26" s="773">
        <f>C26+D22</f>
        <v/>
      </c>
      <c r="E26" s="773">
        <f>D26+E22</f>
        <v/>
      </c>
      <c r="F26" s="773">
        <f>E26+F22</f>
        <v/>
      </c>
      <c r="G26" s="773">
        <f>F26+G22</f>
        <v/>
      </c>
      <c r="H26" s="773">
        <f>G26+H22</f>
        <v/>
      </c>
      <c r="I26" s="773">
        <f>H26+I22</f>
        <v/>
      </c>
      <c r="J26" s="773">
        <f>I26+J22</f>
        <v/>
      </c>
      <c r="K26" s="773">
        <f>J26+K22</f>
        <v/>
      </c>
      <c r="L26" s="773">
        <f>K26+L22</f>
        <v/>
      </c>
      <c r="M26" s="773">
        <f>L26+M22</f>
        <v/>
      </c>
      <c r="N26" s="773">
        <f>M26+N22</f>
        <v/>
      </c>
      <c r="O26" s="773" t="n"/>
      <c r="P26" s="773" t="n"/>
      <c r="Q26" s="773" t="n"/>
      <c r="R26" s="773" t="n"/>
      <c r="S26" s="773" t="n"/>
      <c r="T26" s="773" t="n"/>
      <c r="U26" s="773" t="n"/>
      <c r="V26" s="773" t="n"/>
      <c r="W26" s="773" t="n"/>
      <c r="X26" s="773" t="n"/>
      <c r="Y26" s="773" t="n"/>
      <c r="Z26" s="773" t="n"/>
      <c r="AA26" s="773" t="n"/>
      <c r="AB26" s="773" t="n"/>
      <c r="AC26" s="773" t="n"/>
      <c r="AD26" s="773" t="n"/>
      <c r="AE26" s="773" t="n"/>
      <c r="AF26" s="773" t="n"/>
      <c r="AG26" s="773" t="n"/>
      <c r="AH26" s="773" t="n"/>
      <c r="AI26" s="773" t="n"/>
      <c r="AJ26" s="773" t="n"/>
      <c r="AK26" s="773" t="n"/>
      <c r="AL26" s="773" t="n"/>
      <c r="AM26" s="773" t="n"/>
      <c r="AN26" s="773" t="n"/>
      <c r="AO26" s="773" t="n"/>
      <c r="AP26" s="773" t="n"/>
      <c r="AQ26" s="773" t="n"/>
      <c r="AR26" s="773" t="n"/>
      <c r="AS26" s="773" t="n"/>
      <c r="AT26" s="773">
        <f>AS26+AT22</f>
        <v/>
      </c>
      <c r="AU26" s="773">
        <f>AT26+AU22</f>
        <v/>
      </c>
      <c r="AV26" s="773">
        <f>AU26+AV22</f>
        <v/>
      </c>
      <c r="AW26" s="773">
        <f>AV26+AW22</f>
        <v/>
      </c>
      <c r="AX26" s="773">
        <f>AW26+AX22</f>
        <v/>
      </c>
      <c r="AY26" s="773">
        <f>AX26+AY22</f>
        <v/>
      </c>
      <c r="AZ26" s="773">
        <f>AY26+AZ22</f>
        <v/>
      </c>
      <c r="BA26" s="773">
        <f>AZ26+BA22</f>
        <v/>
      </c>
      <c r="BB26" s="773">
        <f>BA26+BB22</f>
        <v/>
      </c>
    </row>
    <row r="27">
      <c r="B27" s="267" t="inlineStr">
        <is>
          <t>BU Tooling OI YTD</t>
        </is>
      </c>
      <c r="C27" s="709">
        <f>C23</f>
        <v/>
      </c>
      <c r="D27" s="709">
        <f>C27+D23</f>
        <v/>
      </c>
      <c r="E27" s="709">
        <f>D27+E23</f>
        <v/>
      </c>
      <c r="F27" s="709">
        <f>E27+F23</f>
        <v/>
      </c>
      <c r="G27" s="709">
        <f>F27+G23</f>
        <v/>
      </c>
      <c r="H27" s="709">
        <f>G27+H23</f>
        <v/>
      </c>
      <c r="I27" s="709">
        <f>H27+I23</f>
        <v/>
      </c>
      <c r="J27" s="709">
        <f>I27+J23</f>
        <v/>
      </c>
      <c r="K27" s="709">
        <f>J27+K23</f>
        <v/>
      </c>
      <c r="L27" s="709">
        <f>K27+L23</f>
        <v/>
      </c>
      <c r="M27" s="709">
        <f>L27+M23</f>
        <v/>
      </c>
      <c r="N27" s="709">
        <f>M27+N23</f>
        <v/>
      </c>
      <c r="O27" s="709" t="n"/>
      <c r="P27" s="709" t="n"/>
      <c r="Q27" s="709" t="n"/>
      <c r="R27" s="709" t="n"/>
      <c r="S27" s="709" t="n"/>
      <c r="T27" s="709" t="n"/>
      <c r="U27" s="709" t="n"/>
      <c r="V27" s="709" t="n"/>
      <c r="W27" s="709" t="n"/>
      <c r="X27" s="709" t="n"/>
      <c r="Y27" s="709" t="n"/>
      <c r="Z27" s="709" t="n"/>
      <c r="AA27" s="709" t="n"/>
      <c r="AB27" s="709" t="n"/>
      <c r="AC27" s="709" t="n"/>
      <c r="AD27" s="709" t="n"/>
      <c r="AE27" s="709" t="n"/>
      <c r="AF27" s="709" t="n"/>
      <c r="AG27" s="709" t="n"/>
      <c r="AH27" s="709" t="n"/>
      <c r="AI27" s="709" t="n"/>
      <c r="AJ27" s="709" t="n"/>
      <c r="AK27" s="709" t="n"/>
      <c r="AL27" s="709" t="n"/>
      <c r="AM27" s="709" t="n"/>
      <c r="AN27" s="709" t="n"/>
      <c r="AO27" s="709" t="n"/>
      <c r="AP27" s="709" t="n"/>
      <c r="AQ27" s="709" t="n"/>
      <c r="AR27" s="709" t="n"/>
      <c r="AS27" s="709" t="n"/>
      <c r="AT27" s="709">
        <f>AS27+AT23</f>
        <v/>
      </c>
      <c r="AU27" s="709">
        <f>AT27+AU23</f>
        <v/>
      </c>
      <c r="AV27" s="709">
        <f>AU27+AV23</f>
        <v/>
      </c>
      <c r="AW27" s="709">
        <f>AV27+AW23</f>
        <v/>
      </c>
      <c r="AX27" s="709">
        <f>AW27+AX23</f>
        <v/>
      </c>
      <c r="AY27" s="709">
        <f>AX27+AY23</f>
        <v/>
      </c>
      <c r="AZ27" s="709">
        <f>AY27+AZ23</f>
        <v/>
      </c>
      <c r="BA27" s="709">
        <f>AZ27+BA23</f>
        <v/>
      </c>
      <c r="BB27" s="709">
        <f>BA27+BB23</f>
        <v/>
      </c>
    </row>
    <row r="28">
      <c r="B28" s="267" t="inlineStr">
        <is>
          <t>BU Service OI YTD</t>
        </is>
      </c>
      <c r="C28" s="709">
        <f>C24</f>
        <v/>
      </c>
      <c r="D28" s="709">
        <f>C28+D24</f>
        <v/>
      </c>
      <c r="E28" s="709">
        <f>D28+E24</f>
        <v/>
      </c>
      <c r="F28" s="709">
        <f>E28+F24</f>
        <v/>
      </c>
      <c r="G28" s="709">
        <f>F28+G24</f>
        <v/>
      </c>
      <c r="H28" s="709">
        <f>G28+H24</f>
        <v/>
      </c>
      <c r="I28" s="709">
        <f>H28+I24</f>
        <v/>
      </c>
      <c r="J28" s="709">
        <f>I28+J24</f>
        <v/>
      </c>
      <c r="K28" s="709">
        <f>J28+K24</f>
        <v/>
      </c>
      <c r="L28" s="709">
        <f>K28+L24</f>
        <v/>
      </c>
      <c r="M28" s="709">
        <f>L28+M24</f>
        <v/>
      </c>
      <c r="N28" s="709">
        <f>M28+N24</f>
        <v/>
      </c>
      <c r="O28" s="709" t="n"/>
      <c r="P28" s="709" t="n"/>
      <c r="Q28" s="709" t="n"/>
      <c r="R28" s="709" t="n"/>
      <c r="S28" s="709" t="n"/>
      <c r="T28" s="709" t="n"/>
      <c r="U28" s="709" t="n"/>
      <c r="V28" s="709" t="n"/>
      <c r="W28" s="709" t="n"/>
      <c r="X28" s="709" t="n"/>
      <c r="Y28" s="709" t="n"/>
      <c r="Z28" s="709" t="n"/>
      <c r="AA28" s="709" t="n"/>
      <c r="AB28" s="709" t="n"/>
      <c r="AC28" s="709" t="n"/>
      <c r="AD28" s="709" t="n"/>
      <c r="AE28" s="709" t="n"/>
      <c r="AF28" s="709" t="n"/>
      <c r="AG28" s="709" t="n"/>
      <c r="AH28" s="709" t="n"/>
      <c r="AI28" s="709" t="n"/>
      <c r="AJ28" s="709" t="n"/>
      <c r="AK28" s="709" t="n"/>
      <c r="AL28" s="709" t="n"/>
      <c r="AM28" s="709" t="n"/>
      <c r="AN28" s="709" t="n"/>
      <c r="AO28" s="709" t="n"/>
      <c r="AP28" s="709" t="n"/>
      <c r="AQ28" s="709" t="n"/>
      <c r="AR28" s="709" t="n"/>
      <c r="AS28" s="709" t="n"/>
      <c r="AT28" s="709">
        <f>AS28+AT24</f>
        <v/>
      </c>
      <c r="AU28" s="709">
        <f>AT28+AU24</f>
        <v/>
      </c>
      <c r="AV28" s="709">
        <f>AU28+AV24</f>
        <v/>
      </c>
      <c r="AW28" s="709">
        <f>AV28+AW24</f>
        <v/>
      </c>
      <c r="AX28" s="709">
        <f>AW28+AX24</f>
        <v/>
      </c>
      <c r="AY28" s="709">
        <f>AX28+AY24</f>
        <v/>
      </c>
      <c r="AZ28" s="709">
        <f>AY28+AZ24</f>
        <v/>
      </c>
      <c r="BA28" s="709">
        <f>AZ28+BA24</f>
        <v/>
      </c>
      <c r="BB28" s="709">
        <f>BA28+BB24</f>
        <v/>
      </c>
    </row>
    <row r="29">
      <c r="B29" s="267" t="inlineStr">
        <is>
          <t>Intercompany OI YTD</t>
        </is>
      </c>
      <c r="C29" s="774">
        <f>C25</f>
        <v/>
      </c>
      <c r="D29" s="774">
        <f>C29+D25</f>
        <v/>
      </c>
      <c r="E29" s="774">
        <f>D29+E25</f>
        <v/>
      </c>
      <c r="F29" s="774">
        <f>E29+F25</f>
        <v/>
      </c>
      <c r="G29" s="774">
        <f>F29+G25</f>
        <v/>
      </c>
      <c r="H29" s="774">
        <f>G29+H25</f>
        <v/>
      </c>
      <c r="I29" s="774">
        <f>H29+I25</f>
        <v/>
      </c>
      <c r="J29" s="774">
        <f>I29+J25</f>
        <v/>
      </c>
      <c r="K29" s="774">
        <f>J29+K25</f>
        <v/>
      </c>
      <c r="L29" s="774">
        <f>K29+L25</f>
        <v/>
      </c>
      <c r="M29" s="774">
        <f>L29+M25</f>
        <v/>
      </c>
      <c r="N29" s="774">
        <f>M29+N25</f>
        <v/>
      </c>
      <c r="O29" s="774" t="n"/>
      <c r="P29" s="774" t="n"/>
      <c r="Q29" s="774" t="n"/>
      <c r="R29" s="774" t="n"/>
      <c r="S29" s="774" t="n"/>
      <c r="T29" s="774" t="n"/>
      <c r="U29" s="774" t="n"/>
      <c r="V29" s="774" t="n"/>
      <c r="W29" s="774" t="n"/>
      <c r="X29" s="774" t="n"/>
      <c r="Y29" s="774" t="n"/>
      <c r="Z29" s="774" t="n"/>
      <c r="AA29" s="774" t="n"/>
      <c r="AB29" s="774" t="n"/>
      <c r="AC29" s="774" t="n"/>
      <c r="AD29" s="774" t="n"/>
      <c r="AE29" s="774" t="n"/>
      <c r="AF29" s="774" t="n"/>
      <c r="AG29" s="774" t="n"/>
      <c r="AH29" s="774" t="n"/>
      <c r="AI29" s="774" t="n"/>
      <c r="AJ29" s="774" t="n"/>
      <c r="AK29" s="774" t="n"/>
      <c r="AL29" s="774" t="n"/>
      <c r="AM29" s="774" t="n"/>
      <c r="AN29" s="774" t="n"/>
      <c r="AO29" s="774" t="n"/>
      <c r="AP29" s="774" t="n"/>
      <c r="AQ29" s="774" t="n"/>
      <c r="AR29" s="774" t="n"/>
      <c r="AS29" s="774" t="n"/>
      <c r="AT29" s="774">
        <f>AS29+AT25</f>
        <v/>
      </c>
      <c r="AU29" s="774">
        <f>AT29+AU25</f>
        <v/>
      </c>
      <c r="AV29" s="774">
        <f>AU29+AV25</f>
        <v/>
      </c>
      <c r="AW29" s="774">
        <f>AV29+AW25</f>
        <v/>
      </c>
      <c r="AX29" s="774">
        <f>AW29+AX25</f>
        <v/>
      </c>
      <c r="AY29" s="774">
        <f>AX29+AY25</f>
        <v/>
      </c>
      <c r="AZ29" s="774">
        <f>AY29+AZ25</f>
        <v/>
      </c>
      <c r="BA29" s="774">
        <f>AZ29+BA25</f>
        <v/>
      </c>
      <c r="BB29" s="774">
        <f>BA29+BB25</f>
        <v/>
      </c>
    </row>
    <row r="30">
      <c r="B30" s="700" t="n"/>
    </row>
    <row r="31">
      <c r="B31" s="700" t="n"/>
    </row>
    <row r="32">
      <c r="B32" s="700" t="n"/>
    </row>
    <row r="33">
      <c r="B33" s="267" t="inlineStr">
        <is>
          <t>BU GSE REV.</t>
        </is>
      </c>
      <c r="C33" s="709">
        <f>SUMIFS(tbl_DCFC[F Montant HT],tbl_DCFC[Revenue_Month],C$21,tbl_DCFC[BU_Key],"GSE")</f>
        <v/>
      </c>
      <c r="D33" s="709">
        <f>SUMIFS(tbl_DCFC[F Montant HT],tbl_DCFC[Revenue_Month],D$21,tbl_DCFC[BU_Key],"GSE")</f>
        <v/>
      </c>
      <c r="E33" s="709">
        <f>SUMIFS(tbl_DCFC[F Montant HT],tbl_DCFC[Revenue_Month],E$21,tbl_DCFC[BU_Key],"GSE")</f>
        <v/>
      </c>
      <c r="F33" s="709">
        <f>SUMIFS(tbl_DCFC[F Montant HT],tbl_DCFC[Revenue_Month],F$21,tbl_DCFC[BU_Key],"GSE")</f>
        <v/>
      </c>
      <c r="G33" s="709">
        <f>SUMIFS(tbl_DCFC[F Montant HT],tbl_DCFC[Revenue_Month],G$21,tbl_DCFC[BU_Key],"GSE")</f>
        <v/>
      </c>
      <c r="H33" s="709">
        <f>SUMIFS(tbl_DCFC[F Montant HT],tbl_DCFC[Revenue_Month],H$21,tbl_DCFC[BU_Key],"GSE")</f>
        <v/>
      </c>
      <c r="I33" s="709">
        <f>SUMIFS(tbl_DCFC[F Montant HT],tbl_DCFC[Revenue_Month],I$21,tbl_DCFC[BU_Key],"GSE")</f>
        <v/>
      </c>
      <c r="J33" s="709">
        <f>SUMIFS(tbl_DCFC[F Montant HT],tbl_DCFC[Revenue_Month],J$21,tbl_DCFC[BU_Key],"GSE")</f>
        <v/>
      </c>
      <c r="K33" s="709">
        <f>SUMIFS(tbl_DCFC[F Montant HT],tbl_DCFC[Revenue_Month],K$21,tbl_DCFC[BU_Key],"GSE")</f>
        <v/>
      </c>
      <c r="L33" s="709">
        <f>SUMIFS(tbl_DCFC[F Montant HT],tbl_DCFC[Revenue_Month],L$21,tbl_DCFC[BU_Key],"GSE")</f>
        <v/>
      </c>
      <c r="M33" s="709">
        <f>SUMIFS(tbl_DCFC[F Montant HT],tbl_DCFC[Revenue_Month],M$21,tbl_DCFC[BU_Key],"GSE")</f>
        <v/>
      </c>
      <c r="N33" s="709">
        <f>SUMIFS(tbl_DCFC[F Montant HT],tbl_DCFC[Revenue_Month],N$21,tbl_DCFC[BU_Key],"GSE")</f>
        <v/>
      </c>
      <c r="O33" s="709" t="n"/>
      <c r="P33" s="709" t="n"/>
      <c r="Q33" s="709" t="n"/>
      <c r="R33" s="709" t="n"/>
      <c r="S33" s="709" t="n"/>
      <c r="T33" s="709" t="n"/>
      <c r="U33" s="709" t="n"/>
      <c r="V33" s="709" t="n"/>
      <c r="W33" s="709" t="n"/>
      <c r="X33" s="709" t="n"/>
      <c r="Y33" s="709" t="n"/>
      <c r="Z33" s="709" t="n"/>
      <c r="AA33" s="709" t="n"/>
      <c r="AB33" s="709" t="n"/>
      <c r="AC33" s="709" t="n"/>
      <c r="AD33" s="709" t="n"/>
      <c r="AE33" s="709" t="n"/>
      <c r="AF33" s="709" t="n"/>
      <c r="AG33" s="709" t="n"/>
      <c r="AH33" s="709" t="n"/>
      <c r="AI33" s="709" t="n"/>
      <c r="AJ33" s="709" t="n"/>
      <c r="AK33" s="709" t="n"/>
      <c r="AL33" s="709" t="n"/>
      <c r="AM33" s="709" t="n"/>
      <c r="AN33" s="709" t="n"/>
      <c r="AO33" s="709" t="n"/>
      <c r="AP33" s="709" t="n"/>
      <c r="AQ33" s="709" t="n"/>
      <c r="AR33" s="709" t="n"/>
      <c r="AS33" s="709" t="n"/>
      <c r="AT33" s="709">
        <f>SUMIFS(tbl_DCFC[F Montant HT],tbl_DCFC[CW REV],AT$1,tbl_DCFC[BU_Key],"GSE")</f>
        <v/>
      </c>
      <c r="AU33" s="709">
        <f>SUMIFS(tbl_DCFC[F Montant HT],tbl_DCFC[CW REV],AU$1,tbl_DCFC[BU_Key],"GSE")</f>
        <v/>
      </c>
      <c r="AV33" s="709">
        <f>SUMIFS(tbl_DCFC[F Montant HT],tbl_DCFC[CW REV],AV$1,tbl_DCFC[BU_Key],"GSE")</f>
        <v/>
      </c>
      <c r="AW33" s="709">
        <f>SUMIFS(tbl_DCFC[F Montant HT],tbl_DCFC[CW REV],AW$1,tbl_DCFC[BU_Key],"GSE")</f>
        <v/>
      </c>
      <c r="AX33" s="709">
        <f>SUMIFS(tbl_DCFC[F Montant HT],tbl_DCFC[CW REV],AX$1,tbl_DCFC[BU_Key],"GSE")</f>
        <v/>
      </c>
      <c r="AY33" s="709">
        <f>SUMIFS(tbl_DCFC[F Montant HT],tbl_DCFC[CW REV],AY$1,tbl_DCFC[BU_Key],"GSE")</f>
        <v/>
      </c>
      <c r="AZ33" s="709">
        <f>SUMIFS(tbl_DCFC[F Montant HT],tbl_DCFC[CW REV],AZ$1,tbl_DCFC[BU_Key],"GSE")</f>
        <v/>
      </c>
      <c r="BA33" s="709">
        <f>SUMIFS(tbl_DCFC[F Montant HT],tbl_DCFC[CW REV],BA$1,tbl_DCFC[BU_Key],"GSE")</f>
        <v/>
      </c>
      <c r="BB33" s="709">
        <f>SUMIFS(tbl_DCFC[F Montant HT],tbl_DCFC[CW REV],BB$1,tbl_DCFC[BU_Key],"GSE")</f>
        <v/>
      </c>
    </row>
    <row r="34">
      <c r="B34" s="267" t="inlineStr">
        <is>
          <t>BU Tooling REV.</t>
        </is>
      </c>
      <c r="C34" s="709">
        <f>SUMIFS(tbl_DCFC[F Montant HT],tbl_DCFC[Revenue_Month],C$21,tbl_DCFC[BU_Key],"TOO")</f>
        <v/>
      </c>
      <c r="D34" s="709">
        <f>SUMIFS(tbl_DCFC[F Montant HT],tbl_DCFC[Revenue_Month],D$21,tbl_DCFC[BU_Key],"TOO")</f>
        <v/>
      </c>
      <c r="E34" s="709">
        <f>SUMIFS(tbl_DCFC[F Montant HT],tbl_DCFC[Revenue_Month],E$21,tbl_DCFC[BU_Key],"TOO")</f>
        <v/>
      </c>
      <c r="F34" s="709">
        <f>SUMIFS(tbl_DCFC[F Montant HT],tbl_DCFC[Revenue_Month],F$21,tbl_DCFC[BU_Key],"TOO")</f>
        <v/>
      </c>
      <c r="G34" s="709">
        <f>SUMIFS(tbl_DCFC[F Montant HT],tbl_DCFC[Revenue_Month],G$21,tbl_DCFC[BU_Key],"TOO")</f>
        <v/>
      </c>
      <c r="H34" s="709">
        <f>SUMIFS(tbl_DCFC[F Montant HT],tbl_DCFC[Revenue_Month],H$21,tbl_DCFC[BU_Key],"TOO")</f>
        <v/>
      </c>
      <c r="I34" s="709">
        <f>SUMIFS(tbl_DCFC[F Montant HT],tbl_DCFC[Revenue_Month],I$21,tbl_DCFC[BU_Key],"TOO")</f>
        <v/>
      </c>
      <c r="J34" s="709">
        <f>SUMIFS(tbl_DCFC[F Montant HT],tbl_DCFC[Revenue_Month],J$21,tbl_DCFC[BU_Key],"TOO")</f>
        <v/>
      </c>
      <c r="K34" s="709">
        <f>SUMIFS(tbl_DCFC[F Montant HT],tbl_DCFC[Revenue_Month],K$21,tbl_DCFC[BU_Key],"TOO")</f>
        <v/>
      </c>
      <c r="L34" s="709">
        <f>SUMIFS(tbl_DCFC[F Montant HT],tbl_DCFC[Revenue_Month],L$21,tbl_DCFC[BU_Key],"TOO")</f>
        <v/>
      </c>
      <c r="M34" s="709">
        <f>SUMIFS(tbl_DCFC[F Montant HT],tbl_DCFC[Revenue_Month],M$21,tbl_DCFC[BU_Key],"TOO")</f>
        <v/>
      </c>
      <c r="N34" s="709">
        <f>SUMIFS(tbl_DCFC[F Montant HT],tbl_DCFC[Revenue_Month],N$21,tbl_DCFC[BU_Key],"TOO")</f>
        <v/>
      </c>
      <c r="O34" s="709" t="n"/>
      <c r="P34" s="709" t="n"/>
      <c r="Q34" s="709" t="n"/>
      <c r="R34" s="709" t="n"/>
      <c r="S34" s="709" t="n"/>
      <c r="T34" s="709" t="n"/>
      <c r="U34" s="709" t="n"/>
      <c r="V34" s="709" t="n"/>
      <c r="W34" s="709" t="n"/>
      <c r="X34" s="709" t="n"/>
      <c r="Y34" s="709" t="n"/>
      <c r="Z34" s="709" t="n"/>
      <c r="AA34" s="709" t="n"/>
      <c r="AB34" s="709" t="n"/>
      <c r="AC34" s="709" t="n"/>
      <c r="AD34" s="709" t="n"/>
      <c r="AE34" s="709" t="n"/>
      <c r="AF34" s="709" t="n"/>
      <c r="AG34" s="709" t="n"/>
      <c r="AH34" s="709" t="n"/>
      <c r="AI34" s="709" t="n"/>
      <c r="AJ34" s="709" t="n"/>
      <c r="AK34" s="709" t="n"/>
      <c r="AL34" s="709" t="n"/>
      <c r="AM34" s="709" t="n"/>
      <c r="AN34" s="709" t="n"/>
      <c r="AO34" s="709" t="n"/>
      <c r="AP34" s="709" t="n"/>
      <c r="AQ34" s="709" t="n"/>
      <c r="AR34" s="709" t="n"/>
      <c r="AS34" s="709" t="n"/>
      <c r="AT34" s="709">
        <f>SUMIFS(tbl_DCFC[F Montant HT],tbl_DCFC[CW REV],AT$1,tbl_DCFC[BU_Key],"TOO")</f>
        <v/>
      </c>
      <c r="AU34" s="709">
        <f>SUMIFS(tbl_DCFC[F Montant HT],tbl_DCFC[CW REV],AU$1,tbl_DCFC[BU_Key],"TOO")</f>
        <v/>
      </c>
      <c r="AV34" s="709">
        <f>SUMIFS(tbl_DCFC[F Montant HT],tbl_DCFC[CW REV],AV$1,tbl_DCFC[BU_Key],"TOO")</f>
        <v/>
      </c>
      <c r="AW34" s="709">
        <f>SUMIFS(tbl_DCFC[F Montant HT],tbl_DCFC[CW REV],AW$1,tbl_DCFC[BU_Key],"TOO")</f>
        <v/>
      </c>
      <c r="AX34" s="709">
        <f>SUMIFS(tbl_DCFC[F Montant HT],tbl_DCFC[CW REV],AX$1,tbl_DCFC[BU_Key],"TOO")</f>
        <v/>
      </c>
      <c r="AY34" s="709">
        <f>SUMIFS(tbl_DCFC[F Montant HT],tbl_DCFC[CW REV],AY$1,tbl_DCFC[BU_Key],"TOO")</f>
        <v/>
      </c>
      <c r="AZ34" s="709">
        <f>SUMIFS(tbl_DCFC[F Montant HT],tbl_DCFC[CW REV],AZ$1,tbl_DCFC[BU_Key],"TOO")</f>
        <v/>
      </c>
      <c r="BA34" s="709">
        <f>SUMIFS(tbl_DCFC[F Montant HT],tbl_DCFC[CW REV],BA$1,tbl_DCFC[BU_Key],"TOO")</f>
        <v/>
      </c>
      <c r="BB34" s="709">
        <f>SUMIFS(tbl_DCFC[F Montant HT],tbl_DCFC[CW REV],BB$1,tbl_DCFC[BU_Key],"TOO")</f>
        <v/>
      </c>
    </row>
    <row r="35">
      <c r="B35" s="267" t="inlineStr">
        <is>
          <t>BU Service REV.</t>
        </is>
      </c>
      <c r="C35" s="709">
        <f>SUMIFS(tbl_DCFC[F Montant HT],tbl_DCFC[Revenue_Month],C$21,tbl_DCFC[BU_Key],"SER")</f>
        <v/>
      </c>
      <c r="D35" s="709">
        <f>SUMIFS(tbl_DCFC[F Montant HT],tbl_DCFC[Revenue_Month],D$21,tbl_DCFC[BU_Key],"SER")</f>
        <v/>
      </c>
      <c r="E35" s="709">
        <f>SUMIFS(tbl_DCFC[F Montant HT],tbl_DCFC[Revenue_Month],E$21,tbl_DCFC[BU_Key],"SER")</f>
        <v/>
      </c>
      <c r="F35" s="709">
        <f>SUMIFS(tbl_DCFC[F Montant HT],tbl_DCFC[Revenue_Month],F$21,tbl_DCFC[BU_Key],"SER")</f>
        <v/>
      </c>
      <c r="G35" s="709">
        <f>SUMIFS(tbl_DCFC[F Montant HT],tbl_DCFC[Revenue_Month],G$21,tbl_DCFC[BU_Key],"SER")</f>
        <v/>
      </c>
      <c r="H35" s="709">
        <f>SUMIFS(tbl_DCFC[F Montant HT],tbl_DCFC[Revenue_Month],H$21,tbl_DCFC[BU_Key],"SER")</f>
        <v/>
      </c>
      <c r="I35" s="709">
        <f>SUMIFS(tbl_DCFC[F Montant HT],tbl_DCFC[Revenue_Month],I$21,tbl_DCFC[BU_Key],"SER")</f>
        <v/>
      </c>
      <c r="J35" s="709">
        <f>SUMIFS(tbl_DCFC[F Montant HT],tbl_DCFC[Revenue_Month],J$21,tbl_DCFC[BU_Key],"SER")</f>
        <v/>
      </c>
      <c r="K35" s="709">
        <f>SUMIFS(tbl_DCFC[F Montant HT],tbl_DCFC[Revenue_Month],K$21,tbl_DCFC[BU_Key],"SER")</f>
        <v/>
      </c>
      <c r="L35" s="709">
        <f>SUMIFS(tbl_DCFC[F Montant HT],tbl_DCFC[Revenue_Month],L$21,tbl_DCFC[BU_Key],"SER")</f>
        <v/>
      </c>
      <c r="M35" s="709">
        <f>SUMIFS(tbl_DCFC[F Montant HT],tbl_DCFC[Revenue_Month],M$21,tbl_DCFC[BU_Key],"SER")</f>
        <v/>
      </c>
      <c r="N35" s="709">
        <f>SUMIFS(tbl_DCFC[F Montant HT],tbl_DCFC[Revenue_Month],N$21,tbl_DCFC[BU_Key],"SER")</f>
        <v/>
      </c>
      <c r="O35" s="709" t="n"/>
      <c r="P35" s="709" t="n"/>
      <c r="Q35" s="709" t="n"/>
      <c r="R35" s="709" t="n"/>
      <c r="S35" s="709" t="n"/>
      <c r="T35" s="709" t="n"/>
      <c r="U35" s="709" t="n"/>
      <c r="V35" s="709" t="n"/>
      <c r="W35" s="709" t="n"/>
      <c r="X35" s="709" t="n"/>
      <c r="Y35" s="709" t="n"/>
      <c r="Z35" s="709" t="n"/>
      <c r="AA35" s="709" t="n"/>
      <c r="AB35" s="709" t="n"/>
      <c r="AC35" s="709" t="n"/>
      <c r="AD35" s="709" t="n"/>
      <c r="AE35" s="709" t="n"/>
      <c r="AF35" s="709" t="n"/>
      <c r="AG35" s="709" t="n"/>
      <c r="AH35" s="709" t="n"/>
      <c r="AI35" s="709" t="n"/>
      <c r="AJ35" s="709" t="n"/>
      <c r="AK35" s="709" t="n"/>
      <c r="AL35" s="709" t="n"/>
      <c r="AM35" s="709" t="n"/>
      <c r="AN35" s="709" t="n"/>
      <c r="AO35" s="709" t="n"/>
      <c r="AP35" s="709" t="n"/>
      <c r="AQ35" s="709" t="n"/>
      <c r="AR35" s="709" t="n"/>
      <c r="AS35" s="709" t="n"/>
      <c r="AT35" s="709">
        <f>SUMIFS(tbl_DCFC[F Montant HT],tbl_DCFC[CW REV],AT$1,tbl_DCFC[BU_Key],"SER")</f>
        <v/>
      </c>
      <c r="AU35" s="709">
        <f>SUMIFS(tbl_DCFC[F Montant HT],tbl_DCFC[CW REV],AU$1,tbl_DCFC[BU_Key],"SER")</f>
        <v/>
      </c>
      <c r="AV35" s="709">
        <f>SUMIFS(tbl_DCFC[F Montant HT],tbl_DCFC[CW REV],AV$1,tbl_DCFC[BU_Key],"SER")</f>
        <v/>
      </c>
      <c r="AW35" s="709">
        <f>SUMIFS(tbl_DCFC[F Montant HT],tbl_DCFC[CW REV],AW$1,tbl_DCFC[BU_Key],"SER")</f>
        <v/>
      </c>
      <c r="AX35" s="709">
        <f>SUMIFS(tbl_DCFC[F Montant HT],tbl_DCFC[CW REV],AX$1,tbl_DCFC[BU_Key],"SER")</f>
        <v/>
      </c>
      <c r="AY35" s="709">
        <f>SUMIFS(tbl_DCFC[F Montant HT],tbl_DCFC[CW REV],AY$1,tbl_DCFC[BU_Key],"SER")</f>
        <v/>
      </c>
      <c r="AZ35" s="709">
        <f>SUMIFS(tbl_DCFC[F Montant HT],tbl_DCFC[CW REV],AZ$1,tbl_DCFC[BU_Key],"SER")</f>
        <v/>
      </c>
      <c r="BA35" s="709">
        <f>SUMIFS(tbl_DCFC[F Montant HT],tbl_DCFC[CW REV],BA$1,tbl_DCFC[BU_Key],"SER")</f>
        <v/>
      </c>
      <c r="BB35" s="709">
        <f>SUMIFS(tbl_DCFC[F Montant HT],tbl_DCFC[CW REV],BB$1,tbl_DCFC[BU_Key],"SER")</f>
        <v/>
      </c>
    </row>
    <row r="36">
      <c r="B36" s="267" t="inlineStr">
        <is>
          <t>Intercompany</t>
        </is>
      </c>
      <c r="C36" s="772">
        <f>SUMIFS(tbl_DCFC[F Montant HT],tbl_DCFC[Revenue_Month],C$21,tbl_DCFC[BU_Key],"INT")</f>
        <v/>
      </c>
      <c r="D36" s="772">
        <f>SUMIFS(tbl_DCFC[F Montant HT],tbl_DCFC[Revenue_Month],D$21,tbl_DCFC[BU_Key],"INT")</f>
        <v/>
      </c>
      <c r="E36" s="772">
        <f>SUMIFS(tbl_DCFC[F Montant HT],tbl_DCFC[Revenue_Month],E$21,tbl_DCFC[BU_Key],"INT")</f>
        <v/>
      </c>
      <c r="F36" s="772">
        <f>SUMIFS(tbl_DCFC[F Montant HT],tbl_DCFC[Revenue_Month],F$21,tbl_DCFC[BU_Key],"INT")</f>
        <v/>
      </c>
      <c r="G36" s="772">
        <f>SUMIFS(tbl_DCFC[F Montant HT],tbl_DCFC[Revenue_Month],G$21,tbl_DCFC[BU_Key],"INT")</f>
        <v/>
      </c>
      <c r="H36" s="772">
        <f>SUMIFS(tbl_DCFC[F Montant HT],tbl_DCFC[Revenue_Month],H$21,tbl_DCFC[BU_Key],"INT")</f>
        <v/>
      </c>
      <c r="I36" s="772">
        <f>SUMIFS(tbl_DCFC[F Montant HT],tbl_DCFC[Revenue_Month],I$21,tbl_DCFC[BU_Key],"INT")</f>
        <v/>
      </c>
      <c r="J36" s="772">
        <f>SUMIFS(tbl_DCFC[F Montant HT],tbl_DCFC[Revenue_Month],J$21,tbl_DCFC[BU_Key],"INT")</f>
        <v/>
      </c>
      <c r="K36" s="772">
        <f>SUMIFS(tbl_DCFC[F Montant HT],tbl_DCFC[Revenue_Month],K$21,tbl_DCFC[BU_Key],"INT")</f>
        <v/>
      </c>
      <c r="L36" s="772">
        <f>SUMIFS(tbl_DCFC[F Montant HT],tbl_DCFC[Revenue_Month],L$21,tbl_DCFC[BU_Key],"INT")</f>
        <v/>
      </c>
      <c r="M36" s="772">
        <f>SUMIFS(tbl_DCFC[F Montant HT],tbl_DCFC[Revenue_Month],M$21,tbl_DCFC[BU_Key],"INT")</f>
        <v/>
      </c>
      <c r="N36" s="772">
        <f>SUMIFS(tbl_DCFC[F Montant HT],tbl_DCFC[Revenue_Month],N$21,tbl_DCFC[BU_Key],"INT")</f>
        <v/>
      </c>
      <c r="O36" s="772" t="n"/>
      <c r="P36" s="772" t="n"/>
      <c r="Q36" s="772" t="n"/>
      <c r="R36" s="772" t="n"/>
      <c r="S36" s="772" t="n"/>
      <c r="T36" s="772" t="n"/>
      <c r="U36" s="772" t="n"/>
      <c r="V36" s="772" t="n"/>
      <c r="W36" s="772" t="n"/>
      <c r="X36" s="772" t="n"/>
      <c r="Y36" s="772" t="n"/>
      <c r="Z36" s="772" t="n"/>
      <c r="AA36" s="772" t="n"/>
      <c r="AB36" s="772" t="n"/>
      <c r="AC36" s="772" t="n"/>
      <c r="AD36" s="772" t="n"/>
      <c r="AE36" s="772" t="n"/>
      <c r="AF36" s="772" t="n"/>
      <c r="AG36" s="772" t="n"/>
      <c r="AH36" s="772" t="n"/>
      <c r="AI36" s="772" t="n"/>
      <c r="AJ36" s="772" t="n"/>
      <c r="AK36" s="772" t="n"/>
      <c r="AL36" s="772" t="n"/>
      <c r="AM36" s="772" t="n"/>
      <c r="AN36" s="772" t="n"/>
      <c r="AO36" s="772" t="n"/>
      <c r="AP36" s="772" t="n"/>
      <c r="AQ36" s="772" t="n"/>
      <c r="AR36" s="772" t="n"/>
      <c r="AS36" s="772" t="n"/>
      <c r="AT36" s="772">
        <f>SUMIFS(tbl_DCFC[F Montant HT],tbl_DCFC[CW REV],AT$1,tbl_DCFC[BU_Key],"INT")</f>
        <v/>
      </c>
      <c r="AU36" s="772">
        <f>SUMIFS(tbl_DCFC[F Montant HT],tbl_DCFC[CW REV],AU$1,tbl_DCFC[BU_Key],"INT")</f>
        <v/>
      </c>
      <c r="AV36" s="772">
        <f>SUMIFS(tbl_DCFC[F Montant HT],tbl_DCFC[CW REV],AV$1,tbl_DCFC[BU_Key],"INT")</f>
        <v/>
      </c>
      <c r="AW36" s="772">
        <f>SUMIFS(tbl_DCFC[F Montant HT],tbl_DCFC[CW REV],AW$1,tbl_DCFC[BU_Key],"INT")</f>
        <v/>
      </c>
      <c r="AX36" s="772">
        <f>SUMIFS(tbl_DCFC[F Montant HT],tbl_DCFC[CW REV],AX$1,tbl_DCFC[BU_Key],"INT")</f>
        <v/>
      </c>
      <c r="AY36" s="772">
        <f>SUMIFS(tbl_DCFC[F Montant HT],tbl_DCFC[CW REV],AY$1,tbl_DCFC[BU_Key],"INT")</f>
        <v/>
      </c>
      <c r="AZ36" s="772">
        <f>SUMIFS(tbl_DCFC[F Montant HT],tbl_DCFC[CW REV],AZ$1,tbl_DCFC[BU_Key],"INT")</f>
        <v/>
      </c>
      <c r="BA36" s="772">
        <f>SUMIFS(tbl_DCFC[F Montant HT],tbl_DCFC[CW REV],BA$1,tbl_DCFC[BU_Key],"INT")</f>
        <v/>
      </c>
      <c r="BB36" s="772">
        <f>SUMIFS(tbl_DCFC[F Montant HT],tbl_DCFC[CW REV],BB$1,tbl_DCFC[BU_Key],"INT")</f>
        <v/>
      </c>
    </row>
    <row r="37">
      <c r="B37" s="267" t="inlineStr">
        <is>
          <t>BU GSE REV. YTD</t>
        </is>
      </c>
      <c r="C37" s="774">
        <f>C33</f>
        <v/>
      </c>
      <c r="D37" s="774">
        <f>C37+D33</f>
        <v/>
      </c>
      <c r="E37" s="774">
        <f>D37+E33</f>
        <v/>
      </c>
      <c r="F37" s="774">
        <f>E37+F33</f>
        <v/>
      </c>
      <c r="G37" s="774">
        <f>F37+G33</f>
        <v/>
      </c>
      <c r="H37" s="774">
        <f>G37+H33</f>
        <v/>
      </c>
      <c r="I37" s="774">
        <f>H37+I33</f>
        <v/>
      </c>
      <c r="J37" s="774">
        <f>I37+J33</f>
        <v/>
      </c>
      <c r="K37" s="774">
        <f>J37+K33</f>
        <v/>
      </c>
      <c r="L37" s="774">
        <f>K37+L33</f>
        <v/>
      </c>
      <c r="M37" s="774">
        <f>L37+M33</f>
        <v/>
      </c>
      <c r="N37" s="774">
        <f>M37+N33</f>
        <v/>
      </c>
      <c r="O37" s="774" t="n"/>
      <c r="P37" s="774" t="n"/>
      <c r="Q37" s="774" t="n"/>
      <c r="R37" s="774" t="n"/>
      <c r="S37" s="774" t="n"/>
      <c r="T37" s="774" t="n"/>
      <c r="U37" s="774" t="n"/>
      <c r="V37" s="774" t="n"/>
      <c r="W37" s="774" t="n"/>
      <c r="X37" s="774" t="n"/>
      <c r="Y37" s="774" t="n"/>
      <c r="Z37" s="774" t="n"/>
      <c r="AA37" s="774" t="n"/>
      <c r="AB37" s="774" t="n"/>
      <c r="AC37" s="774" t="n"/>
      <c r="AD37" s="774" t="n"/>
      <c r="AE37" s="774" t="n"/>
      <c r="AF37" s="774" t="n"/>
      <c r="AG37" s="774" t="n"/>
      <c r="AH37" s="774" t="n"/>
      <c r="AI37" s="774" t="n"/>
      <c r="AJ37" s="774" t="n"/>
      <c r="AK37" s="774" t="n"/>
      <c r="AL37" s="774" t="n"/>
      <c r="AM37" s="774" t="n"/>
      <c r="AN37" s="774" t="n"/>
      <c r="AO37" s="774" t="n"/>
      <c r="AP37" s="774" t="n"/>
      <c r="AQ37" s="774" t="n"/>
      <c r="AR37" s="774" t="n"/>
      <c r="AS37" s="774" t="n"/>
      <c r="AT37" s="774">
        <f>AS37+AT33</f>
        <v/>
      </c>
      <c r="AU37" s="774">
        <f>AT37+AU33</f>
        <v/>
      </c>
      <c r="AV37" s="774">
        <f>AU37+AV33</f>
        <v/>
      </c>
      <c r="AW37" s="774">
        <f>AV37+AW33</f>
        <v/>
      </c>
      <c r="AX37" s="774">
        <f>AW37+AX33</f>
        <v/>
      </c>
      <c r="AY37" s="774">
        <f>AX37+AY33</f>
        <v/>
      </c>
      <c r="AZ37" s="774">
        <f>AY37+AZ33</f>
        <v/>
      </c>
      <c r="BA37" s="774">
        <f>AZ37+BA33</f>
        <v/>
      </c>
      <c r="BB37" s="774">
        <f>BA37+BB33</f>
        <v/>
      </c>
    </row>
    <row r="38">
      <c r="B38" s="267" t="inlineStr">
        <is>
          <t>BU Tooling REV. YTD</t>
        </is>
      </c>
      <c r="C38" s="774">
        <f>C34</f>
        <v/>
      </c>
      <c r="D38" s="774">
        <f>C38+D34</f>
        <v/>
      </c>
      <c r="E38" s="774">
        <f>D38+E34</f>
        <v/>
      </c>
      <c r="F38" s="774">
        <f>E38+F34</f>
        <v/>
      </c>
      <c r="G38" s="774">
        <f>F38+G34</f>
        <v/>
      </c>
      <c r="H38" s="774">
        <f>G38+H34</f>
        <v/>
      </c>
      <c r="I38" s="774">
        <f>H38+I34</f>
        <v/>
      </c>
      <c r="J38" s="774">
        <f>I38+J34</f>
        <v/>
      </c>
      <c r="K38" s="774">
        <f>J38+K34</f>
        <v/>
      </c>
      <c r="L38" s="774">
        <f>K38+L34</f>
        <v/>
      </c>
      <c r="M38" s="774">
        <f>L38+M34</f>
        <v/>
      </c>
      <c r="N38" s="774">
        <f>M38+N34</f>
        <v/>
      </c>
      <c r="O38" s="774" t="n"/>
      <c r="P38" s="774" t="n"/>
      <c r="Q38" s="774" t="n"/>
      <c r="R38" s="774" t="n"/>
      <c r="S38" s="774" t="n"/>
      <c r="T38" s="774" t="n"/>
      <c r="U38" s="774" t="n"/>
      <c r="V38" s="774" t="n"/>
      <c r="W38" s="774" t="n"/>
      <c r="X38" s="774" t="n"/>
      <c r="Y38" s="774" t="n"/>
      <c r="Z38" s="774" t="n"/>
      <c r="AA38" s="774" t="n"/>
      <c r="AB38" s="774" t="n"/>
      <c r="AC38" s="774" t="n"/>
      <c r="AD38" s="774" t="n"/>
      <c r="AE38" s="774" t="n"/>
      <c r="AF38" s="774" t="n"/>
      <c r="AG38" s="774" t="n"/>
      <c r="AH38" s="774" t="n"/>
      <c r="AI38" s="774" t="n"/>
      <c r="AJ38" s="774" t="n"/>
      <c r="AK38" s="774" t="n"/>
      <c r="AL38" s="774" t="n"/>
      <c r="AM38" s="774" t="n"/>
      <c r="AN38" s="774" t="n"/>
      <c r="AO38" s="774" t="n"/>
      <c r="AP38" s="774" t="n"/>
      <c r="AQ38" s="774" t="n"/>
      <c r="AR38" s="774" t="n"/>
      <c r="AS38" s="774" t="n"/>
      <c r="AT38" s="774">
        <f>AS38+AT34</f>
        <v/>
      </c>
      <c r="AU38" s="774">
        <f>AT38+AU34</f>
        <v/>
      </c>
      <c r="AV38" s="774">
        <f>AU38+AV34</f>
        <v/>
      </c>
      <c r="AW38" s="774">
        <f>AV38+AW34</f>
        <v/>
      </c>
      <c r="AX38" s="774">
        <f>AW38+AX34</f>
        <v/>
      </c>
      <c r="AY38" s="774">
        <f>AX38+AY34</f>
        <v/>
      </c>
      <c r="AZ38" s="774">
        <f>AY38+AZ34</f>
        <v/>
      </c>
      <c r="BA38" s="774">
        <f>AZ38+BA34</f>
        <v/>
      </c>
      <c r="BB38" s="774">
        <f>BA38+BB34</f>
        <v/>
      </c>
    </row>
    <row r="39">
      <c r="B39" s="267" t="inlineStr">
        <is>
          <t>BU Service REV. YTD</t>
        </is>
      </c>
      <c r="C39" s="774">
        <f>C35</f>
        <v/>
      </c>
      <c r="D39" s="774">
        <f>C39+D35</f>
        <v/>
      </c>
      <c r="E39" s="774">
        <f>D39+E35</f>
        <v/>
      </c>
      <c r="F39" s="774">
        <f>E39+F35</f>
        <v/>
      </c>
      <c r="G39" s="774">
        <f>F39+G35</f>
        <v/>
      </c>
      <c r="H39" s="774">
        <f>G39+H35</f>
        <v/>
      </c>
      <c r="I39" s="774">
        <f>H39+I35</f>
        <v/>
      </c>
      <c r="J39" s="774">
        <f>I39+J35</f>
        <v/>
      </c>
      <c r="K39" s="774">
        <f>J39+K35</f>
        <v/>
      </c>
      <c r="L39" s="774">
        <f>K39+L35</f>
        <v/>
      </c>
      <c r="M39" s="774">
        <f>L39+M35</f>
        <v/>
      </c>
      <c r="N39" s="774">
        <f>M39+N35</f>
        <v/>
      </c>
      <c r="O39" s="774" t="n"/>
      <c r="P39" s="774" t="n"/>
      <c r="Q39" s="774" t="n"/>
      <c r="R39" s="774" t="n"/>
      <c r="S39" s="774" t="n"/>
      <c r="T39" s="774" t="n"/>
      <c r="U39" s="774" t="n"/>
      <c r="V39" s="774" t="n"/>
      <c r="W39" s="774" t="n"/>
      <c r="X39" s="774" t="n"/>
      <c r="Y39" s="774" t="n"/>
      <c r="Z39" s="774" t="n"/>
      <c r="AA39" s="774" t="n"/>
      <c r="AB39" s="774" t="n"/>
      <c r="AC39" s="774" t="n"/>
      <c r="AD39" s="774" t="n"/>
      <c r="AE39" s="774" t="n"/>
      <c r="AF39" s="774" t="n"/>
      <c r="AG39" s="774" t="n"/>
      <c r="AH39" s="774" t="n"/>
      <c r="AI39" s="774" t="n"/>
      <c r="AJ39" s="774" t="n"/>
      <c r="AK39" s="774" t="n"/>
      <c r="AL39" s="774" t="n"/>
      <c r="AM39" s="774" t="n"/>
      <c r="AN39" s="774" t="n"/>
      <c r="AO39" s="774" t="n"/>
      <c r="AP39" s="774" t="n"/>
      <c r="AQ39" s="774" t="n"/>
      <c r="AR39" s="774" t="n"/>
      <c r="AS39" s="774" t="n"/>
      <c r="AT39" s="774">
        <f>AS39+AT35</f>
        <v/>
      </c>
      <c r="AU39" s="774">
        <f>AT39+AU35</f>
        <v/>
      </c>
      <c r="AV39" s="774">
        <f>AU39+AV35</f>
        <v/>
      </c>
      <c r="AW39" s="774">
        <f>AV39+AW35</f>
        <v/>
      </c>
      <c r="AX39" s="774">
        <f>AW39+AX35</f>
        <v/>
      </c>
      <c r="AY39" s="774">
        <f>AX39+AY35</f>
        <v/>
      </c>
      <c r="AZ39" s="774">
        <f>AY39+AZ35</f>
        <v/>
      </c>
      <c r="BA39" s="774">
        <f>AZ39+BA35</f>
        <v/>
      </c>
      <c r="BB39" s="774">
        <f>BA39+BB35</f>
        <v/>
      </c>
    </row>
    <row r="40">
      <c r="B40" s="267" t="inlineStr">
        <is>
          <t>Intercompany REV. YTD</t>
        </is>
      </c>
      <c r="C40" s="774">
        <f>C36</f>
        <v/>
      </c>
      <c r="D40" s="774">
        <f>C40+D36</f>
        <v/>
      </c>
      <c r="E40" s="774">
        <f>D40+E36</f>
        <v/>
      </c>
      <c r="F40" s="774">
        <f>E40+F36</f>
        <v/>
      </c>
      <c r="G40" s="774">
        <f>F40+G36</f>
        <v/>
      </c>
      <c r="H40" s="774">
        <f>G40+H36</f>
        <v/>
      </c>
      <c r="I40" s="774">
        <f>H40+I36</f>
        <v/>
      </c>
      <c r="J40" s="774">
        <f>I40+J36</f>
        <v/>
      </c>
      <c r="K40" s="774">
        <f>J40+K36</f>
        <v/>
      </c>
      <c r="L40" s="774">
        <f>K40+L36</f>
        <v/>
      </c>
      <c r="M40" s="774">
        <f>L40+M36</f>
        <v/>
      </c>
      <c r="N40" s="774">
        <f>M40+N36</f>
        <v/>
      </c>
      <c r="O40" s="774" t="n"/>
      <c r="P40" s="774" t="n"/>
      <c r="Q40" s="774" t="n"/>
      <c r="R40" s="774" t="n"/>
      <c r="S40" s="774" t="n"/>
      <c r="T40" s="774" t="n"/>
      <c r="U40" s="774" t="n"/>
      <c r="V40" s="774" t="n"/>
      <c r="W40" s="774" t="n"/>
      <c r="X40" s="774" t="n"/>
      <c r="Y40" s="774" t="n"/>
      <c r="Z40" s="774" t="n"/>
      <c r="AA40" s="774" t="n"/>
      <c r="AB40" s="774" t="n"/>
      <c r="AC40" s="774" t="n"/>
      <c r="AD40" s="774" t="n"/>
      <c r="AE40" s="774" t="n"/>
      <c r="AF40" s="774" t="n"/>
      <c r="AG40" s="774" t="n"/>
      <c r="AH40" s="774" t="n"/>
      <c r="AI40" s="774" t="n"/>
      <c r="AJ40" s="774" t="n"/>
      <c r="AK40" s="774" t="n"/>
      <c r="AL40" s="774" t="n"/>
      <c r="AM40" s="774" t="n"/>
      <c r="AN40" s="774" t="n"/>
      <c r="AO40" s="774" t="n"/>
      <c r="AP40" s="774" t="n"/>
      <c r="AQ40" s="774" t="n"/>
      <c r="AR40" s="774" t="n"/>
      <c r="AS40" s="774" t="n"/>
      <c r="AT40" s="774">
        <f>AS40+AT36</f>
        <v/>
      </c>
      <c r="AU40" s="774">
        <f>AT40+AU36</f>
        <v/>
      </c>
      <c r="AV40" s="774">
        <f>AU40+AV36</f>
        <v/>
      </c>
      <c r="AW40" s="774">
        <f>AV40+AW36</f>
        <v/>
      </c>
      <c r="AX40" s="774">
        <f>AW40+AX36</f>
        <v/>
      </c>
      <c r="AY40" s="774">
        <f>AX40+AY36</f>
        <v/>
      </c>
      <c r="AZ40" s="774">
        <f>AY40+AZ36</f>
        <v/>
      </c>
      <c r="BA40" s="774">
        <f>AZ40+BA36</f>
        <v/>
      </c>
      <c r="BB40" s="774">
        <f>BA40+BB36</f>
        <v/>
      </c>
    </row>
    <row r="41">
      <c r="C41" s="774" t="n"/>
      <c r="D41" s="774" t="n"/>
      <c r="E41" s="774" t="n"/>
      <c r="F41" s="774" t="n"/>
      <c r="G41" s="774" t="n"/>
      <c r="H41" s="774" t="n"/>
      <c r="I41" s="774" t="n"/>
      <c r="J41" s="774" t="n"/>
      <c r="K41" s="774" t="n"/>
      <c r="L41" s="774" t="n"/>
      <c r="M41" s="774" t="n"/>
      <c r="N41" s="774" t="n"/>
      <c r="O41" s="774" t="n"/>
      <c r="P41" s="774" t="n"/>
      <c r="Q41" s="774" t="n"/>
      <c r="R41" s="774" t="n"/>
      <c r="S41" s="774" t="n"/>
      <c r="T41" s="774" t="n"/>
      <c r="U41" s="774" t="n"/>
      <c r="V41" s="774" t="n"/>
      <c r="W41" s="774" t="n"/>
      <c r="X41" s="774" t="n"/>
      <c r="Y41" s="774" t="n"/>
      <c r="Z41" s="774" t="n"/>
      <c r="AA41" s="774" t="n"/>
      <c r="AB41" s="774" t="n"/>
      <c r="AC41" s="774" t="n"/>
      <c r="AD41" s="774" t="n"/>
      <c r="AE41" s="774" t="n"/>
      <c r="AF41" s="774" t="n"/>
      <c r="AG41" s="774" t="n"/>
      <c r="AH41" s="774" t="n"/>
      <c r="AI41" s="774" t="n"/>
      <c r="AJ41" s="774" t="n"/>
      <c r="AK41" s="774" t="n"/>
      <c r="AL41" s="774" t="n"/>
      <c r="AM41" s="774" t="n"/>
      <c r="AN41" s="774" t="n"/>
      <c r="AO41" s="774" t="n"/>
      <c r="AP41" s="774" t="n"/>
      <c r="AQ41" s="774" t="n"/>
      <c r="AR41" s="774" t="n"/>
      <c r="AS41" s="774" t="n"/>
      <c r="AT41" s="774" t="n"/>
      <c r="AU41" s="774" t="n"/>
      <c r="AV41" s="774" t="n"/>
      <c r="AW41" s="774" t="n"/>
      <c r="AX41" s="774" t="n"/>
      <c r="AY41" s="774" t="n"/>
      <c r="AZ41" s="774" t="n"/>
      <c r="BA41" s="774" t="n"/>
      <c r="BB41" s="774" t="n"/>
    </row>
    <row r="42">
      <c r="C42" s="774" t="n"/>
      <c r="D42" s="774" t="n"/>
      <c r="E42" s="774" t="n"/>
      <c r="F42" s="774" t="n"/>
      <c r="G42" s="774" t="n"/>
      <c r="H42" s="774" t="n"/>
      <c r="I42" s="774" t="n"/>
      <c r="J42" s="774" t="n"/>
      <c r="K42" s="774" t="n"/>
      <c r="L42" s="774" t="n"/>
      <c r="M42" s="774" t="n"/>
      <c r="N42" s="774" t="n"/>
      <c r="O42" s="774" t="n"/>
      <c r="P42" s="774" t="n"/>
      <c r="Q42" s="774" t="n"/>
      <c r="R42" s="774" t="n"/>
      <c r="S42" s="774" t="n"/>
      <c r="T42" s="774" t="n"/>
      <c r="U42" s="774" t="n"/>
      <c r="V42" s="774" t="n"/>
      <c r="W42" s="774" t="n"/>
      <c r="X42" s="774" t="n"/>
      <c r="Y42" s="774" t="n"/>
      <c r="Z42" s="774" t="n"/>
      <c r="AA42" s="774" t="n"/>
      <c r="AB42" s="774" t="n"/>
      <c r="AC42" s="774" t="n"/>
      <c r="AD42" s="774" t="n"/>
      <c r="AE42" s="774" t="n"/>
      <c r="AF42" s="774" t="n"/>
      <c r="AG42" s="774" t="n"/>
      <c r="AH42" s="774" t="n"/>
      <c r="AI42" s="774" t="n"/>
      <c r="AJ42" s="774" t="n"/>
      <c r="AK42" s="774" t="n"/>
      <c r="AL42" s="774" t="n"/>
      <c r="AM42" s="774" t="n"/>
      <c r="AN42" s="774" t="n"/>
      <c r="AO42" s="774" t="n"/>
      <c r="AP42" s="774" t="n"/>
      <c r="AQ42" s="774" t="n"/>
      <c r="AR42" s="774" t="n"/>
      <c r="AS42" s="774" t="n"/>
      <c r="AT42" s="774" t="n"/>
      <c r="AU42" s="774" t="n"/>
      <c r="AV42" s="774" t="n"/>
      <c r="AW42" s="774" t="n"/>
      <c r="AX42" s="774" t="n"/>
      <c r="AY42" s="774" t="n"/>
      <c r="AZ42" s="774" t="n"/>
      <c r="BA42" s="774" t="n"/>
      <c r="BB42" s="774" t="n"/>
    </row>
    <row r="43">
      <c r="C43" s="774" t="n"/>
      <c r="D43" s="774" t="n"/>
      <c r="E43" s="774" t="n"/>
      <c r="F43" s="774" t="n"/>
      <c r="G43" s="774" t="n"/>
      <c r="H43" s="774" t="n"/>
      <c r="I43" s="774" t="n"/>
      <c r="J43" s="774" t="n"/>
      <c r="K43" s="774" t="n"/>
      <c r="L43" s="774" t="n"/>
      <c r="M43" s="774" t="n"/>
      <c r="N43" s="774" t="n"/>
      <c r="O43" s="774" t="n"/>
      <c r="P43" s="774" t="n"/>
      <c r="Q43" s="774" t="n"/>
      <c r="R43" s="774" t="n"/>
      <c r="S43" s="774" t="n"/>
      <c r="T43" s="774" t="n"/>
      <c r="U43" s="774" t="n"/>
      <c r="V43" s="774" t="n"/>
      <c r="W43" s="774" t="n"/>
      <c r="X43" s="774" t="n"/>
      <c r="Y43" s="774" t="n"/>
      <c r="Z43" s="774" t="n"/>
      <c r="AA43" s="774" t="n"/>
      <c r="AB43" s="774" t="n"/>
      <c r="AC43" s="774" t="n"/>
      <c r="AD43" s="774" t="n"/>
      <c r="AE43" s="774" t="n"/>
      <c r="AF43" s="774" t="n"/>
      <c r="AG43" s="774" t="n"/>
      <c r="AH43" s="774" t="n"/>
      <c r="AI43" s="774" t="n"/>
      <c r="AJ43" s="774" t="n"/>
      <c r="AK43" s="774" t="n"/>
      <c r="AL43" s="774" t="n"/>
      <c r="AM43" s="774" t="n"/>
      <c r="AN43" s="774" t="n"/>
      <c r="AO43" s="774" t="n"/>
      <c r="AP43" s="774" t="n"/>
      <c r="AQ43" s="774" t="n"/>
      <c r="AR43" s="774" t="n"/>
      <c r="AS43" s="774" t="n"/>
      <c r="AT43" s="774" t="n"/>
      <c r="AU43" s="774" t="n"/>
      <c r="AV43" s="774" t="n"/>
      <c r="AW43" s="774" t="n"/>
      <c r="AX43" s="774" t="n"/>
      <c r="AY43" s="774" t="n"/>
      <c r="AZ43" s="774" t="n"/>
      <c r="BA43" s="774" t="n"/>
      <c r="BB43" s="774" t="n"/>
    </row>
    <row r="44">
      <c r="B44" s="267" t="n"/>
      <c r="C44" s="774" t="n"/>
      <c r="D44" s="774" t="n"/>
      <c r="E44" s="774" t="n"/>
      <c r="F44" s="774" t="n"/>
      <c r="G44" s="774" t="n"/>
      <c r="H44" s="774" t="n"/>
      <c r="I44" s="774" t="n"/>
      <c r="J44" s="774" t="n"/>
      <c r="K44" s="774" t="n"/>
      <c r="L44" s="774" t="n"/>
      <c r="M44" s="774" t="n"/>
      <c r="N44" s="774" t="n"/>
      <c r="O44" s="774" t="n"/>
      <c r="P44" s="774" t="n"/>
      <c r="Q44" s="774" t="n"/>
      <c r="R44" s="774" t="n"/>
      <c r="S44" s="774" t="n"/>
      <c r="T44" s="774" t="n"/>
      <c r="U44" s="774" t="n"/>
      <c r="V44" s="774" t="n"/>
      <c r="W44" s="774" t="n"/>
      <c r="X44" s="774" t="n"/>
      <c r="Y44" s="774" t="n"/>
      <c r="Z44" s="774" t="n"/>
      <c r="AA44" s="774" t="n"/>
      <c r="AB44" s="774" t="n"/>
      <c r="AC44" s="774" t="n"/>
      <c r="AD44" s="774" t="n"/>
      <c r="AE44" s="774" t="n"/>
      <c r="AF44" s="774" t="n"/>
      <c r="AG44" s="774" t="n"/>
      <c r="AH44" s="774" t="n"/>
      <c r="AI44" s="774" t="n"/>
      <c r="AJ44" s="774" t="n"/>
      <c r="AK44" s="774" t="n"/>
      <c r="AL44" s="774" t="n"/>
      <c r="AM44" s="774" t="n"/>
      <c r="AN44" s="774" t="n"/>
      <c r="AO44" s="774" t="n"/>
      <c r="AP44" s="774" t="n"/>
      <c r="AQ44" s="774" t="n"/>
      <c r="AR44" s="774" t="n"/>
      <c r="AS44" s="774" t="n"/>
      <c r="AT44" s="774" t="n"/>
      <c r="AU44" s="774" t="n"/>
      <c r="AV44" s="774" t="n"/>
      <c r="AW44" s="774" t="n"/>
      <c r="AX44" s="774" t="n"/>
      <c r="AY44" s="774" t="n"/>
      <c r="AZ44" s="774" t="n"/>
      <c r="BA44" s="774" t="n"/>
      <c r="BB44" s="774" t="n"/>
    </row>
    <row r="45">
      <c r="C45" s="774" t="n"/>
      <c r="D45" s="774" t="n"/>
      <c r="E45" s="774" t="n"/>
      <c r="F45" s="774" t="n"/>
      <c r="G45" s="774" t="n"/>
      <c r="H45" s="774" t="n"/>
      <c r="I45" s="774" t="n"/>
      <c r="J45" s="774" t="n"/>
      <c r="K45" s="774" t="n"/>
      <c r="L45" s="774" t="n"/>
      <c r="M45" s="774" t="n"/>
      <c r="N45" s="774" t="n"/>
      <c r="O45" s="774" t="n"/>
      <c r="P45" s="774" t="n"/>
      <c r="Q45" s="774" t="n"/>
      <c r="R45" s="774" t="n"/>
      <c r="S45" s="774" t="n"/>
      <c r="T45" s="774" t="n"/>
      <c r="U45" s="774" t="n"/>
      <c r="V45" s="774" t="n"/>
      <c r="W45" s="774" t="n"/>
      <c r="X45" s="774" t="n"/>
      <c r="Y45" s="774" t="n"/>
      <c r="Z45" s="774" t="n"/>
      <c r="AA45" s="774" t="n"/>
      <c r="AB45" s="774" t="n"/>
      <c r="AC45" s="774" t="n"/>
      <c r="AD45" s="774" t="n"/>
      <c r="AE45" s="774" t="n"/>
      <c r="AF45" s="774" t="n"/>
      <c r="AG45" s="774" t="n"/>
      <c r="AH45" s="774" t="n"/>
      <c r="AI45" s="774" t="n"/>
      <c r="AJ45" s="774" t="n"/>
      <c r="AK45" s="774" t="n"/>
      <c r="AL45" s="774" t="n"/>
      <c r="AM45" s="774" t="n"/>
      <c r="AN45" s="774" t="n"/>
      <c r="AO45" s="774" t="n"/>
      <c r="AP45" s="774" t="n"/>
      <c r="AQ45" s="774" t="n"/>
      <c r="AR45" s="774" t="n"/>
      <c r="AS45" s="774" t="n"/>
      <c r="AT45" s="774" t="n"/>
      <c r="AU45" s="774" t="n"/>
      <c r="AV45" s="774" t="n"/>
      <c r="AW45" s="774" t="n"/>
      <c r="AX45" s="774" t="n"/>
      <c r="AY45" s="774" t="n"/>
      <c r="AZ45" s="774" t="n"/>
      <c r="BA45" s="774" t="n"/>
      <c r="BB45" s="774" t="n"/>
    </row>
    <row r="46">
      <c r="B46" s="349" t="inlineStr">
        <is>
          <t>ENGINEERING AIA REVENUE</t>
        </is>
      </c>
      <c r="C46" s="709">
        <f>SUMIFS(Data!$AD$3:$AD$348,Data!$Z$3:$Z$348,C$21,Data!$Y$3:$Y$348,"2021",Data!$K$3:$K$348,'Reporting 2021'!$B15)</f>
        <v/>
      </c>
      <c r="D46" s="709">
        <f>SUMIFS(Data!$AD$3:$AD$348,Data!$Z$3:$Z$348,D$21,Data!$Y$3:$Y$348,"2021",Data!$K$3:$K$348,'Reporting 2021'!$B15)</f>
        <v/>
      </c>
      <c r="E46" s="709">
        <f>SUMIFS(Data!$AD$3:$AD$348,Data!$Z$3:$Z$348,E$21,Data!$Y$3:$Y$348,"2021",Data!$K$3:$K$348,'Reporting 2021'!$B15)</f>
        <v/>
      </c>
      <c r="F46" s="709">
        <f>SUMIFS(Data!$AD$3:$AD$348,Data!$Z$3:$Z$348,F$21,Data!$Y$3:$Y$348,"2021",Data!$K$3:$K$348,'Reporting 2021'!$B15)</f>
        <v/>
      </c>
      <c r="G46" s="709">
        <f>SUMIFS(Data!$AD$3:$AD$348,Data!$Z$3:$Z$348,G$21,Data!$Y$3:$Y$348,"2021",Data!$K$3:$K$348,'Reporting 2021'!$B15)</f>
        <v/>
      </c>
      <c r="H46" s="709">
        <f>SUMIFS(Data!$AD$3:$AD$348,Data!$Z$3:$Z$348,H$21,Data!$Y$3:$Y$348,"2021",Data!$K$3:$K$348,'Reporting 2021'!$B15)</f>
        <v/>
      </c>
      <c r="I46" s="709">
        <f>SUMIFS(Data!$AD$3:$AD$348,Data!$Z$3:$Z$348,I$21,Data!$Y$3:$Y$348,"2021",Data!$K$3:$K$348,'Reporting 2021'!$B15)</f>
        <v/>
      </c>
      <c r="J46" s="709">
        <f>SUMIFS(Data!$AD$3:$AD$348,Data!$Z$3:$Z$348,J$21,Data!$Y$3:$Y$348,"2021",Data!$K$3:$K$348,'Reporting 2021'!$B15)</f>
        <v/>
      </c>
      <c r="K46" s="709">
        <f>SUMIFS(Data!$AD$3:$AD$348,Data!$Z$3:$Z$348,K$21,Data!$Y$3:$Y$348,"2021",Data!$K$3:$K$348,'Reporting 2021'!$B15)</f>
        <v/>
      </c>
      <c r="L46" s="709">
        <f>SUMIFS(Data!$AD$3:$AD$348,Data!$Z$3:$Z$348,L$21,Data!$Y$3:$Y$348,"2021",Data!$K$3:$K$348,'Reporting 2021'!$B15)</f>
        <v/>
      </c>
      <c r="M46" s="709">
        <f>SUMIFS(Data!$AD$3:$AD$348,Data!$Z$3:$Z$348,M$21,Data!$Y$3:$Y$348,"2021",Data!$K$3:$K$348,'Reporting 2021'!$B15)</f>
        <v/>
      </c>
      <c r="N46" s="709">
        <f>SUMIFS(Data!$AD$3:$AD$348,Data!$Z$3:$Z$348,N$21,Data!$Y$3:$Y$348,"2021",Data!$K$3:$K$348,'Reporting 2021'!$B15)</f>
        <v/>
      </c>
    </row>
    <row r="47">
      <c r="B47" s="349" t="inlineStr">
        <is>
          <t>ENGINEERING IC REVENUE</t>
        </is>
      </c>
      <c r="C47" s="709">
        <f>SUMIFS(Data!$AD$3:$AD$348,Data!$Z$3:$Z$348,C$21,Data!$Y$3:$Y$348,"2021",Data!$K$3:$K$348,'Reporting 2021'!$B16)</f>
        <v/>
      </c>
      <c r="D47" s="709">
        <f>SUMIFS(Data!$AD$3:$AD$348,Data!$Z$3:$Z$348,D$21,Data!$Y$3:$Y$348,"2021",Data!$K$3:$K$348,'Reporting 2021'!$B16)</f>
        <v/>
      </c>
      <c r="E47" s="709">
        <f>SUMIFS(Data!$AD$3:$AD$348,Data!$Z$3:$Z$348,E$21,Data!$Y$3:$Y$348,"2021",Data!$K$3:$K$348,'Reporting 2021'!$B16)</f>
        <v/>
      </c>
      <c r="F47" s="709">
        <f>SUMIFS(Data!$AD$3:$AD$348,Data!$Z$3:$Z$348,F$21,Data!$Y$3:$Y$348,"2021",Data!$K$3:$K$348,'Reporting 2021'!$B16)</f>
        <v/>
      </c>
      <c r="G47" s="709">
        <f>SUMIFS(Data!$AD$3:$AD$348,Data!$Z$3:$Z$348,G$21,Data!$Y$3:$Y$348,"2021",Data!$K$3:$K$348,'Reporting 2021'!$B16)</f>
        <v/>
      </c>
      <c r="H47" s="709">
        <f>SUMIFS(Data!$AD$3:$AD$348,Data!$Z$3:$Z$348,H$21,Data!$Y$3:$Y$348,"2021",Data!$K$3:$K$348,'Reporting 2021'!$B16)</f>
        <v/>
      </c>
      <c r="I47" s="709">
        <f>SUMIFS(Data!$AD$3:$AD$348,Data!$Z$3:$Z$348,I$21,Data!$Y$3:$Y$348,"2021",Data!$K$3:$K$348,'Reporting 2021'!$B16)</f>
        <v/>
      </c>
      <c r="J47" s="709">
        <f>SUMIFS(Data!$AD$3:$AD$348,Data!$Z$3:$Z$348,J$21,Data!$Y$3:$Y$348,"2021",Data!$K$3:$K$348,'Reporting 2021'!$B16)</f>
        <v/>
      </c>
      <c r="K47" s="709">
        <f>SUMIFS(Data!$AD$3:$AD$348,Data!$Z$3:$Z$348,K$21,Data!$Y$3:$Y$348,"2021",Data!$K$3:$K$348,'Reporting 2021'!$B16)</f>
        <v/>
      </c>
      <c r="L47" s="709">
        <f>SUMIFS(Data!$AD$3:$AD$348,Data!$Z$3:$Z$348,L$21,Data!$Y$3:$Y$348,"2021",Data!$K$3:$K$348,'Reporting 2021'!$B16)</f>
        <v/>
      </c>
      <c r="M47" s="709">
        <f>SUMIFS(Data!$AD$3:$AD$348,Data!$Z$3:$Z$348,M$21,Data!$Y$3:$Y$348,"2021",Data!$K$3:$K$348,'Reporting 2021'!$B16)</f>
        <v/>
      </c>
      <c r="N47" s="709">
        <f>SUMIFS(Data!$AD$3:$AD$348,Data!$Z$3:$Z$348,N$21,Data!$Y$3:$Y$348,"2021",Data!$K$3:$K$348,'Reporting 2021'!$B16)</f>
        <v/>
      </c>
    </row>
    <row r="48">
      <c r="B48" s="349" t="inlineStr">
        <is>
          <t>FCP AIA REVENUE</t>
        </is>
      </c>
      <c r="C48" s="709">
        <f>SUMIFS(Data!$AD$3:$AD$348,Data!$Z$3:$Z$348,C$21,Data!$Y$3:$Y$348,"2021",Data!$K$3:$K$348,'Reporting 2021'!$B17)</f>
        <v/>
      </c>
      <c r="D48" s="709">
        <f>SUMIFS(Data!$AD$3:$AD$348,Data!$Z$3:$Z$348,D$21,Data!$Y$3:$Y$348,"2021",Data!$K$3:$K$348,'Reporting 2021'!$B17)</f>
        <v/>
      </c>
      <c r="E48" s="709">
        <f>SUMIFS(Data!$AD$3:$AD$348,Data!$Z$3:$Z$348,E$21,Data!$Y$3:$Y$348,"2021",Data!$K$3:$K$348,'Reporting 2021'!$B17)</f>
        <v/>
      </c>
      <c r="F48" s="709">
        <f>SUMIFS(Data!$AD$3:$AD$348,Data!$Z$3:$Z$348,F$21,Data!$Y$3:$Y$348,"2021",Data!$K$3:$K$348,'Reporting 2021'!$B17)</f>
        <v/>
      </c>
      <c r="G48" s="709">
        <f>SUMIFS(Data!$AD$3:$AD$348,Data!$Z$3:$Z$348,G$21,Data!$Y$3:$Y$348,"2021",Data!$K$3:$K$348,'Reporting 2021'!$B17)</f>
        <v/>
      </c>
      <c r="H48" s="709">
        <f>SUMIFS(Data!$AD$3:$AD$348,Data!$Z$3:$Z$348,H$21,Data!$Y$3:$Y$348,"2021",Data!$K$3:$K$348,'Reporting 2021'!$B17)</f>
        <v/>
      </c>
      <c r="I48" s="709">
        <f>SUMIFS(Data!$AD$3:$AD$348,Data!$Z$3:$Z$348,I$21,Data!$Y$3:$Y$348,"2021",Data!$K$3:$K$348,'Reporting 2021'!$B17)</f>
        <v/>
      </c>
      <c r="J48" s="709">
        <f>SUMIFS(Data!$AD$3:$AD$348,Data!$Z$3:$Z$348,J$21,Data!$Y$3:$Y$348,"2021",Data!$K$3:$K$348,'Reporting 2021'!$B17)</f>
        <v/>
      </c>
      <c r="K48" s="709">
        <f>SUMIFS(Data!$AD$3:$AD$348,Data!$Z$3:$Z$348,K$21,Data!$Y$3:$Y$348,"2021",Data!$K$3:$K$348,'Reporting 2021'!$B17)</f>
        <v/>
      </c>
      <c r="L48" s="709">
        <f>SUMIFS(Data!$AD$3:$AD$348,Data!$Z$3:$Z$348,L$21,Data!$Y$3:$Y$348,"2021",Data!$K$3:$K$348,'Reporting 2021'!$B17)</f>
        <v/>
      </c>
      <c r="M48" s="709">
        <f>SUMIFS(Data!$AD$3:$AD$348,Data!$Z$3:$Z$348,M$21,Data!$Y$3:$Y$348,"2021",Data!$K$3:$K$348,'Reporting 2021'!$B17)</f>
        <v/>
      </c>
      <c r="N48" s="709">
        <f>SUMIFS(Data!$AD$3:$AD$348,Data!$Z$3:$Z$348,N$21,Data!$Y$3:$Y$348,"2021",Data!$K$3:$K$348,'Reporting 2021'!$B17)</f>
        <v/>
      </c>
    </row>
    <row r="49">
      <c r="B49" s="349" t="inlineStr">
        <is>
          <t>FCP OTHER AIA REVENUE</t>
        </is>
      </c>
      <c r="C49" s="709">
        <f>SUMIFS(Data!$AD$3:$AD$348,Data!$Z$3:$Z$348,C$21,Data!$Y$3:$Y$348,"2021",Data!$K$3:$K$348,'Reporting 2021'!$B18)</f>
        <v/>
      </c>
      <c r="D49" s="709">
        <f>SUMIFS(Data!$AD$3:$AD$348,Data!$Z$3:$Z$348,D$21,Data!$Y$3:$Y$348,"2021",Data!$K$3:$K$348,'Reporting 2021'!$B18)</f>
        <v/>
      </c>
      <c r="E49" s="709">
        <f>SUMIFS(Data!$AD$3:$AD$348,Data!$Z$3:$Z$348,E$21,Data!$Y$3:$Y$348,"2021",Data!$K$3:$K$348,'Reporting 2021'!$B18)</f>
        <v/>
      </c>
      <c r="F49" s="709">
        <f>SUMIFS(Data!$AD$3:$AD$348,Data!$Z$3:$Z$348,F$21,Data!$Y$3:$Y$348,"2021",Data!$K$3:$K$348,'Reporting 2021'!$B18)</f>
        <v/>
      </c>
      <c r="G49" s="709">
        <f>SUMIFS(Data!$AD$3:$AD$348,Data!$Z$3:$Z$348,G$21,Data!$Y$3:$Y$348,"2021",Data!$K$3:$K$348,'Reporting 2021'!$B18)</f>
        <v/>
      </c>
      <c r="H49" s="709">
        <f>SUMIFS(Data!$AD$3:$AD$348,Data!$Z$3:$Z$348,H$21,Data!$Y$3:$Y$348,"2021",Data!$K$3:$K$348,'Reporting 2021'!$B18)</f>
        <v/>
      </c>
      <c r="I49" s="709">
        <f>SUMIFS(Data!$AD$3:$AD$348,Data!$Z$3:$Z$348,I$21,Data!$Y$3:$Y$348,"2021",Data!$K$3:$K$348,'Reporting 2021'!$B18)</f>
        <v/>
      </c>
      <c r="J49" s="709">
        <f>SUMIFS(Data!$AD$3:$AD$348,Data!$Z$3:$Z$348,J$21,Data!$Y$3:$Y$348,"2021",Data!$K$3:$K$348,'Reporting 2021'!$B18)</f>
        <v/>
      </c>
      <c r="K49" s="709">
        <f>SUMIFS(Data!$AD$3:$AD$348,Data!$Z$3:$Z$348,K$21,Data!$Y$3:$Y$348,"2021",Data!$K$3:$K$348,'Reporting 2021'!$B18)</f>
        <v/>
      </c>
      <c r="L49" s="709">
        <f>SUMIFS(Data!$AD$3:$AD$348,Data!$Z$3:$Z$348,L$21,Data!$Y$3:$Y$348,"2021",Data!$K$3:$K$348,'Reporting 2021'!$B18)</f>
        <v/>
      </c>
      <c r="M49" s="709">
        <f>SUMIFS(Data!$AD$3:$AD$348,Data!$Z$3:$Z$348,M$21,Data!$Y$3:$Y$348,"2021",Data!$K$3:$K$348,'Reporting 2021'!$B18)</f>
        <v/>
      </c>
      <c r="N49" s="709">
        <f>SUMIFS(Data!$AD$3:$AD$348,Data!$Z$3:$Z$348,N$21,Data!$Y$3:$Y$348,"2021",Data!$K$3:$K$348,'Reporting 2021'!$B18)</f>
        <v/>
      </c>
    </row>
    <row r="50">
      <c r="B50" s="349" t="inlineStr">
        <is>
          <t>GSE to AIA REVENUE</t>
        </is>
      </c>
      <c r="C50" s="709">
        <f>SUMIFS(Data!$AD$3:$AD$348,Data!$Z$3:$Z$348,C$21,Data!$Y$3:$Y$348,"2021",Data!$K$3:$K$348,'Reporting 2021'!$B19)</f>
        <v/>
      </c>
      <c r="D50" s="709">
        <f>SUMIFS(Data!$AD$3:$AD$348,Data!$Z$3:$Z$348,D$21,Data!$Y$3:$Y$348,"2021",Data!$K$3:$K$348,'Reporting 2021'!$B19)</f>
        <v/>
      </c>
      <c r="E50" s="709">
        <f>SUMIFS(Data!$AD$3:$AD$348,Data!$Z$3:$Z$348,E$21,Data!$Y$3:$Y$348,"2021",Data!$K$3:$K$348,'Reporting 2021'!$B19)</f>
        <v/>
      </c>
      <c r="F50" s="709">
        <f>SUMIFS(Data!$AD$3:$AD$348,Data!$Z$3:$Z$348,F$21,Data!$Y$3:$Y$348,"2021",Data!$K$3:$K$348,'Reporting 2021'!$B19)</f>
        <v/>
      </c>
      <c r="G50" s="709">
        <f>SUMIFS(Data!$AD$3:$AD$348,Data!$Z$3:$Z$348,G$21,Data!$Y$3:$Y$348,"2021",Data!$K$3:$K$348,'Reporting 2021'!$B19)</f>
        <v/>
      </c>
      <c r="H50" s="709">
        <f>SUMIFS(Data!$AD$3:$AD$348,Data!$Z$3:$Z$348,H$21,Data!$Y$3:$Y$348,"2021",Data!$K$3:$K$348,'Reporting 2021'!$B19)</f>
        <v/>
      </c>
      <c r="I50" s="709">
        <f>SUMIFS(Data!$AD$3:$AD$348,Data!$Z$3:$Z$348,I$21,Data!$Y$3:$Y$348,"2021",Data!$K$3:$K$348,'Reporting 2021'!$B19)</f>
        <v/>
      </c>
      <c r="J50" s="709">
        <f>SUMIFS(Data!$AD$3:$AD$348,Data!$Z$3:$Z$348,J$21,Data!$Y$3:$Y$348,"2021",Data!$K$3:$K$348,'Reporting 2021'!$B19)</f>
        <v/>
      </c>
      <c r="K50" s="709">
        <f>SUMIFS(Data!$AD$3:$AD$348,Data!$Z$3:$Z$348,K$21,Data!$Y$3:$Y$348,"2021",Data!$K$3:$K$348,'Reporting 2021'!$B19)</f>
        <v/>
      </c>
      <c r="L50" s="709">
        <f>SUMIFS(Data!$AD$3:$AD$348,Data!$Z$3:$Z$348,L$21,Data!$Y$3:$Y$348,"2021",Data!$K$3:$K$348,'Reporting 2021'!$B19)</f>
        <v/>
      </c>
      <c r="M50" s="709">
        <f>SUMIFS(Data!$AD$3:$AD$348,Data!$Z$3:$Z$348,M$21,Data!$Y$3:$Y$348,"2021",Data!$K$3:$K$348,'Reporting 2021'!$B19)</f>
        <v/>
      </c>
      <c r="N50" s="709">
        <f>SUMIFS(Data!$AD$3:$AD$348,Data!$Z$3:$Z$348,N$21,Data!$Y$3:$Y$348,"2021",Data!$K$3:$K$348,'Reporting 2021'!$B19)</f>
        <v/>
      </c>
    </row>
    <row r="51" ht="15.75" customHeight="1" s="701" thickBot="1">
      <c r="B51" s="349" t="inlineStr">
        <is>
          <t>SERVICE AIA REVENUE</t>
        </is>
      </c>
      <c r="C51" s="709">
        <f>SUMIFS(Data!$AD$3:$AD$348,Data!$Z$3:$Z$348,C$21,Data!$Y$3:$Y$348,"2021",Data!$K$3:$K$348,'Reporting 2021'!$B20)</f>
        <v/>
      </c>
      <c r="D51" s="709">
        <f>SUMIFS(Data!$AD$3:$AD$348,Data!$Z$3:$Z$348,D$21,Data!$Y$3:$Y$348,"2021",Data!$K$3:$K$348,'Reporting 2021'!$B20)</f>
        <v/>
      </c>
      <c r="E51" s="709">
        <f>SUMIFS(Data!$AD$3:$AD$348,Data!$Z$3:$Z$348,E$21,Data!$Y$3:$Y$348,"2021",Data!$K$3:$K$348,'Reporting 2021'!$B20)</f>
        <v/>
      </c>
      <c r="F51" s="709">
        <f>SUMIFS(Data!$AD$3:$AD$348,Data!$Z$3:$Z$348,F$21,Data!$Y$3:$Y$348,"2021",Data!$K$3:$K$348,'Reporting 2021'!$B20)</f>
        <v/>
      </c>
      <c r="G51" s="709">
        <f>SUMIFS(Data!$AD$3:$AD$348,Data!$Z$3:$Z$348,G$21,Data!$Y$3:$Y$348,"2021",Data!$K$3:$K$348,'Reporting 2021'!$B20)</f>
        <v/>
      </c>
      <c r="H51" s="709">
        <f>SUMIFS(Data!$AD$3:$AD$348,Data!$Z$3:$Z$348,H$21,Data!$Y$3:$Y$348,"2021",Data!$K$3:$K$348,'Reporting 2021'!$B20)</f>
        <v/>
      </c>
      <c r="I51" s="709">
        <f>SUMIFS(Data!$AD$3:$AD$348,Data!$Z$3:$Z$348,I$21,Data!$Y$3:$Y$348,"2021",Data!$K$3:$K$348,'Reporting 2021'!$B20)</f>
        <v/>
      </c>
      <c r="J51" s="709">
        <f>SUMIFS(Data!$AD$3:$AD$348,Data!$Z$3:$Z$348,J$21,Data!$Y$3:$Y$348,"2021",Data!$K$3:$K$348,'Reporting 2021'!$B20)</f>
        <v/>
      </c>
      <c r="K51" s="709">
        <f>SUMIFS(Data!$AD$3:$AD$348,Data!$Z$3:$Z$348,K$21,Data!$Y$3:$Y$348,"2021",Data!$K$3:$K$348,'Reporting 2021'!$B20)</f>
        <v/>
      </c>
      <c r="L51" s="709">
        <f>SUMIFS(Data!$AD$3:$AD$348,Data!$Z$3:$Z$348,L$21,Data!$Y$3:$Y$348,"2021",Data!$K$3:$K$348,'Reporting 2021'!$B20)</f>
        <v/>
      </c>
      <c r="M51" s="709">
        <f>SUMIFS(Data!$AD$3:$AD$348,Data!$Z$3:$Z$348,M$21,Data!$Y$3:$Y$348,"2021",Data!$K$3:$K$348,'Reporting 2021'!$B20)</f>
        <v/>
      </c>
      <c r="N51" s="709">
        <f>SUMIFS(Data!$AD$3:$AD$348,Data!$Z$3:$Z$348,N$21,Data!$Y$3:$Y$348,"2021",Data!$K$3:$K$348,'Reporting 2021'!$B20)</f>
        <v/>
      </c>
    </row>
    <row r="52" ht="15" customHeight="1" s="701">
      <c r="B52" s="349" t="inlineStr">
        <is>
          <t>SERVICE IC REVENUE</t>
        </is>
      </c>
      <c r="C52" s="709">
        <f>SUMIFS(Data!$AD$3:$AD$348,Data!$Z$3:$Z$348,C$21,Data!$Y$3:$Y$348,"2021",Data!$K$3:$K$348,'Reporting 2021'!$B21)</f>
        <v/>
      </c>
      <c r="D52" s="709">
        <f>SUMIFS(Data!$AD$3:$AD$348,Data!$Z$3:$Z$348,D$21,Data!$Y$3:$Y$348,"2021",Data!$K$3:$K$348,'Reporting 2021'!$B21)</f>
        <v/>
      </c>
      <c r="E52" s="709">
        <f>SUMIFS(Data!$AD$3:$AD$348,Data!$Z$3:$Z$348,E$21,Data!$Y$3:$Y$348,"2021",Data!$K$3:$K$348,'Reporting 2021'!$B21)</f>
        <v/>
      </c>
      <c r="F52" s="709">
        <f>SUMIFS(Data!$AD$3:$AD$348,Data!$Z$3:$Z$348,F$21,Data!$Y$3:$Y$348,"2021",Data!$K$3:$K$348,'Reporting 2021'!$B21)</f>
        <v/>
      </c>
      <c r="G52" s="709">
        <f>SUMIFS(Data!$AD$3:$AD$348,Data!$Z$3:$Z$348,G$21,Data!$Y$3:$Y$348,"2021",Data!$K$3:$K$348,'Reporting 2021'!$B21)</f>
        <v/>
      </c>
      <c r="H52" s="709">
        <f>SUMIFS(Data!$AD$3:$AD$348,Data!$Z$3:$Z$348,H$21,Data!$Y$3:$Y$348,"2021",Data!$K$3:$K$348,'Reporting 2021'!$B21)</f>
        <v/>
      </c>
      <c r="I52" s="709">
        <f>SUMIFS(Data!$AD$3:$AD$348,Data!$Z$3:$Z$348,I$21,Data!$Y$3:$Y$348,"2021",Data!$K$3:$K$348,'Reporting 2021'!$B21)</f>
        <v/>
      </c>
      <c r="J52" s="709">
        <f>SUMIFS(Data!$AD$3:$AD$348,Data!$Z$3:$Z$348,J$21,Data!$Y$3:$Y$348,"2021",Data!$K$3:$K$348,'Reporting 2021'!$B21)</f>
        <v/>
      </c>
      <c r="K52" s="709">
        <f>SUMIFS(Data!$AD$3:$AD$348,Data!$Z$3:$Z$348,K$21,Data!$Y$3:$Y$348,"2021",Data!$K$3:$K$348,'Reporting 2021'!$B21)</f>
        <v/>
      </c>
      <c r="L52" s="709">
        <f>SUMIFS(Data!$AD$3:$AD$348,Data!$Z$3:$Z$348,L$21,Data!$Y$3:$Y$348,"2021",Data!$K$3:$K$348,'Reporting 2021'!$B21)</f>
        <v/>
      </c>
      <c r="M52" s="709">
        <f>SUMIFS(Data!$AD$3:$AD$348,Data!$Z$3:$Z$348,M$21,Data!$Y$3:$Y$348,"2021",Data!$K$3:$K$348,'Reporting 2021'!$B21)</f>
        <v/>
      </c>
      <c r="N52" s="709">
        <f>SUMIFS(Data!$AD$3:$AD$348,Data!$Z$3:$Z$348,N$21,Data!$Y$3:$Y$348,"2021",Data!$K$3:$K$348,'Reporting 2021'!$B21)</f>
        <v/>
      </c>
      <c r="Q52" s="25" t="n"/>
    </row>
    <row r="53">
      <c r="B53" s="349" t="inlineStr">
        <is>
          <t>SERVICE OTHER AIA REVENUE</t>
        </is>
      </c>
      <c r="C53" s="709">
        <f>SUMIFS(Data!$AD$3:$AD$348,Data!$Z$3:$Z$348,C$21,Data!$Y$3:$Y$348,"2021",Data!$K$3:$K$348,'Reporting 2021'!$B22)</f>
        <v/>
      </c>
      <c r="D53" s="709">
        <f>SUMIFS(Data!$AD$3:$AD$348,Data!$Z$3:$Z$348,D$21,Data!$Y$3:$Y$348,"2021",Data!$K$3:$K$348,'Reporting 2021'!$B22)</f>
        <v/>
      </c>
      <c r="E53" s="709">
        <f>SUMIFS(Data!$AD$3:$AD$348,Data!$Z$3:$Z$348,E$21,Data!$Y$3:$Y$348,"2021",Data!$K$3:$K$348,'Reporting 2021'!$B22)</f>
        <v/>
      </c>
      <c r="F53" s="709">
        <f>SUMIFS(Data!$AD$3:$AD$348,Data!$Z$3:$Z$348,F$21,Data!$Y$3:$Y$348,"2021",Data!$K$3:$K$348,'Reporting 2021'!$B22)</f>
        <v/>
      </c>
      <c r="G53" s="709">
        <f>SUMIFS(Data!$AD$3:$AD$348,Data!$Z$3:$Z$348,G$21,Data!$Y$3:$Y$348,"2021",Data!$K$3:$K$348,'Reporting 2021'!$B22)</f>
        <v/>
      </c>
      <c r="H53" s="709">
        <f>SUMIFS(Data!$AD$3:$AD$348,Data!$Z$3:$Z$348,H$21,Data!$Y$3:$Y$348,"2021",Data!$K$3:$K$348,'Reporting 2021'!$B22)</f>
        <v/>
      </c>
      <c r="I53" s="709">
        <f>SUMIFS(Data!$AD$3:$AD$348,Data!$Z$3:$Z$348,I$21,Data!$Y$3:$Y$348,"2021",Data!$K$3:$K$348,'Reporting 2021'!$B22)</f>
        <v/>
      </c>
      <c r="J53" s="709">
        <f>SUMIFS(Data!$AD$3:$AD$348,Data!$Z$3:$Z$348,J$21,Data!$Y$3:$Y$348,"2021",Data!$K$3:$K$348,'Reporting 2021'!$B22)</f>
        <v/>
      </c>
      <c r="K53" s="709">
        <f>SUMIFS(Data!$AD$3:$AD$348,Data!$Z$3:$Z$348,K$21,Data!$Y$3:$Y$348,"2021",Data!$K$3:$K$348,'Reporting 2021'!$B22)</f>
        <v/>
      </c>
      <c r="L53" s="709">
        <f>SUMIFS(Data!$AD$3:$AD$348,Data!$Z$3:$Z$348,L$21,Data!$Y$3:$Y$348,"2021",Data!$K$3:$K$348,'Reporting 2021'!$B22)</f>
        <v/>
      </c>
      <c r="M53" s="709">
        <f>SUMIFS(Data!$AD$3:$AD$348,Data!$Z$3:$Z$348,M$21,Data!$Y$3:$Y$348,"2021",Data!$K$3:$K$348,'Reporting 2021'!$B22)</f>
        <v/>
      </c>
      <c r="N53" s="709">
        <f>SUMIFS(Data!$AD$3:$AD$348,Data!$Z$3:$Z$348,N$21,Data!$Y$3:$Y$348,"2021",Data!$K$3:$K$348,'Reporting 2021'!$B22)</f>
        <v/>
      </c>
    </row>
    <row r="54">
      <c r="B54" s="349" t="inlineStr">
        <is>
          <t>TRADING OTHER AIA REVENUE</t>
        </is>
      </c>
      <c r="C54" s="709">
        <f>SUMIFS(Data!$AD$3:$AD$348,Data!$Z$3:$Z$348,C$21,Data!$Y$3:$Y$348,"2021",Data!$K$3:$K$348,'Reporting 2021'!$B23)</f>
        <v/>
      </c>
      <c r="D54" s="709">
        <f>SUMIFS(Data!$AD$3:$AD$348,Data!$Z$3:$Z$348,D$21,Data!$Y$3:$Y$348,"2021",Data!$K$3:$K$348,'Reporting 2021'!$B23)</f>
        <v/>
      </c>
      <c r="E54" s="709">
        <f>SUMIFS(Data!$AD$3:$AD$348,Data!$Z$3:$Z$348,E$21,Data!$Y$3:$Y$348,"2021",Data!$K$3:$K$348,'Reporting 2021'!$B23)</f>
        <v/>
      </c>
      <c r="F54" s="709">
        <f>SUMIFS(Data!$AD$3:$AD$348,Data!$Z$3:$Z$348,F$21,Data!$Y$3:$Y$348,"2021",Data!$K$3:$K$348,'Reporting 2021'!$B23)</f>
        <v/>
      </c>
      <c r="G54" s="709">
        <f>SUMIFS(Data!$AD$3:$AD$348,Data!$Z$3:$Z$348,G$21,Data!$Y$3:$Y$348,"2021",Data!$K$3:$K$348,'Reporting 2021'!$B23)</f>
        <v/>
      </c>
      <c r="H54" s="709">
        <f>SUMIFS(Data!$AD$3:$AD$348,Data!$Z$3:$Z$348,H$21,Data!$Y$3:$Y$348,"2021",Data!$K$3:$K$348,'Reporting 2021'!$B23)</f>
        <v/>
      </c>
      <c r="I54" s="709">
        <f>SUMIFS(Data!$AD$3:$AD$348,Data!$Z$3:$Z$348,I$21,Data!$Y$3:$Y$348,"2021",Data!$K$3:$K$348,'Reporting 2021'!$B23)</f>
        <v/>
      </c>
      <c r="J54" s="709">
        <f>SUMIFS(Data!$AD$3:$AD$348,Data!$Z$3:$Z$348,J$21,Data!$Y$3:$Y$348,"2021",Data!$K$3:$K$348,'Reporting 2021'!$B23)</f>
        <v/>
      </c>
      <c r="K54" s="709">
        <f>SUMIFS(Data!$AD$3:$AD$348,Data!$Z$3:$Z$348,K$21,Data!$Y$3:$Y$348,"2021",Data!$K$3:$K$348,'Reporting 2021'!$B23)</f>
        <v/>
      </c>
      <c r="L54" s="709">
        <f>SUMIFS(Data!$AD$3:$AD$348,Data!$Z$3:$Z$348,L$21,Data!$Y$3:$Y$348,"2021",Data!$K$3:$K$348,'Reporting 2021'!$B23)</f>
        <v/>
      </c>
      <c r="M54" s="709">
        <f>SUMIFS(Data!$AD$3:$AD$348,Data!$Z$3:$Z$348,M$21,Data!$Y$3:$Y$348,"2021",Data!$K$3:$K$348,'Reporting 2021'!$B23)</f>
        <v/>
      </c>
      <c r="N54" s="709">
        <f>SUMIFS(Data!$AD$3:$AD$348,Data!$Z$3:$Z$348,N$21,Data!$Y$3:$Y$348,"2021",Data!$K$3:$K$348,'Reporting 2021'!$B23)</f>
        <v/>
      </c>
    </row>
    <row r="55" ht="15.75" customHeight="1" s="701" thickBot="1">
      <c r="B55" s="251" t="inlineStr">
        <is>
          <t>TRADING AIA REVENUE</t>
        </is>
      </c>
      <c r="C55" s="776">
        <f>SUMIFS(Data!$AD$3:$AD$348,Data!$Z$3:$Z$348,C$21,Data!$Y$3:$Y$348,"2021",Data!$K$3:$K$348,'Reporting 2021'!$B24)</f>
        <v/>
      </c>
      <c r="D55" s="776">
        <f>SUMIFS(Data!$AD$3:$AD$348,Data!$Z$3:$Z$348,D$21,Data!$Y$3:$Y$348,"2021",Data!$K$3:$K$348,'Reporting 2021'!$B24)</f>
        <v/>
      </c>
      <c r="E55" s="776">
        <f>SUMIFS(Data!$AD$3:$AD$348,Data!$Z$3:$Z$348,E$21,Data!$Y$3:$Y$348,"2021",Data!$K$3:$K$348,'Reporting 2021'!$B24)</f>
        <v/>
      </c>
      <c r="F55" s="776">
        <f>SUMIFS(Data!$AD$3:$AD$348,Data!$Z$3:$Z$348,F$21,Data!$Y$3:$Y$348,"2021",Data!$K$3:$K$348,'Reporting 2021'!$B24)</f>
        <v/>
      </c>
      <c r="G55" s="776">
        <f>SUMIFS(Data!$AD$3:$AD$348,Data!$Z$3:$Z$348,G$21,Data!$Y$3:$Y$348,"2021",Data!$K$3:$K$348,'Reporting 2021'!$B24)</f>
        <v/>
      </c>
      <c r="H55" s="776">
        <f>SUMIFS(Data!$AD$3:$AD$348,Data!$Z$3:$Z$348,H$21,Data!$Y$3:$Y$348,"2021",Data!$K$3:$K$348,'Reporting 2021'!$B24)</f>
        <v/>
      </c>
      <c r="I55" s="776">
        <f>SUMIFS(Data!$AD$3:$AD$348,Data!$Z$3:$Z$348,I$21,Data!$Y$3:$Y$348,"2021",Data!$K$3:$K$348,'Reporting 2021'!$B24)</f>
        <v/>
      </c>
      <c r="J55" s="776">
        <f>SUMIFS(Data!$AD$3:$AD$348,Data!$Z$3:$Z$348,J$21,Data!$Y$3:$Y$348,"2021",Data!$K$3:$K$348,'Reporting 2021'!$B24)</f>
        <v/>
      </c>
      <c r="K55" s="776">
        <f>SUMIFS(Data!$AD$3:$AD$348,Data!$Z$3:$Z$348,K$21,Data!$Y$3:$Y$348,"2021",Data!$K$3:$K$348,'Reporting 2021'!$B24)</f>
        <v/>
      </c>
      <c r="L55" s="776">
        <f>SUMIFS(Data!$AD$3:$AD$348,Data!$Z$3:$Z$348,L$21,Data!$Y$3:$Y$348,"2021",Data!$K$3:$K$348,'Reporting 2021'!$B24)</f>
        <v/>
      </c>
      <c r="M55" s="776">
        <f>SUMIFS(Data!$AD$3:$AD$348,Data!$Z$3:$Z$348,M$21,Data!$Y$3:$Y$348,"2021",Data!$K$3:$K$348,'Reporting 2021'!$B24)</f>
        <v/>
      </c>
      <c r="N55" s="776">
        <f>SUMIFS(Data!$AD$3:$AD$348,Data!$Z$3:$Z$348,N$21,Data!$Y$3:$Y$348,"2021",Data!$K$3:$K$348,'Reporting 2021'!$B24)</f>
        <v/>
      </c>
    </row>
    <row r="56" ht="15.75" customHeight="1" s="701" thickTop="1">
      <c r="B56" s="349" t="inlineStr">
        <is>
          <t>ENGINEERING AIA REV.YTD</t>
        </is>
      </c>
      <c r="C56" s="777">
        <f>+C46</f>
        <v/>
      </c>
      <c r="D56" s="842">
        <f>C56+D46</f>
        <v/>
      </c>
      <c r="E56" s="842">
        <f>D56+E46</f>
        <v/>
      </c>
      <c r="F56" s="842">
        <f>E56+F46</f>
        <v/>
      </c>
      <c r="G56" s="842">
        <f>F56+G46</f>
        <v/>
      </c>
      <c r="H56" s="842">
        <f>G56+H46</f>
        <v/>
      </c>
      <c r="I56" s="842">
        <f>H56+I46</f>
        <v/>
      </c>
      <c r="J56" s="842">
        <f>I56+J46</f>
        <v/>
      </c>
      <c r="K56" s="842">
        <f>J56+K46</f>
        <v/>
      </c>
      <c r="L56" s="842">
        <f>K56+L46</f>
        <v/>
      </c>
      <c r="M56" s="842">
        <f>L56+M46</f>
        <v/>
      </c>
      <c r="N56" s="842">
        <f>M56+N46</f>
        <v/>
      </c>
    </row>
    <row r="57">
      <c r="B57" s="349" t="inlineStr">
        <is>
          <t>ENGINEERING IC REV.YTD</t>
        </is>
      </c>
      <c r="C57" s="777">
        <f>+C47</f>
        <v/>
      </c>
      <c r="D57" s="778">
        <f>C57+D47</f>
        <v/>
      </c>
      <c r="E57" s="778">
        <f>D57+E47</f>
        <v/>
      </c>
      <c r="F57" s="778">
        <f>E57+F47</f>
        <v/>
      </c>
      <c r="G57" s="778">
        <f>F57+G47</f>
        <v/>
      </c>
      <c r="H57" s="778">
        <f>G57+H47</f>
        <v/>
      </c>
      <c r="I57" s="778">
        <f>H57+I47</f>
        <v/>
      </c>
      <c r="J57" s="778">
        <f>I57+J47</f>
        <v/>
      </c>
      <c r="K57" s="778">
        <f>J57+K47</f>
        <v/>
      </c>
      <c r="L57" s="778">
        <f>K57+L47</f>
        <v/>
      </c>
      <c r="M57" s="778">
        <f>L57+M47</f>
        <v/>
      </c>
      <c r="N57" s="778">
        <f>M57+N47</f>
        <v/>
      </c>
    </row>
    <row r="58">
      <c r="B58" s="349" t="inlineStr">
        <is>
          <t>FCP AIA REV.YTD</t>
        </is>
      </c>
      <c r="C58" s="777">
        <f>+C48</f>
        <v/>
      </c>
      <c r="D58" s="778">
        <f>C58+D48</f>
        <v/>
      </c>
      <c r="E58" s="778">
        <f>D58+E48</f>
        <v/>
      </c>
      <c r="F58" s="778">
        <f>E58+F48</f>
        <v/>
      </c>
      <c r="G58" s="778">
        <f>F58+G48</f>
        <v/>
      </c>
      <c r="H58" s="778">
        <f>G58+H48</f>
        <v/>
      </c>
      <c r="I58" s="778">
        <f>H58+I48</f>
        <v/>
      </c>
      <c r="J58" s="778">
        <f>I58+J48</f>
        <v/>
      </c>
      <c r="K58" s="778">
        <f>J58+K48</f>
        <v/>
      </c>
      <c r="L58" s="778">
        <f>K58+L48</f>
        <v/>
      </c>
      <c r="M58" s="778">
        <f>L58+M48</f>
        <v/>
      </c>
      <c r="N58" s="778">
        <f>M58+N48</f>
        <v/>
      </c>
    </row>
    <row r="59">
      <c r="B59" s="349" t="inlineStr">
        <is>
          <t>FCP OTHER AIA REV.YTD</t>
        </is>
      </c>
      <c r="C59" s="777">
        <f>+C49</f>
        <v/>
      </c>
      <c r="D59" s="778">
        <f>C59+D49</f>
        <v/>
      </c>
      <c r="E59" s="778">
        <f>D59+E49</f>
        <v/>
      </c>
      <c r="F59" s="778">
        <f>E59+F49</f>
        <v/>
      </c>
      <c r="G59" s="778">
        <f>F59+G49</f>
        <v/>
      </c>
      <c r="H59" s="778">
        <f>G59+H49</f>
        <v/>
      </c>
      <c r="I59" s="778">
        <f>H59+I49</f>
        <v/>
      </c>
      <c r="J59" s="778">
        <f>I59+J49</f>
        <v/>
      </c>
      <c r="K59" s="778">
        <f>J59+K49</f>
        <v/>
      </c>
      <c r="L59" s="778">
        <f>K59+L49</f>
        <v/>
      </c>
      <c r="M59" s="778">
        <f>L59+M49</f>
        <v/>
      </c>
      <c r="N59" s="778">
        <f>M59+N49</f>
        <v/>
      </c>
    </row>
    <row r="60">
      <c r="B60" s="349" t="inlineStr">
        <is>
          <t>GSE to AIA REV.YTD</t>
        </is>
      </c>
      <c r="C60" s="777">
        <f>+C50</f>
        <v/>
      </c>
      <c r="D60" s="778">
        <f>C60+D50</f>
        <v/>
      </c>
      <c r="E60" s="778">
        <f>D60+E50</f>
        <v/>
      </c>
      <c r="F60" s="778">
        <f>E60+F50</f>
        <v/>
      </c>
      <c r="G60" s="778">
        <f>F60+G50</f>
        <v/>
      </c>
      <c r="H60" s="778">
        <f>G60+H50</f>
        <v/>
      </c>
      <c r="I60" s="778">
        <f>H60+I50</f>
        <v/>
      </c>
      <c r="J60" s="778">
        <f>I60+J50</f>
        <v/>
      </c>
      <c r="K60" s="778">
        <f>J60+K50</f>
        <v/>
      </c>
      <c r="L60" s="778">
        <f>K60+L50</f>
        <v/>
      </c>
      <c r="M60" s="778">
        <f>L60+M50</f>
        <v/>
      </c>
      <c r="N60" s="778">
        <f>M60+N50</f>
        <v/>
      </c>
    </row>
    <row r="61">
      <c r="B61" s="349" t="inlineStr">
        <is>
          <t>SERVICE AIA REV.YTD</t>
        </is>
      </c>
      <c r="C61" s="777">
        <f>+C51</f>
        <v/>
      </c>
      <c r="D61" s="778">
        <f>C61+D51</f>
        <v/>
      </c>
      <c r="E61" s="778">
        <f>D61+E51</f>
        <v/>
      </c>
      <c r="F61" s="778">
        <f>E61+F51</f>
        <v/>
      </c>
      <c r="G61" s="778">
        <f>F61+G51</f>
        <v/>
      </c>
      <c r="H61" s="778">
        <f>G61+H51</f>
        <v/>
      </c>
      <c r="I61" s="778">
        <f>H61+I51</f>
        <v/>
      </c>
      <c r="J61" s="778">
        <f>I61+J51</f>
        <v/>
      </c>
      <c r="K61" s="778">
        <f>J61+K51</f>
        <v/>
      </c>
      <c r="L61" s="778">
        <f>K61+L51</f>
        <v/>
      </c>
      <c r="M61" s="778">
        <f>L61+M51</f>
        <v/>
      </c>
      <c r="N61" s="778">
        <f>M61+N51</f>
        <v/>
      </c>
    </row>
    <row r="62">
      <c r="B62" s="349" t="inlineStr">
        <is>
          <t>SERVICE IC REV.YTD</t>
        </is>
      </c>
      <c r="C62" s="777">
        <f>+C52</f>
        <v/>
      </c>
      <c r="D62" s="778">
        <f>C62+D52</f>
        <v/>
      </c>
      <c r="E62" s="778">
        <f>D62+E52</f>
        <v/>
      </c>
      <c r="F62" s="778">
        <f>E62+F52</f>
        <v/>
      </c>
      <c r="G62" s="778">
        <f>F62+G52</f>
        <v/>
      </c>
      <c r="H62" s="778">
        <f>G62+H52</f>
        <v/>
      </c>
      <c r="I62" s="778">
        <f>H62+I52</f>
        <v/>
      </c>
      <c r="J62" s="778">
        <f>I62+J52</f>
        <v/>
      </c>
      <c r="K62" s="778">
        <f>J62+K52</f>
        <v/>
      </c>
      <c r="L62" s="778">
        <f>K62+L52</f>
        <v/>
      </c>
      <c r="M62" s="778">
        <f>L62+M52</f>
        <v/>
      </c>
      <c r="N62" s="778">
        <f>M62+N52</f>
        <v/>
      </c>
    </row>
    <row r="63">
      <c r="B63" s="349" t="inlineStr">
        <is>
          <t>SERVICE OTHER AIA REV.YTD</t>
        </is>
      </c>
      <c r="C63" s="777">
        <f>+C53</f>
        <v/>
      </c>
      <c r="D63" s="778">
        <f>C63+D53</f>
        <v/>
      </c>
      <c r="E63" s="778">
        <f>D63+E53</f>
        <v/>
      </c>
      <c r="F63" s="778">
        <f>E63+F53</f>
        <v/>
      </c>
      <c r="G63" s="778">
        <f>F63+G53</f>
        <v/>
      </c>
      <c r="H63" s="778">
        <f>G63+H53</f>
        <v/>
      </c>
      <c r="I63" s="778">
        <f>H63+I53</f>
        <v/>
      </c>
      <c r="J63" s="778">
        <f>I63+J53</f>
        <v/>
      </c>
      <c r="K63" s="778">
        <f>J63+K53</f>
        <v/>
      </c>
      <c r="L63" s="778">
        <f>K63+L53</f>
        <v/>
      </c>
      <c r="M63" s="778">
        <f>L63+M53</f>
        <v/>
      </c>
      <c r="N63" s="778">
        <f>M63+N53</f>
        <v/>
      </c>
    </row>
    <row r="64">
      <c r="B64" s="349" t="inlineStr">
        <is>
          <t>TRADING OTHER AIA REV.YTD</t>
        </is>
      </c>
      <c r="C64" s="777">
        <f>+C54</f>
        <v/>
      </c>
      <c r="D64" s="778">
        <f>C64+D54</f>
        <v/>
      </c>
      <c r="E64" s="778">
        <f>D64+E54</f>
        <v/>
      </c>
      <c r="F64" s="778">
        <f>E64+F54</f>
        <v/>
      </c>
      <c r="G64" s="778">
        <f>F64+G54</f>
        <v/>
      </c>
      <c r="H64" s="778">
        <f>G64+H54</f>
        <v/>
      </c>
      <c r="I64" s="778">
        <f>H64+I54</f>
        <v/>
      </c>
      <c r="J64" s="778">
        <f>I64+J54</f>
        <v/>
      </c>
      <c r="K64" s="778">
        <f>J64+K54</f>
        <v/>
      </c>
      <c r="L64" s="778">
        <f>K64+L54</f>
        <v/>
      </c>
      <c r="M64" s="778">
        <f>L64+M54</f>
        <v/>
      </c>
      <c r="N64" s="778">
        <f>M64+N54</f>
        <v/>
      </c>
    </row>
    <row r="65">
      <c r="B65" s="349" t="inlineStr">
        <is>
          <t>TRADING AIA REV.YTD</t>
        </is>
      </c>
      <c r="C65" s="777">
        <f>+C55</f>
        <v/>
      </c>
      <c r="D65" s="778">
        <f>C65+D55</f>
        <v/>
      </c>
      <c r="E65" s="778">
        <f>D65+E55</f>
        <v/>
      </c>
      <c r="F65" s="778">
        <f>E65+F55</f>
        <v/>
      </c>
      <c r="G65" s="778">
        <f>F65+G55</f>
        <v/>
      </c>
      <c r="H65" s="778">
        <f>G65+H55</f>
        <v/>
      </c>
      <c r="I65" s="778">
        <f>H65+I55</f>
        <v/>
      </c>
      <c r="J65" s="778">
        <f>I65+J55</f>
        <v/>
      </c>
      <c r="K65" s="778">
        <f>J65+K55</f>
        <v/>
      </c>
      <c r="L65" s="778">
        <f>K65+L55</f>
        <v/>
      </c>
      <c r="M65" s="778">
        <f>L65+M55</f>
        <v/>
      </c>
      <c r="N65" s="778">
        <f>M65+N55</f>
        <v/>
      </c>
    </row>
    <row r="66">
      <c r="B66" s="245" t="n"/>
      <c r="C66" s="223" t="n"/>
    </row>
    <row r="67">
      <c r="B67" s="245" t="n"/>
      <c r="C67" s="223" t="n"/>
    </row>
    <row r="68">
      <c r="B68" s="245" t="n"/>
      <c r="C68" s="223" t="n"/>
      <c r="F68">
        <f>SUMIFS(Data!$S$2,Data!$P$2,F$21,Data!$K$2,'Reporting 2021'!B18,Data!$O$2,"2021")</f>
        <v/>
      </c>
    </row>
    <row r="69">
      <c r="B69" s="349" t="inlineStr">
        <is>
          <t>ENGINEERING AIA OI</t>
        </is>
      </c>
      <c r="C69" s="778">
        <f>SUMIFS(Data!$S$3:$S$348,Data!$P$3:$P$348,C$21,Data!$K$3:$K$348,'Reporting 2021'!$B15,Data!$O$3:$O$348,"2021")</f>
        <v/>
      </c>
      <c r="D69" s="778">
        <f>SUMIFS(Data!$S$3:$S$348,Data!$P$3:$P$348,D$21,Data!$K$3:$K$348,'Reporting 2021'!$B15,Data!$O$3:$O$348,"2021")</f>
        <v/>
      </c>
      <c r="E69" s="778">
        <f>SUMIFS(Data!$S$3:$S$348,Data!$P$3:$P$348,E$21,Data!$K$3:$K$348,'Reporting 2021'!$B15,Data!$O$3:$O$348,"2021")</f>
        <v/>
      </c>
      <c r="F69" s="778">
        <f>SUMIFS(Data!$S$3:$S$348,Data!$P$3:$P$348,F$21,Data!$K$3:$K$348,'Reporting 2021'!$B15,Data!$O$3:$O$348,"2021")</f>
        <v/>
      </c>
      <c r="G69" s="778">
        <f>SUMIFS(Data!$S$3:$S$348,Data!$P$3:$P$348,G$21,Data!$K$3:$K$348,'Reporting 2021'!$B15,Data!$O$3:$O$348,"2021")</f>
        <v/>
      </c>
      <c r="H69" s="778">
        <f>SUMIFS(Data!$S$3:$S$348,Data!$P$3:$P$348,H$21,Data!$K$3:$K$348,'Reporting 2021'!$B15,Data!$O$3:$O$348,"2021")</f>
        <v/>
      </c>
      <c r="I69" s="778">
        <f>SUMIFS(Data!$S$3:$S$348,Data!$P$3:$P$348,I$21,Data!$K$3:$K$348,'Reporting 2021'!$B15,Data!$O$3:$O$348,"2021")</f>
        <v/>
      </c>
      <c r="J69" s="778">
        <f>SUMIFS(Data!$S$3:$S$348,Data!$P$3:$P$348,J$21,Data!$K$3:$K$348,'Reporting 2021'!$B15,Data!$O$3:$O$348,"2021")</f>
        <v/>
      </c>
      <c r="K69" s="778">
        <f>SUMIFS(Data!$S$3:$S$348,Data!$P$3:$P$348,K$21,Data!$K$3:$K$348,'Reporting 2021'!$B15,Data!$O$3:$O$348,"2021")</f>
        <v/>
      </c>
      <c r="L69" s="778">
        <f>SUMIFS(Data!$S$3:$S$348,Data!$P$3:$P$348,L$21,Data!$K$3:$K$348,'Reporting 2021'!$B15,Data!$O$3:$O$348,"2021")</f>
        <v/>
      </c>
      <c r="M69" s="778">
        <f>SUMIFS(Data!$S$3:$S$348,Data!$P$3:$P$348,M$21,Data!$K$3:$K$348,'Reporting 2021'!$B15,Data!$O$3:$O$348,"2021")</f>
        <v/>
      </c>
      <c r="N69" s="778">
        <f>SUMIFS(Data!$S$3:$S$348,Data!$P$3:$P$348,N$21,Data!$K$3:$K$348,'Reporting 2021'!$B15,Data!$O$3:$O$348,"2021")</f>
        <v/>
      </c>
    </row>
    <row r="70">
      <c r="B70" s="349" t="inlineStr">
        <is>
          <t>ENGINEERING IC OI</t>
        </is>
      </c>
      <c r="C70" s="778">
        <f>SUMIFS(Data!$S$3:$S$348,Data!$P$3:$P$348,C$21,Data!$K$3:$K$348,'Reporting 2021'!$B16,Data!$O$3:$O$348,"2021")</f>
        <v/>
      </c>
      <c r="D70" s="778">
        <f>SUMIFS(Data!$S$3:$S$348,Data!$P$3:$P$348,D$21,Data!$K$3:$K$348,'Reporting 2021'!$B16,Data!$O$3:$O$348,"2021")</f>
        <v/>
      </c>
      <c r="E70" s="778">
        <f>SUMIFS(Data!$S$3:$S$348,Data!$P$3:$P$348,E$21,Data!$K$3:$K$348,'Reporting 2021'!$B16,Data!$O$3:$O$348,"2021")</f>
        <v/>
      </c>
      <c r="F70" s="778">
        <f>SUMIFS(Data!$S$3:$S$348,Data!$P$3:$P$348,F$21,Data!$K$3:$K$348,'Reporting 2021'!$B16,Data!$O$3:$O$348,"2021")</f>
        <v/>
      </c>
      <c r="G70" s="778">
        <f>SUMIFS(Data!$S$3:$S$348,Data!$P$3:$P$348,G$21,Data!$K$3:$K$348,'Reporting 2021'!$B16,Data!$O$3:$O$348,"2021")</f>
        <v/>
      </c>
      <c r="H70" s="778">
        <f>SUMIFS(Data!$S$3:$S$348,Data!$P$3:$P$348,H$21,Data!$K$3:$K$348,'Reporting 2021'!$B16,Data!$O$3:$O$348,"2021")</f>
        <v/>
      </c>
      <c r="I70" s="778">
        <f>SUMIFS(Data!$S$3:$S$348,Data!$P$3:$P$348,I$21,Data!$K$3:$K$348,'Reporting 2021'!$B16,Data!$O$3:$O$348,"2021")</f>
        <v/>
      </c>
      <c r="J70" s="778">
        <f>SUMIFS(Data!$S$3:$S$348,Data!$P$3:$P$348,J$21,Data!$K$3:$K$348,'Reporting 2021'!$B16,Data!$O$3:$O$348,"2021")</f>
        <v/>
      </c>
      <c r="K70" s="778">
        <f>SUMIFS(Data!$S$3:$S$348,Data!$P$3:$P$348,K$21,Data!$K$3:$K$348,'Reporting 2021'!$B16,Data!$O$3:$O$348,"2021")</f>
        <v/>
      </c>
      <c r="L70" s="778">
        <f>SUMIFS(Data!$S$3:$S$348,Data!$P$3:$P$348,L$21,Data!$K$3:$K$348,'Reporting 2021'!$B16,Data!$O$3:$O$348,"2021")</f>
        <v/>
      </c>
      <c r="M70" s="778">
        <f>SUMIFS(Data!$S$3:$S$348,Data!$P$3:$P$348,M$21,Data!$K$3:$K$348,'Reporting 2021'!$B16,Data!$O$3:$O$348,"2021")</f>
        <v/>
      </c>
      <c r="N70" s="778">
        <f>SUMIFS(Data!$S$3:$S$348,Data!$P$3:$P$348,N$21,Data!$K$3:$K$348,'Reporting 2021'!$B16,Data!$O$3:$O$348,"2021")</f>
        <v/>
      </c>
    </row>
    <row r="71">
      <c r="B71" s="349" t="inlineStr">
        <is>
          <t>FCP AIA OI</t>
        </is>
      </c>
      <c r="C71" s="778">
        <f>SUMIFS(Data!$S$3:$S$348,Data!$P$3:$P$348,C$21,Data!$K$3:$K$348,'Reporting 2021'!$B17,Data!$O$3:$O$348,"2021")</f>
        <v/>
      </c>
      <c r="D71" s="778">
        <f>SUMIFS(Data!$S$3:$S$348,Data!$P$3:$P$348,D$21,Data!$K$3:$K$348,'Reporting 2021'!$B17,Data!$O$3:$O$348,"2021")</f>
        <v/>
      </c>
      <c r="E71" s="778">
        <f>SUMIFS(Data!$S$3:$S$348,Data!$P$3:$P$348,E$21,Data!$K$3:$K$348,'Reporting 2021'!$B17,Data!$O$3:$O$348,"2021")</f>
        <v/>
      </c>
      <c r="F71" s="778">
        <f>SUMIFS(Data!$S$3:$S$348,Data!$P$3:$P$348,F$21,Data!$K$3:$K$348,'Reporting 2021'!$B17,Data!$O$3:$O$348,"2021")</f>
        <v/>
      </c>
      <c r="G71" s="778">
        <f>SUMIFS(Data!$S$3:$S$348,Data!$P$3:$P$348,G$21,Data!$K$3:$K$348,'Reporting 2021'!$B17,Data!$O$3:$O$348,"2021")</f>
        <v/>
      </c>
      <c r="H71" s="778">
        <f>SUMIFS(Data!$S$3:$S$348,Data!$P$3:$P$348,H$21,Data!$K$3:$K$348,'Reporting 2021'!$B17,Data!$O$3:$O$348,"2021")</f>
        <v/>
      </c>
      <c r="I71" s="778">
        <f>SUMIFS(Data!$S$3:$S$348,Data!$P$3:$P$348,I$21,Data!$K$3:$K$348,'Reporting 2021'!$B17,Data!$O$3:$O$348,"2021")</f>
        <v/>
      </c>
      <c r="J71" s="778">
        <f>SUMIFS(Data!$S$3:$S$348,Data!$P$3:$P$348,J$21,Data!$K$3:$K$348,'Reporting 2021'!$B17,Data!$O$3:$O$348,"2021")</f>
        <v/>
      </c>
      <c r="K71" s="778">
        <f>SUMIFS(Data!$S$3:$S$348,Data!$P$3:$P$348,K$21,Data!$K$3:$K$348,'Reporting 2021'!$B17,Data!$O$3:$O$348,"2021")</f>
        <v/>
      </c>
      <c r="L71" s="778">
        <f>SUMIFS(Data!$S$3:$S$348,Data!$P$3:$P$348,L$21,Data!$K$3:$K$348,'Reporting 2021'!$B17,Data!$O$3:$O$348,"2021")</f>
        <v/>
      </c>
      <c r="M71" s="778">
        <f>SUMIFS(Data!$S$3:$S$348,Data!$P$3:$P$348,M$21,Data!$K$3:$K$348,'Reporting 2021'!$B17,Data!$O$3:$O$348,"2021")</f>
        <v/>
      </c>
      <c r="N71" s="778">
        <f>SUMIFS(Data!$S$3:$S$348,Data!$P$3:$P$348,N$21,Data!$K$3:$K$348,'Reporting 2021'!$B17,Data!$O$3:$O$348,"2021")</f>
        <v/>
      </c>
    </row>
    <row r="72">
      <c r="B72" s="349" t="inlineStr">
        <is>
          <t>FCP OTHER AIA OI</t>
        </is>
      </c>
      <c r="C72" s="778">
        <f>SUMIFS(Data!$S$3:$S$348,Data!$P$3:$P$348,C$21,Data!$K$3:$K$348,'Reporting 2021'!$B18,Data!$O$3:$O$348,"2021")</f>
        <v/>
      </c>
      <c r="D72" s="778">
        <f>SUMIFS(Data!$S$3:$S$348,Data!$P$3:$P$348,D$21,Data!$K$3:$K$348,'Reporting 2021'!$B18,Data!$O$3:$O$348,"2021")</f>
        <v/>
      </c>
      <c r="E72" s="778">
        <f>SUMIFS(Data!$S$3:$S$348,Data!$P$3:$P$348,E$21,Data!$K$3:$K$348,'Reporting 2021'!$B18,Data!$O$3:$O$348,"2021")</f>
        <v/>
      </c>
      <c r="F72" s="778">
        <f>SUMIFS(Data!$S$3:$S$348,Data!$P$3:$P$348,F$21,Data!$K$3:$K$348,'Reporting 2021'!$B18,Data!$O$3:$O$348,"2021")</f>
        <v/>
      </c>
      <c r="G72" s="778">
        <f>SUMIFS(Data!$S$3:$S$348,Data!$P$3:$P$348,G$21,Data!$K$3:$K$348,'Reporting 2021'!$B18,Data!$O$3:$O$348,"2021")</f>
        <v/>
      </c>
      <c r="H72" s="778">
        <f>SUMIFS(Data!$S$3:$S$348,Data!$P$3:$P$348,H$21,Data!$K$3:$K$348,'Reporting 2021'!$B18,Data!$O$3:$O$348,"2021")</f>
        <v/>
      </c>
      <c r="I72" s="778">
        <f>SUMIFS(Data!$S$3:$S$348,Data!$P$3:$P$348,I$21,Data!$K$3:$K$348,'Reporting 2021'!$B18,Data!$O$3:$O$348,"2021")</f>
        <v/>
      </c>
      <c r="J72" s="778">
        <f>SUMIFS(Data!$S$3:$S$348,Data!$P$3:$P$348,J$21,Data!$K$3:$K$348,'Reporting 2021'!$B18,Data!$O$3:$O$348,"2021")</f>
        <v/>
      </c>
      <c r="K72" s="778">
        <f>SUMIFS(Data!$S$3:$S$348,Data!$P$3:$P$348,K$21,Data!$K$3:$K$348,'Reporting 2021'!$B18,Data!$O$3:$O$348,"2021")</f>
        <v/>
      </c>
      <c r="L72" s="778">
        <f>SUMIFS(Data!$S$3:$S$348,Data!$P$3:$P$348,L$21,Data!$K$3:$K$348,'Reporting 2021'!$B18,Data!$O$3:$O$348,"2021")</f>
        <v/>
      </c>
      <c r="M72" s="778">
        <f>SUMIFS(Data!$S$3:$S$348,Data!$P$3:$P$348,M$21,Data!$K$3:$K$348,'Reporting 2021'!$B18,Data!$O$3:$O$348,"2021")</f>
        <v/>
      </c>
      <c r="N72" s="778">
        <f>SUMIFS(Data!$S$3:$S$348,Data!$P$3:$P$348,N$21,Data!$K$3:$K$348,'Reporting 2021'!$B18,Data!$O$3:$O$348,"2021")</f>
        <v/>
      </c>
    </row>
    <row r="73">
      <c r="B73" s="349" t="inlineStr">
        <is>
          <t>GSE to AIA OI</t>
        </is>
      </c>
      <c r="C73" s="778">
        <f>SUMIFS(Data!$S$3:$S$348,Data!$P$3:$P$348,C$21,Data!$K$3:$K$348,'Reporting 2021'!$B19,Data!$O$3:$O$348,"2021")</f>
        <v/>
      </c>
      <c r="D73" s="778">
        <f>SUMIFS(Data!$S$3:$S$348,Data!$P$3:$P$348,D$21,Data!$K$3:$K$348,'Reporting 2021'!$B19,Data!$O$3:$O$348,"2021")</f>
        <v/>
      </c>
      <c r="E73" s="778">
        <f>SUMIFS(Data!$S$3:$S$348,Data!$P$3:$P$348,E$21,Data!$K$3:$K$348,'Reporting 2021'!$B19,Data!$O$3:$O$348,"2021")</f>
        <v/>
      </c>
      <c r="F73" s="778">
        <f>SUMIFS(Data!$S$3:$S$348,Data!$P$3:$P$348,F$21,Data!$K$3:$K$348,'Reporting 2021'!$B19,Data!$O$3:$O$348,"2021")</f>
        <v/>
      </c>
      <c r="G73" s="778">
        <f>SUMIFS(Data!$S$3:$S$348,Data!$P$3:$P$348,G$21,Data!$K$3:$K$348,'Reporting 2021'!$B19,Data!$O$3:$O$348,"2021")</f>
        <v/>
      </c>
      <c r="H73" s="778">
        <f>SUMIFS(Data!$S$3:$S$348,Data!$P$3:$P$348,H$21,Data!$K$3:$K$348,'Reporting 2021'!$B19,Data!$O$3:$O$348,"2021")</f>
        <v/>
      </c>
      <c r="I73" s="778">
        <f>SUMIFS(Data!$S$3:$S$348,Data!$P$3:$P$348,I$21,Data!$K$3:$K$348,'Reporting 2021'!$B19,Data!$O$3:$O$348,"2021")</f>
        <v/>
      </c>
      <c r="J73" s="778">
        <f>SUMIFS(Data!$S$3:$S$348,Data!$P$3:$P$348,J$21,Data!$K$3:$K$348,'Reporting 2021'!$B19,Data!$O$3:$O$348,"2021")</f>
        <v/>
      </c>
      <c r="K73" s="778">
        <f>SUMIFS(Data!$S$3:$S$348,Data!$P$3:$P$348,K$21,Data!$K$3:$K$348,'Reporting 2021'!$B19,Data!$O$3:$O$348,"2021")</f>
        <v/>
      </c>
      <c r="L73" s="778">
        <f>SUMIFS(Data!$S$3:$S$348,Data!$P$3:$P$348,L$21,Data!$K$3:$K$348,'Reporting 2021'!$B19,Data!$O$3:$O$348,"2021")</f>
        <v/>
      </c>
      <c r="M73" s="778">
        <f>SUMIFS(Data!$S$3:$S$348,Data!$P$3:$P$348,M$21,Data!$K$3:$K$348,'Reporting 2021'!$B19,Data!$O$3:$O$348,"2021")</f>
        <v/>
      </c>
      <c r="N73" s="778">
        <f>SUMIFS(Data!$S$3:$S$348,Data!$P$3:$P$348,N$21,Data!$K$3:$K$348,'Reporting 2021'!$B19,Data!$O$3:$O$348,"2021")</f>
        <v/>
      </c>
    </row>
    <row r="74">
      <c r="B74" s="349" t="inlineStr">
        <is>
          <t>SERVICE AIA OI</t>
        </is>
      </c>
      <c r="C74" s="778">
        <f>SUMIFS(Data!$S$3:$S$348,Data!$P$3:$P$348,C$21,Data!$K$3:$K$348,'Reporting 2021'!$B20,Data!$O$3:$O$348,"2021")</f>
        <v/>
      </c>
      <c r="D74" s="778">
        <f>SUMIFS(Data!$S$3:$S$348,Data!$P$3:$P$348,D$21,Data!$K$3:$K$348,'Reporting 2021'!$B20,Data!$O$3:$O$348,"2021")</f>
        <v/>
      </c>
      <c r="E74" s="778">
        <f>SUMIFS(Data!$S$3:$S$348,Data!$P$3:$P$348,E$21,Data!$K$3:$K$348,'Reporting 2021'!$B20,Data!$O$3:$O$348,"2021")</f>
        <v/>
      </c>
      <c r="F74" s="778">
        <f>SUMIFS(Data!$S$3:$S$348,Data!$P$3:$P$348,F$21,Data!$K$3:$K$348,'Reporting 2021'!$B20,Data!$O$3:$O$348,"2021")</f>
        <v/>
      </c>
      <c r="G74" s="778">
        <f>SUMIFS(Data!$S$3:$S$348,Data!$P$3:$P$348,G$21,Data!$K$3:$K$348,'Reporting 2021'!$B20,Data!$O$3:$O$348,"2021")</f>
        <v/>
      </c>
      <c r="H74" s="778">
        <f>SUMIFS(Data!$S$3:$S$348,Data!$P$3:$P$348,H$21,Data!$K$3:$K$348,'Reporting 2021'!$B20,Data!$O$3:$O$348,"2021")</f>
        <v/>
      </c>
      <c r="I74" s="778">
        <f>SUMIFS(Data!$S$3:$S$348,Data!$P$3:$P$348,I$21,Data!$K$3:$K$348,'Reporting 2021'!$B20,Data!$O$3:$O$348,"2021")</f>
        <v/>
      </c>
      <c r="J74" s="778">
        <f>SUMIFS(Data!$S$3:$S$348,Data!$P$3:$P$348,J$21,Data!$K$3:$K$348,'Reporting 2021'!$B20,Data!$O$3:$O$348,"2021")</f>
        <v/>
      </c>
      <c r="K74" s="778">
        <f>SUMIFS(Data!$S$3:$S$348,Data!$P$3:$P$348,K$21,Data!$K$3:$K$348,'Reporting 2021'!$B20,Data!$O$3:$O$348,"2021")</f>
        <v/>
      </c>
      <c r="L74" s="778">
        <f>SUMIFS(Data!$S$3:$S$348,Data!$P$3:$P$348,L$21,Data!$K$3:$K$348,'Reporting 2021'!$B20,Data!$O$3:$O$348,"2021")</f>
        <v/>
      </c>
      <c r="M74" s="778">
        <f>SUMIFS(Data!$S$3:$S$348,Data!$P$3:$P$348,M$21,Data!$K$3:$K$348,'Reporting 2021'!$B20,Data!$O$3:$O$348,"2021")</f>
        <v/>
      </c>
      <c r="N74" s="778">
        <f>SUMIFS(Data!$S$3:$S$348,Data!$P$3:$P$348,N$21,Data!$K$3:$K$348,'Reporting 2021'!$B20,Data!$O$3:$O$348,"2021")</f>
        <v/>
      </c>
    </row>
    <row r="75">
      <c r="B75" s="349" t="inlineStr">
        <is>
          <t>SERVICE IC OI</t>
        </is>
      </c>
      <c r="C75" s="778">
        <f>SUMIFS(Data!$S$3:$S$348,Data!$P$3:$P$348,C$21,Data!$K$3:$K$348,'Reporting 2021'!$B21,Data!$O$3:$O$348,"2021")</f>
        <v/>
      </c>
      <c r="D75" s="778">
        <f>SUMIFS(Data!$S$3:$S$348,Data!$P$3:$P$348,D$21,Data!$K$3:$K$348,'Reporting 2021'!$B21,Data!$O$3:$O$348,"2021")</f>
        <v/>
      </c>
      <c r="E75" s="778">
        <f>SUMIFS(Data!$S$3:$S$348,Data!$P$3:$P$348,E$21,Data!$K$3:$K$348,'Reporting 2021'!$B21,Data!$O$3:$O$348,"2021")</f>
        <v/>
      </c>
      <c r="F75" s="778">
        <f>SUMIFS(Data!$S$3:$S$348,Data!$P$3:$P$348,F$21,Data!$K$3:$K$348,'Reporting 2021'!$B21,Data!$O$3:$O$348,"2021")</f>
        <v/>
      </c>
      <c r="G75" s="778">
        <f>SUMIFS(Data!$S$3:$S$348,Data!$P$3:$P$348,G$21,Data!$K$3:$K$348,'Reporting 2021'!$B21,Data!$O$3:$O$348,"2021")</f>
        <v/>
      </c>
      <c r="H75" s="778">
        <f>SUMIFS(Data!$S$3:$S$348,Data!$P$3:$P$348,H$21,Data!$K$3:$K$348,'Reporting 2021'!$B21,Data!$O$3:$O$348,"2021")</f>
        <v/>
      </c>
      <c r="I75" s="778">
        <f>SUMIFS(Data!$S$3:$S$348,Data!$P$3:$P$348,I$21,Data!$K$3:$K$348,'Reporting 2021'!$B21,Data!$O$3:$O$348,"2021")</f>
        <v/>
      </c>
      <c r="J75" s="778">
        <f>SUMIFS(Data!$S$3:$S$348,Data!$P$3:$P$348,J$21,Data!$K$3:$K$348,'Reporting 2021'!$B21,Data!$O$3:$O$348,"2021")</f>
        <v/>
      </c>
      <c r="K75" s="778">
        <f>SUMIFS(Data!$S$3:$S$348,Data!$P$3:$P$348,K$21,Data!$K$3:$K$348,'Reporting 2021'!$B21,Data!$O$3:$O$348,"2021")</f>
        <v/>
      </c>
      <c r="L75" s="778">
        <f>SUMIFS(Data!$S$3:$S$348,Data!$P$3:$P$348,L$21,Data!$K$3:$K$348,'Reporting 2021'!$B21,Data!$O$3:$O$348,"2021")</f>
        <v/>
      </c>
      <c r="M75" s="778">
        <f>SUMIFS(Data!$S$3:$S$348,Data!$P$3:$P$348,M$21,Data!$K$3:$K$348,'Reporting 2021'!$B21,Data!$O$3:$O$348,"2021")</f>
        <v/>
      </c>
      <c r="N75" s="778">
        <f>SUMIFS(Data!$S$3:$S$348,Data!$P$3:$P$348,N$21,Data!$K$3:$K$348,'Reporting 2021'!$B21,Data!$O$3:$O$348,"2021")</f>
        <v/>
      </c>
    </row>
    <row r="76">
      <c r="B76" s="349" t="inlineStr">
        <is>
          <t>SERVICE OTHER AIA OI</t>
        </is>
      </c>
      <c r="C76" s="778">
        <f>SUMIFS(Data!$S$3:$S$348,Data!$P$3:$P$348,C$21,Data!$K$3:$K$348,'Reporting 2021'!$B22,Data!$O$3:$O$348,"2021")</f>
        <v/>
      </c>
      <c r="D76" s="778">
        <f>SUMIFS(Data!$S$3:$S$348,Data!$P$3:$P$348,D$21,Data!$K$3:$K$348,'Reporting 2021'!$B22,Data!$O$3:$O$348,"2021")</f>
        <v/>
      </c>
      <c r="E76" s="778">
        <f>SUMIFS(Data!$S$3:$S$348,Data!$P$3:$P$348,E$21,Data!$K$3:$K$348,'Reporting 2021'!$B22,Data!$O$3:$O$348,"2021")</f>
        <v/>
      </c>
      <c r="F76" s="778">
        <f>SUMIFS(Data!$S$3:$S$348,Data!$P$3:$P$348,F$21,Data!$K$3:$K$348,'Reporting 2021'!$B22,Data!$O$3:$O$348,"2021")</f>
        <v/>
      </c>
      <c r="G76" s="778">
        <f>SUMIFS(Data!$S$3:$S$348,Data!$P$3:$P$348,G$21,Data!$K$3:$K$348,'Reporting 2021'!$B22,Data!$O$3:$O$348,"2021")</f>
        <v/>
      </c>
      <c r="H76" s="778">
        <f>SUMIFS(Data!$S$3:$S$348,Data!$P$3:$P$348,H$21,Data!$K$3:$K$348,'Reporting 2021'!$B22,Data!$O$3:$O$348,"2021")</f>
        <v/>
      </c>
      <c r="I76" s="778">
        <f>SUMIFS(Data!$S$3:$S$348,Data!$P$3:$P$348,I$21,Data!$K$3:$K$348,'Reporting 2021'!$B22,Data!$O$3:$O$348,"2021")</f>
        <v/>
      </c>
      <c r="J76" s="778">
        <f>SUMIFS(Data!$S$3:$S$348,Data!$P$3:$P$348,J$21,Data!$K$3:$K$348,'Reporting 2021'!$B22,Data!$O$3:$O$348,"2021")</f>
        <v/>
      </c>
      <c r="K76" s="778">
        <f>SUMIFS(Data!$S$3:$S$348,Data!$P$3:$P$348,K$21,Data!$K$3:$K$348,'Reporting 2021'!$B22,Data!$O$3:$O$348,"2021")</f>
        <v/>
      </c>
      <c r="L76" s="778">
        <f>SUMIFS(Data!$S$3:$S$348,Data!$P$3:$P$348,L$21,Data!$K$3:$K$348,'Reporting 2021'!$B22,Data!$O$3:$O$348,"2021")</f>
        <v/>
      </c>
      <c r="M76" s="778">
        <f>SUMIFS(Data!$S$3:$S$348,Data!$P$3:$P$348,M$21,Data!$K$3:$K$348,'Reporting 2021'!$B22,Data!$O$3:$O$348,"2021")</f>
        <v/>
      </c>
      <c r="N76" s="778">
        <f>SUMIFS(Data!$S$3:$S$348,Data!$P$3:$P$348,N$21,Data!$K$3:$K$348,'Reporting 2021'!$B22,Data!$O$3:$O$348,"2021")</f>
        <v/>
      </c>
    </row>
    <row r="77">
      <c r="B77" s="349" t="inlineStr">
        <is>
          <t>TRADING OTHER AIA OI</t>
        </is>
      </c>
      <c r="C77" s="778">
        <f>SUMIFS(Data!$S$3:$S$348,Data!$P$3:$P$348,C$21,Data!$K$3:$K$348,'Reporting 2021'!$B23,Data!$O$3:$O$348,"2021")</f>
        <v/>
      </c>
      <c r="D77" s="778">
        <f>SUMIFS(Data!$S$3:$S$348,Data!$P$3:$P$348,D$21,Data!$K$3:$K$348,'Reporting 2021'!$B23,Data!$O$3:$O$348,"2021")</f>
        <v/>
      </c>
      <c r="E77" s="778">
        <f>SUMIFS(Data!$S$3:$S$348,Data!$P$3:$P$348,E$21,Data!$K$3:$K$348,'Reporting 2021'!$B23,Data!$O$3:$O$348,"2021")</f>
        <v/>
      </c>
      <c r="F77" s="778">
        <f>SUMIFS(Data!$S$3:$S$348,Data!$P$3:$P$348,F$21,Data!$K$3:$K$348,'Reporting 2021'!$B23,Data!$O$3:$O$348,"2021")</f>
        <v/>
      </c>
      <c r="G77" s="778">
        <f>SUMIFS(Data!$S$3:$S$348,Data!$P$3:$P$348,G$21,Data!$K$3:$K$348,'Reporting 2021'!$B23,Data!$O$3:$O$348,"2021")</f>
        <v/>
      </c>
      <c r="H77" s="778">
        <f>SUMIFS(Data!$S$3:$S$348,Data!$P$3:$P$348,H$21,Data!$K$3:$K$348,'Reporting 2021'!$B23,Data!$O$3:$O$348,"2021")</f>
        <v/>
      </c>
      <c r="I77" s="778">
        <f>SUMIFS(Data!$S$3:$S$348,Data!$P$3:$P$348,I$21,Data!$K$3:$K$348,'Reporting 2021'!$B23,Data!$O$3:$O$348,"2021")</f>
        <v/>
      </c>
      <c r="J77" s="778">
        <f>SUMIFS(Data!$S$3:$S$348,Data!$P$3:$P$348,J$21,Data!$K$3:$K$348,'Reporting 2021'!$B23,Data!$O$3:$O$348,"2021")</f>
        <v/>
      </c>
      <c r="K77" s="778">
        <f>SUMIFS(Data!$S$3:$S$348,Data!$P$3:$P$348,K$21,Data!$K$3:$K$348,'Reporting 2021'!$B23,Data!$O$3:$O$348,"2021")</f>
        <v/>
      </c>
      <c r="L77" s="778">
        <f>SUMIFS(Data!$S$3:$S$348,Data!$P$3:$P$348,L$21,Data!$K$3:$K$348,'Reporting 2021'!$B23,Data!$O$3:$O$348,"2021")</f>
        <v/>
      </c>
      <c r="M77" s="778">
        <f>SUMIFS(Data!$S$3:$S$348,Data!$P$3:$P$348,M$21,Data!$K$3:$K$348,'Reporting 2021'!$B23,Data!$O$3:$O$348,"2021")</f>
        <v/>
      </c>
      <c r="N77" s="778">
        <f>SUMIFS(Data!$S$3:$S$348,Data!$P$3:$P$348,N$21,Data!$K$3:$K$348,'Reporting 2021'!$B23,Data!$O$3:$O$348,"2021")</f>
        <v/>
      </c>
    </row>
    <row r="78" ht="15.75" customHeight="1" s="701" thickBot="1">
      <c r="B78" s="251" t="inlineStr">
        <is>
          <t>TRADING AIA OI</t>
        </is>
      </c>
      <c r="C78" s="779">
        <f>SUMIFS(Data!$S$3:$S$348,Data!$P$3:$P$348,C$21,Data!$K$3:$K$348,'Reporting 2021'!$B24,Data!$O$3:$O$348,"2021")</f>
        <v/>
      </c>
      <c r="D78" s="779">
        <f>SUMIFS(Data!$S$3:$S$348,Data!$P$3:$P$348,D$21,Data!$K$3:$K$348,'Reporting 2021'!$B24,Data!$O$3:$O$348,"2021")</f>
        <v/>
      </c>
      <c r="E78" s="779">
        <f>SUMIFS(Data!$S$3:$S$348,Data!$P$3:$P$348,E$21,Data!$K$3:$K$348,'Reporting 2021'!$B24,Data!$O$3:$O$348,"2021")</f>
        <v/>
      </c>
      <c r="F78" s="779">
        <f>SUMIFS(Data!$S$3:$S$348,Data!$P$3:$P$348,F$21,Data!$K$3:$K$348,'Reporting 2021'!$B24,Data!$O$3:$O$348,"2021")</f>
        <v/>
      </c>
      <c r="G78" s="779">
        <f>SUMIFS(Data!$S$3:$S$348,Data!$P$3:$P$348,G$21,Data!$K$3:$K$348,'Reporting 2021'!$B24,Data!$O$3:$O$348,"2021")</f>
        <v/>
      </c>
      <c r="H78" s="779">
        <f>SUMIFS(Data!$S$3:$S$348,Data!$P$3:$P$348,H$21,Data!$K$3:$K$348,'Reporting 2021'!$B24,Data!$O$3:$O$348,"2021")</f>
        <v/>
      </c>
      <c r="I78" s="779">
        <f>SUMIFS(Data!$S$3:$S$348,Data!$P$3:$P$348,I$21,Data!$K$3:$K$348,'Reporting 2021'!$B24,Data!$O$3:$O$348,"2021")</f>
        <v/>
      </c>
      <c r="J78" s="779">
        <f>SUMIFS(Data!$S$3:$S$348,Data!$P$3:$P$348,J$21,Data!$K$3:$K$348,'Reporting 2021'!$B24,Data!$O$3:$O$348,"2021")</f>
        <v/>
      </c>
      <c r="K78" s="779">
        <f>SUMIFS(Data!$S$3:$S$348,Data!$P$3:$P$348,K$21,Data!$K$3:$K$348,'Reporting 2021'!$B24,Data!$O$3:$O$348,"2021")</f>
        <v/>
      </c>
      <c r="L78" s="779">
        <f>SUMIFS(Data!$S$3:$S$348,Data!$P$3:$P$348,L$21,Data!$K$3:$K$348,'Reporting 2021'!$B24,Data!$O$3:$O$348,"2021")</f>
        <v/>
      </c>
      <c r="M78" s="779">
        <f>SUMIFS(Data!$S$3:$S$348,Data!$P$3:$P$348,M$21,Data!$K$3:$K$348,'Reporting 2021'!$B24,Data!$O$3:$O$348,"2021")</f>
        <v/>
      </c>
      <c r="N78" s="779">
        <f>SUMIFS(Data!$S$3:$S$348,Data!$P$3:$P$348,N$21,Data!$K$3:$K$348,'Reporting 2021'!$B24,Data!$O$3:$O$348,"2021")</f>
        <v/>
      </c>
    </row>
    <row r="79" ht="15.75" customHeight="1" s="701" thickTop="1">
      <c r="B79" s="349" t="inlineStr">
        <is>
          <t>ENGINEERING AIA OI YTD</t>
        </is>
      </c>
      <c r="C79" s="780">
        <f>C69</f>
        <v/>
      </c>
      <c r="D79" s="774">
        <f>C79+D69</f>
        <v/>
      </c>
      <c r="E79" s="774">
        <f>D79+E69</f>
        <v/>
      </c>
      <c r="F79" s="774">
        <f>E79+F69</f>
        <v/>
      </c>
      <c r="G79" s="774">
        <f>F79+G69</f>
        <v/>
      </c>
      <c r="H79" s="774">
        <f>G79+H69</f>
        <v/>
      </c>
      <c r="I79" s="774">
        <f>H79+I69</f>
        <v/>
      </c>
      <c r="J79" s="774">
        <f>I79+J69</f>
        <v/>
      </c>
      <c r="K79" s="774">
        <f>J79+K69</f>
        <v/>
      </c>
      <c r="L79" s="774">
        <f>K79+L69</f>
        <v/>
      </c>
      <c r="M79" s="774">
        <f>L79+M69</f>
        <v/>
      </c>
      <c r="N79" s="774">
        <f>M79+N69</f>
        <v/>
      </c>
    </row>
    <row r="80">
      <c r="B80" s="349" t="inlineStr">
        <is>
          <t>ENGINEERING IC OI YTD</t>
        </is>
      </c>
      <c r="C80" s="780">
        <f>C70</f>
        <v/>
      </c>
      <c r="D80" s="774">
        <f>C80+D70</f>
        <v/>
      </c>
      <c r="E80" s="774">
        <f>D80+E70</f>
        <v/>
      </c>
      <c r="F80" s="774">
        <f>E80+F70</f>
        <v/>
      </c>
      <c r="G80" s="774">
        <f>F80+G70</f>
        <v/>
      </c>
      <c r="H80" s="774">
        <f>G80+H70</f>
        <v/>
      </c>
      <c r="I80" s="774">
        <f>H80+I70</f>
        <v/>
      </c>
      <c r="J80" s="774">
        <f>I80+J70</f>
        <v/>
      </c>
      <c r="K80" s="774">
        <f>J80+K70</f>
        <v/>
      </c>
      <c r="L80" s="774">
        <f>K80+L70</f>
        <v/>
      </c>
      <c r="M80" s="774">
        <f>L80+M70</f>
        <v/>
      </c>
      <c r="N80" s="774">
        <f>M80+N70</f>
        <v/>
      </c>
    </row>
    <row r="81">
      <c r="B81" s="349" t="inlineStr">
        <is>
          <t>FCP AIA OI YTD</t>
        </is>
      </c>
      <c r="C81" s="780">
        <f>C71</f>
        <v/>
      </c>
      <c r="D81" s="774">
        <f>C81+D71</f>
        <v/>
      </c>
      <c r="E81" s="774">
        <f>D81+E71</f>
        <v/>
      </c>
      <c r="F81" s="774">
        <f>E81+F71</f>
        <v/>
      </c>
      <c r="G81" s="774">
        <f>F81+G71</f>
        <v/>
      </c>
      <c r="H81" s="774">
        <f>G81+H71</f>
        <v/>
      </c>
      <c r="I81" s="774">
        <f>H81+I71</f>
        <v/>
      </c>
      <c r="J81" s="774">
        <f>I81+J71</f>
        <v/>
      </c>
      <c r="K81" s="774">
        <f>J81+K71</f>
        <v/>
      </c>
      <c r="L81" s="774">
        <f>K81+L71</f>
        <v/>
      </c>
      <c r="M81" s="774">
        <f>L81+M71</f>
        <v/>
      </c>
      <c r="N81" s="774">
        <f>M81+N71</f>
        <v/>
      </c>
    </row>
    <row r="82">
      <c r="B82" s="349" t="inlineStr">
        <is>
          <t>FCP OTHER AIA OI YTD</t>
        </is>
      </c>
      <c r="C82" s="780">
        <f>C72</f>
        <v/>
      </c>
      <c r="D82" s="774">
        <f>C82+D72</f>
        <v/>
      </c>
      <c r="E82" s="774">
        <f>D82+E72</f>
        <v/>
      </c>
      <c r="F82" s="774">
        <f>E82+F72</f>
        <v/>
      </c>
      <c r="G82" s="774">
        <f>F82+G72</f>
        <v/>
      </c>
      <c r="H82" s="774">
        <f>G82+H72</f>
        <v/>
      </c>
      <c r="I82" s="774">
        <f>H82+I72</f>
        <v/>
      </c>
      <c r="J82" s="774">
        <f>I82+J72</f>
        <v/>
      </c>
      <c r="K82" s="774">
        <f>J82+K72</f>
        <v/>
      </c>
      <c r="L82" s="774">
        <f>K82+L72</f>
        <v/>
      </c>
      <c r="M82" s="774">
        <f>L82+M72</f>
        <v/>
      </c>
      <c r="N82" s="774">
        <f>M82+N72</f>
        <v/>
      </c>
    </row>
    <row r="83">
      <c r="B83" s="349" t="inlineStr">
        <is>
          <t>GSE to AIA OI YTD</t>
        </is>
      </c>
      <c r="C83" s="780">
        <f>C73</f>
        <v/>
      </c>
      <c r="D83" s="774">
        <f>C83+D73</f>
        <v/>
      </c>
      <c r="E83" s="774">
        <f>D83+E73</f>
        <v/>
      </c>
      <c r="F83" s="774">
        <f>E83+F73</f>
        <v/>
      </c>
      <c r="G83" s="774">
        <f>F83+G73</f>
        <v/>
      </c>
      <c r="H83" s="774">
        <f>G83+H73</f>
        <v/>
      </c>
      <c r="I83" s="774">
        <f>H83+I73</f>
        <v/>
      </c>
      <c r="J83" s="774">
        <f>I83+J73</f>
        <v/>
      </c>
      <c r="K83" s="774">
        <f>J83+K73</f>
        <v/>
      </c>
      <c r="L83" s="774">
        <f>K83+L73</f>
        <v/>
      </c>
      <c r="M83" s="774">
        <f>L83+M73</f>
        <v/>
      </c>
      <c r="N83" s="774">
        <f>M83+N73</f>
        <v/>
      </c>
    </row>
    <row r="84">
      <c r="B84" s="349" t="inlineStr">
        <is>
          <t>SERVICE AIA OI YTD</t>
        </is>
      </c>
      <c r="C84" s="780">
        <f>C74</f>
        <v/>
      </c>
      <c r="D84" s="774">
        <f>C84+D74</f>
        <v/>
      </c>
      <c r="E84" s="774">
        <f>D84+E74</f>
        <v/>
      </c>
      <c r="F84" s="774">
        <f>E84+F74</f>
        <v/>
      </c>
      <c r="G84" s="774">
        <f>F84+G74</f>
        <v/>
      </c>
      <c r="H84" s="774">
        <f>G84+H74</f>
        <v/>
      </c>
      <c r="I84" s="774">
        <f>H84+I74</f>
        <v/>
      </c>
      <c r="J84" s="774">
        <f>I84+J74</f>
        <v/>
      </c>
      <c r="K84" s="774">
        <f>J84+K74</f>
        <v/>
      </c>
      <c r="L84" s="774">
        <f>K84+L74</f>
        <v/>
      </c>
      <c r="M84" s="774">
        <f>L84+M74</f>
        <v/>
      </c>
      <c r="N84" s="774">
        <f>M84+N74</f>
        <v/>
      </c>
    </row>
    <row r="85">
      <c r="B85" s="349" t="inlineStr">
        <is>
          <t>SERVICE IC OI YTD</t>
        </is>
      </c>
      <c r="C85" s="780">
        <f>C75</f>
        <v/>
      </c>
      <c r="D85" s="774">
        <f>C85+D75</f>
        <v/>
      </c>
      <c r="E85" s="774">
        <f>D85+E75</f>
        <v/>
      </c>
      <c r="F85" s="774">
        <f>E85+F75</f>
        <v/>
      </c>
      <c r="G85" s="774">
        <f>F85+G75</f>
        <v/>
      </c>
      <c r="H85" s="774">
        <f>G85+H75</f>
        <v/>
      </c>
      <c r="I85" s="774">
        <f>H85+I75</f>
        <v/>
      </c>
      <c r="J85" s="774">
        <f>I85+J75</f>
        <v/>
      </c>
      <c r="K85" s="774">
        <f>J85+K75</f>
        <v/>
      </c>
      <c r="L85" s="774">
        <f>K85+L75</f>
        <v/>
      </c>
      <c r="M85" s="774">
        <f>L85+M75</f>
        <v/>
      </c>
      <c r="N85" s="774">
        <f>M85+N75</f>
        <v/>
      </c>
    </row>
    <row r="86">
      <c r="B86" s="349" t="inlineStr">
        <is>
          <t>SERVICE OTHER AIA OI YTD</t>
        </is>
      </c>
      <c r="C86" s="780">
        <f>C76</f>
        <v/>
      </c>
      <c r="D86" s="774">
        <f>C86+D76</f>
        <v/>
      </c>
      <c r="E86" s="774">
        <f>D86+E76</f>
        <v/>
      </c>
      <c r="F86" s="774">
        <f>E86+F76</f>
        <v/>
      </c>
      <c r="G86" s="774">
        <f>F86+G76</f>
        <v/>
      </c>
      <c r="H86" s="774">
        <f>G86+H76</f>
        <v/>
      </c>
      <c r="I86" s="774">
        <f>H86+I76</f>
        <v/>
      </c>
      <c r="J86" s="774">
        <f>I86+J76</f>
        <v/>
      </c>
      <c r="K86" s="774">
        <f>J86+K76</f>
        <v/>
      </c>
      <c r="L86" s="774">
        <f>K86+L76</f>
        <v/>
      </c>
      <c r="M86" s="774">
        <f>L86+M76</f>
        <v/>
      </c>
      <c r="N86" s="774">
        <f>M86+N76</f>
        <v/>
      </c>
    </row>
    <row r="87">
      <c r="B87" s="349" t="inlineStr">
        <is>
          <t>TRADING OTHER AIA OI YTD</t>
        </is>
      </c>
      <c r="C87" s="780">
        <f>C77</f>
        <v/>
      </c>
      <c r="D87" s="774">
        <f>C87+D77</f>
        <v/>
      </c>
      <c r="E87" s="774">
        <f>D87+E77</f>
        <v/>
      </c>
      <c r="F87" s="774">
        <f>E87+F77</f>
        <v/>
      </c>
      <c r="G87" s="774">
        <f>F87+G77</f>
        <v/>
      </c>
      <c r="H87" s="774">
        <f>G87+H77</f>
        <v/>
      </c>
      <c r="I87" s="774">
        <f>H87+I77</f>
        <v/>
      </c>
      <c r="J87" s="774">
        <f>I87+J77</f>
        <v/>
      </c>
      <c r="K87" s="774">
        <f>J87+K77</f>
        <v/>
      </c>
      <c r="L87" s="774">
        <f>K87+L77</f>
        <v/>
      </c>
      <c r="M87" s="774">
        <f>L87+M77</f>
        <v/>
      </c>
      <c r="N87" s="774">
        <f>M87+N77</f>
        <v/>
      </c>
    </row>
    <row r="88">
      <c r="B88" s="349" t="inlineStr">
        <is>
          <t>TRADING AIA OI YTD</t>
        </is>
      </c>
      <c r="C88" s="780">
        <f>C78</f>
        <v/>
      </c>
      <c r="D88" s="774">
        <f>C88+D78</f>
        <v/>
      </c>
      <c r="E88" s="774">
        <f>D88+E78</f>
        <v/>
      </c>
      <c r="F88" s="774">
        <f>E88+F78</f>
        <v/>
      </c>
      <c r="G88" s="774">
        <f>F88+G78</f>
        <v/>
      </c>
      <c r="H88" s="774">
        <f>G88+H78</f>
        <v/>
      </c>
      <c r="I88" s="774">
        <f>H88+I78</f>
        <v/>
      </c>
      <c r="J88" s="774">
        <f>I88+J78</f>
        <v/>
      </c>
      <c r="K88" s="774">
        <f>J88+K78</f>
        <v/>
      </c>
      <c r="L88" s="774">
        <f>K88+L78</f>
        <v/>
      </c>
      <c r="M88" s="774">
        <f>L88+M78</f>
        <v/>
      </c>
      <c r="N88" s="774">
        <f>M88+N78</f>
        <v/>
      </c>
    </row>
  </sheetData>
  <conditionalFormatting sqref="B22">
    <cfRule type="expression" priority="16" dxfId="396">
      <formula>MOD(ROW(),2)</formula>
    </cfRule>
  </conditionalFormatting>
  <conditionalFormatting sqref="B23">
    <cfRule type="expression" priority="15" dxfId="396">
      <formula>MOD(ROW(),2)</formula>
    </cfRule>
  </conditionalFormatting>
  <conditionalFormatting sqref="B24">
    <cfRule type="expression" priority="14" dxfId="396">
      <formula>MOD(ROW(),2)</formula>
    </cfRule>
  </conditionalFormatting>
  <conditionalFormatting sqref="B26">
    <cfRule type="expression" priority="13" dxfId="396">
      <formula>MOD(ROW(),2)</formula>
    </cfRule>
  </conditionalFormatting>
  <conditionalFormatting sqref="B27">
    <cfRule type="expression" priority="12" dxfId="396">
      <formula>MOD(ROW(),2)</formula>
    </cfRule>
  </conditionalFormatting>
  <conditionalFormatting sqref="B28">
    <cfRule type="expression" priority="11" dxfId="396">
      <formula>MOD(ROW(),2)</formula>
    </cfRule>
  </conditionalFormatting>
  <conditionalFormatting sqref="B33">
    <cfRule type="expression" priority="10" dxfId="396">
      <formula>MOD(ROW(),2)</formula>
    </cfRule>
  </conditionalFormatting>
  <conditionalFormatting sqref="B34">
    <cfRule type="expression" priority="9" dxfId="396">
      <formula>MOD(ROW(),2)</formula>
    </cfRule>
  </conditionalFormatting>
  <conditionalFormatting sqref="B35">
    <cfRule type="expression" priority="8" dxfId="396">
      <formula>MOD(ROW(),2)</formula>
    </cfRule>
  </conditionalFormatting>
  <conditionalFormatting sqref="B37">
    <cfRule type="expression" priority="7" dxfId="396">
      <formula>MOD(ROW(),2)</formula>
    </cfRule>
  </conditionalFormatting>
  <conditionalFormatting sqref="B38">
    <cfRule type="expression" priority="6" dxfId="396">
      <formula>MOD(ROW(),2)</formula>
    </cfRule>
  </conditionalFormatting>
  <conditionalFormatting sqref="B39">
    <cfRule type="expression" priority="5" dxfId="396">
      <formula>MOD(ROW(),2)</formula>
    </cfRule>
  </conditionalFormatting>
  <conditionalFormatting sqref="B25">
    <cfRule type="expression" priority="4" dxfId="396">
      <formula>MOD(ROW(),2)</formula>
    </cfRule>
  </conditionalFormatting>
  <conditionalFormatting sqref="B36">
    <cfRule type="expression" priority="3" dxfId="396">
      <formula>MOD(ROW(),2)</formula>
    </cfRule>
  </conditionalFormatting>
  <conditionalFormatting sqref="B40 B44">
    <cfRule type="expression" priority="2" dxfId="396">
      <formula>MOD(ROW(),2)</formula>
    </cfRule>
  </conditionalFormatting>
  <conditionalFormatting sqref="B29">
    <cfRule type="expression" priority="1" dxfId="396">
      <formula>MOD(ROW(),2)</formula>
    </cfRule>
  </conditionalFormatting>
  <pageMargins left="0.7" right="0.7" top="0.75" bottom="0.75" header="0.3" footer="0.3"/>
  <pageSetup orientation="landscape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rgb="FFFF0000"/>
    <outlinePr summaryBelow="1" summaryRight="1"/>
    <pageSetUpPr fitToPage="1"/>
  </sheetPr>
  <dimension ref="A1:S81"/>
  <sheetViews>
    <sheetView zoomScale="85" zoomScaleNormal="85" workbookViewId="0">
      <pane xSplit="2" ySplit="1" topLeftCell="C37" activePane="bottomRight" state="frozenSplit"/>
      <selection pane="topRight" activeCell="I23" sqref="I23"/>
      <selection pane="bottomLeft" activeCell="A46" sqref="A46"/>
      <selection pane="bottomRight" activeCell="F8" sqref="F8"/>
    </sheetView>
  </sheetViews>
  <sheetFormatPr baseColWidth="10" defaultColWidth="8.88671875" defaultRowHeight="14.4"/>
  <cols>
    <col width="51" customWidth="1" style="701" min="1" max="1"/>
    <col width="12.88671875" customWidth="1" style="701" min="2" max="2"/>
    <col width="14.44140625" bestFit="1" customWidth="1" style="701" min="3" max="4"/>
    <col width="16" bestFit="1" customWidth="1" style="701" min="5" max="6"/>
    <col width="16.88671875" bestFit="1" customWidth="1" style="701" min="7" max="11"/>
    <col width="16" bestFit="1" customWidth="1" style="701" min="12" max="12"/>
    <col width="16.88671875" bestFit="1" customWidth="1" style="701" min="13" max="14"/>
    <col width="14.44140625" bestFit="1" customWidth="1" style="701" min="15" max="15"/>
    <col width="26.109375" bestFit="1" customWidth="1" style="701" min="16" max="16"/>
    <col width="12.88671875" customWidth="1" style="701" min="17" max="17"/>
  </cols>
  <sheetData>
    <row r="1">
      <c r="A1" s="6" t="n">
        <v>2021</v>
      </c>
      <c r="B1" s="135" t="inlineStr">
        <is>
          <t>Margin</t>
        </is>
      </c>
      <c r="C1" s="843" t="n">
        <v>44197</v>
      </c>
      <c r="D1" s="844" t="n">
        <v>44228</v>
      </c>
      <c r="E1" s="844" t="n">
        <v>44256</v>
      </c>
      <c r="F1" s="844" t="n">
        <v>44287</v>
      </c>
      <c r="G1" s="844" t="n">
        <v>44317</v>
      </c>
      <c r="H1" s="845" t="n">
        <v>44348</v>
      </c>
      <c r="I1" s="843" t="n">
        <v>44378</v>
      </c>
      <c r="J1" s="844" t="n">
        <v>44409</v>
      </c>
      <c r="K1" s="844" t="n">
        <v>44440</v>
      </c>
      <c r="L1" s="844" t="n">
        <v>44470</v>
      </c>
      <c r="M1" s="844" t="n">
        <v>44501</v>
      </c>
      <c r="N1" s="846" t="n">
        <v>44531</v>
      </c>
      <c r="O1" s="136" t="inlineStr">
        <is>
          <t>Sum</t>
        </is>
      </c>
      <c r="P1" s="160" t="inlineStr">
        <is>
          <t>Sum GSE/Tools Order Intake</t>
        </is>
      </c>
    </row>
    <row r="2" ht="18.75" customHeight="1" s="701">
      <c r="A2" s="204" t="inlineStr">
        <is>
          <t>Monthly Data</t>
        </is>
      </c>
      <c r="B2" s="203" t="n"/>
      <c r="C2" s="847" t="n"/>
      <c r="D2" s="848" t="n"/>
      <c r="E2" s="848" t="n"/>
      <c r="F2" s="848" t="n"/>
      <c r="G2" s="848" t="n"/>
      <c r="H2" s="849" t="n"/>
      <c r="I2" s="850" t="n"/>
      <c r="J2" s="848" t="n"/>
      <c r="K2" s="848" t="n"/>
      <c r="L2" s="848" t="n"/>
      <c r="M2" s="848" t="n"/>
      <c r="N2" s="848" t="n"/>
      <c r="O2" s="253" t="n"/>
      <c r="P2" s="160" t="n"/>
    </row>
    <row r="3">
      <c r="A3" s="202" t="inlineStr">
        <is>
          <t>FCP Revenue</t>
        </is>
      </c>
      <c r="B3" s="192" t="n">
        <v>0.2</v>
      </c>
      <c r="C3" s="851">
        <f>'Monthly Data'!C49</f>
        <v/>
      </c>
      <c r="D3" s="851">
        <f>'Monthly Data'!D49</f>
        <v/>
      </c>
      <c r="E3" s="851">
        <f>'Monthly Data'!E49</f>
        <v/>
      </c>
      <c r="F3" s="851">
        <f>'Monthly Data'!F49</f>
        <v/>
      </c>
      <c r="G3" s="851">
        <f>'Monthly Data'!G49</f>
        <v/>
      </c>
      <c r="H3" s="851">
        <f>'Monthly Data'!H49</f>
        <v/>
      </c>
      <c r="I3" s="851">
        <f>'Monthly Data'!I49</f>
        <v/>
      </c>
      <c r="J3" s="851">
        <f>'Monthly Data'!J49</f>
        <v/>
      </c>
      <c r="K3" s="851">
        <f>'Monthly Data'!K49</f>
        <v/>
      </c>
      <c r="L3" s="851">
        <f>'Monthly Data'!L49</f>
        <v/>
      </c>
      <c r="M3" s="851">
        <f>'Monthly Data'!M49</f>
        <v/>
      </c>
      <c r="N3" s="851">
        <f>'Monthly Data'!N49</f>
        <v/>
      </c>
      <c r="O3" s="817">
        <f>SUM(C3:N3)</f>
        <v/>
      </c>
    </row>
    <row r="4">
      <c r="A4" s="202" t="inlineStr">
        <is>
          <t>Service Revenue</t>
        </is>
      </c>
      <c r="B4" s="192" t="n">
        <v>0.35</v>
      </c>
      <c r="C4" s="852">
        <f>'Monthly Data'!C52+'Monthly Data'!C53</f>
        <v/>
      </c>
      <c r="D4" s="852">
        <f>'Monthly Data'!D52+'Monthly Data'!D53</f>
        <v/>
      </c>
      <c r="E4" s="852">
        <f>'Monthly Data'!E52+'Monthly Data'!E53</f>
        <v/>
      </c>
      <c r="F4" s="852">
        <f>'Monthly Data'!F52+'Monthly Data'!F53</f>
        <v/>
      </c>
      <c r="G4" s="852">
        <f>'Monthly Data'!G52+'Monthly Data'!G53</f>
        <v/>
      </c>
      <c r="H4" s="852">
        <f>'Monthly Data'!H52+'Monthly Data'!H53</f>
        <v/>
      </c>
      <c r="I4" s="852">
        <f>'Monthly Data'!I52+'Monthly Data'!I53</f>
        <v/>
      </c>
      <c r="J4" s="852">
        <f>'Monthly Data'!J52+'Monthly Data'!J53</f>
        <v/>
      </c>
      <c r="K4" s="852">
        <f>'Monthly Data'!K52+'Monthly Data'!K53</f>
        <v/>
      </c>
      <c r="L4" s="852">
        <f>'Monthly Data'!L52+'Monthly Data'!L53</f>
        <v/>
      </c>
      <c r="M4" s="852">
        <f>'Monthly Data'!M52+'Monthly Data'!M53</f>
        <v/>
      </c>
      <c r="N4" s="852">
        <f>'Monthly Data'!N52+'Monthly Data'!N53</f>
        <v/>
      </c>
      <c r="O4" s="817">
        <f>SUM(C4:N4)</f>
        <v/>
      </c>
    </row>
    <row r="5">
      <c r="A5" s="202" t="inlineStr">
        <is>
          <t>Trading Revenue</t>
        </is>
      </c>
      <c r="B5" s="192" t="n">
        <v>0.35</v>
      </c>
      <c r="C5" s="852">
        <f>'Monthly Data'!C54</f>
        <v/>
      </c>
      <c r="D5" s="852">
        <f>'Monthly Data'!D54</f>
        <v/>
      </c>
      <c r="E5" s="852">
        <f>'Monthly Data'!E54</f>
        <v/>
      </c>
      <c r="F5" s="852">
        <f>'Monthly Data'!F54</f>
        <v/>
      </c>
      <c r="G5" s="852">
        <f>'Monthly Data'!G54</f>
        <v/>
      </c>
      <c r="H5" s="852">
        <f>'Monthly Data'!H54</f>
        <v/>
      </c>
      <c r="I5" s="852">
        <f>'Monthly Data'!I54</f>
        <v/>
      </c>
      <c r="J5" s="852">
        <f>'Monthly Data'!J54</f>
        <v/>
      </c>
      <c r="K5" s="852">
        <f>'Monthly Data'!K54</f>
        <v/>
      </c>
      <c r="L5" s="852">
        <f>'Monthly Data'!L54</f>
        <v/>
      </c>
      <c r="M5" s="852">
        <f>'Monthly Data'!M54</f>
        <v/>
      </c>
      <c r="N5" s="852">
        <f>'Monthly Data'!N54</f>
        <v/>
      </c>
      <c r="O5" s="817">
        <f>SUM(C5:N5)</f>
        <v/>
      </c>
    </row>
    <row r="6">
      <c r="A6" s="193" t="inlineStr">
        <is>
          <t>GSE/Tool Revenue for HYKG</t>
        </is>
      </c>
      <c r="B6" s="194" t="n">
        <v>0</v>
      </c>
      <c r="C6" s="853" t="n">
        <v>2859</v>
      </c>
      <c r="D6" s="854" t="n">
        <v>10034</v>
      </c>
      <c r="E6" s="854" t="n">
        <v>-21729.5</v>
      </c>
      <c r="F6" s="854" t="n">
        <v>952</v>
      </c>
      <c r="G6" s="854" t="n"/>
      <c r="H6" s="855" t="n"/>
      <c r="I6" s="854" t="n"/>
      <c r="J6" s="854" t="n"/>
      <c r="K6" s="854" t="n"/>
      <c r="L6" s="854" t="n"/>
      <c r="M6" s="856" t="n"/>
      <c r="N6" s="857" t="n"/>
      <c r="O6" s="858">
        <f>SUM(C6:N6)</f>
        <v/>
      </c>
      <c r="P6" s="160" t="n"/>
    </row>
    <row r="7">
      <c r="A7" s="202" t="inlineStr">
        <is>
          <t>GSE/Tool Revenue for HYUS $</t>
        </is>
      </c>
      <c r="B7" s="195" t="n">
        <v>0.05</v>
      </c>
      <c r="C7" s="859" t="n">
        <v>2564</v>
      </c>
      <c r="D7" s="851" t="n">
        <v>5896</v>
      </c>
      <c r="E7" s="851" t="n">
        <v>4683</v>
      </c>
      <c r="F7" s="851" t="n"/>
      <c r="G7" s="851" t="n"/>
      <c r="H7" s="860" t="n"/>
      <c r="I7" s="851" t="n"/>
      <c r="J7" s="851" t="n"/>
      <c r="K7" s="851" t="n"/>
      <c r="L7" s="851" t="n"/>
      <c r="M7" s="861" t="n"/>
      <c r="N7" s="862" t="n"/>
      <c r="O7" s="863">
        <f>SUM(C7:N7)</f>
        <v/>
      </c>
      <c r="P7" s="864">
        <f>SUM(O9:O9)</f>
        <v/>
      </c>
    </row>
    <row r="8">
      <c r="A8" s="202" t="inlineStr">
        <is>
          <t>GSE/Tool Revenue for HYKG</t>
        </is>
      </c>
      <c r="B8" s="195" t="n">
        <v>0.075</v>
      </c>
      <c r="C8" s="859" t="n">
        <v>382037</v>
      </c>
      <c r="D8" s="851" t="n">
        <v>280445.8099999999</v>
      </c>
      <c r="E8" s="851" t="n">
        <v>193426</v>
      </c>
      <c r="F8" s="851" t="n">
        <v>715</v>
      </c>
      <c r="G8" s="851" t="n"/>
      <c r="H8" s="860" t="n"/>
      <c r="I8" s="851" t="n"/>
      <c r="J8" s="851" t="n"/>
      <c r="K8" s="851" t="n"/>
      <c r="L8" s="851" t="n"/>
      <c r="M8" s="861" t="n"/>
      <c r="N8" s="865" t="n"/>
      <c r="O8" s="866">
        <f>SUM(C8:N8)</f>
        <v/>
      </c>
    </row>
    <row r="9">
      <c r="A9" s="196" t="inlineStr">
        <is>
          <t>GSE/Tools Revenue Cobra</t>
        </is>
      </c>
      <c r="B9" s="197" t="n">
        <v>0.15</v>
      </c>
      <c r="C9" s="867" t="n"/>
      <c r="D9" s="868" t="n"/>
      <c r="E9" s="868" t="n"/>
      <c r="F9" s="868" t="n"/>
      <c r="G9" s="868" t="n"/>
      <c r="H9" s="869" t="n"/>
      <c r="I9" s="868" t="n"/>
      <c r="J9" s="870" t="n"/>
      <c r="K9" s="868" t="n"/>
      <c r="L9" s="870" t="n"/>
      <c r="M9" s="870" t="n"/>
      <c r="N9" s="871" t="n"/>
      <c r="O9" s="872">
        <f>SUM(C9:N9)</f>
        <v/>
      </c>
    </row>
    <row r="10">
      <c r="A10" s="198" t="inlineStr">
        <is>
          <t>GSE/Tools Commissions Revenue</t>
        </is>
      </c>
      <c r="B10" s="199" t="n">
        <v>1</v>
      </c>
      <c r="C10" s="873">
        <f>C9*$B$9+(C8*$B$8)+(C6*$B$6)+(C7*$B$7)</f>
        <v/>
      </c>
      <c r="D10" s="874">
        <f>D9*$B$9+(D8*$B$8)+(D6*$B$6)+(D7*$B$7)</f>
        <v/>
      </c>
      <c r="E10" s="874">
        <f>E9*$B$9+(E8*$B$8)+(E6*$B$6)+(E7*$B$7)</f>
        <v/>
      </c>
      <c r="F10" s="874">
        <f>F9*$B$9+(F8*$B$8)+(F6*$B$6)+(F7*$B$7)</f>
        <v/>
      </c>
      <c r="G10" s="874">
        <f>G9*$B$9+(G8*$B$8)+(G6*$B$6)+(G7*$B$7)</f>
        <v/>
      </c>
      <c r="H10" s="875">
        <f>H9*$B$9+(H8*$B$8)+(H6*$B$6)+(H7*$B$7)</f>
        <v/>
      </c>
      <c r="I10" s="874">
        <f>I9*$B$9+(I8*$B$8)+(I6*$B$6)+(I7*$B$7)</f>
        <v/>
      </c>
      <c r="J10" s="874">
        <f>J9*$B$9+(J8*$B$8)+(J6*$B$6)+(J7*$B$7)</f>
        <v/>
      </c>
      <c r="K10" s="874">
        <f>K9*$B$9+(K8*$B$8)+(K6*$B$6)+(K7*$B$7)</f>
        <v/>
      </c>
      <c r="L10" s="874">
        <f>L9*$B$9+(L8*$B$8)+(L6*$B$6)+(L7*$B$7)</f>
        <v/>
      </c>
      <c r="M10" s="874">
        <f>M9*$B$9+(M8*$B$8)+(M6*$B$6)+(M7*$B$7)</f>
        <v/>
      </c>
      <c r="N10" s="875">
        <f>N9*$B$9+(N8*$B$8)+(N6*$B$6)+(N7*$B$7)</f>
        <v/>
      </c>
      <c r="O10" s="839">
        <f>SUM(C10:N10)</f>
        <v/>
      </c>
    </row>
    <row r="11">
      <c r="A11" s="202" t="inlineStr">
        <is>
          <t>Direct Sales</t>
        </is>
      </c>
      <c r="B11" s="200" t="n">
        <v>0.1</v>
      </c>
      <c r="C11" s="876" t="n"/>
      <c r="D11" s="852" t="n"/>
      <c r="E11" s="852" t="n"/>
      <c r="F11" s="852" t="n"/>
      <c r="G11" s="851" t="n"/>
      <c r="H11" s="860" t="n"/>
      <c r="I11" s="861" t="n"/>
      <c r="J11" s="861" t="n"/>
      <c r="K11" s="202" t="n"/>
      <c r="L11" s="861" t="n"/>
      <c r="M11" s="861" t="n"/>
      <c r="N11" s="861" t="n"/>
      <c r="O11" s="817" t="n"/>
    </row>
    <row r="12">
      <c r="A12" s="196" t="inlineStr">
        <is>
          <t>AIA Revenue</t>
        </is>
      </c>
      <c r="B12" s="201" t="n">
        <v>0.15</v>
      </c>
      <c r="C12" s="877">
        <f>AIA!C6+AIA!C7</f>
        <v/>
      </c>
      <c r="D12" s="878">
        <f>AIA!D6</f>
        <v/>
      </c>
      <c r="E12" s="878">
        <f>AIA!E7+AIA!E6</f>
        <v/>
      </c>
      <c r="F12" s="878">
        <f>AIA!F6+AIA!F7</f>
        <v/>
      </c>
      <c r="G12" s="878">
        <f>AIA!G6+AIA!G7</f>
        <v/>
      </c>
      <c r="H12" s="878">
        <f>AIA!H6+AIA!H7</f>
        <v/>
      </c>
      <c r="I12" s="877">
        <f>AIA!I6+AIA!I7</f>
        <v/>
      </c>
      <c r="J12" s="878">
        <f>AIA!J6+AIA!J7</f>
        <v/>
      </c>
      <c r="K12" s="878">
        <f>AIA!K6+AIA!K7</f>
        <v/>
      </c>
      <c r="L12" s="878">
        <f>AIA!L6+AIA!L7</f>
        <v/>
      </c>
      <c r="M12" s="878">
        <f>AIA!M6+AIA!M7</f>
        <v/>
      </c>
      <c r="N12" s="869">
        <f>AIA!N6+AIA!N7</f>
        <v/>
      </c>
      <c r="O12" s="879">
        <f>SUM(C12:N12)</f>
        <v/>
      </c>
    </row>
    <row r="13">
      <c r="A13" s="202" t="inlineStr">
        <is>
          <t>HYFR Revenue</t>
        </is>
      </c>
      <c r="B13" s="216" t="n"/>
      <c r="C13" s="880">
        <f>C3+C4+C5+C10+C11+C12</f>
        <v/>
      </c>
      <c r="D13" s="880">
        <f>D3+D4+D5+D10+D11+D12</f>
        <v/>
      </c>
      <c r="E13" s="880">
        <f>E3+E4+E5+E10+E11+E12</f>
        <v/>
      </c>
      <c r="F13" s="880">
        <f>F3+F4+F5+F10+F11+F12</f>
        <v/>
      </c>
      <c r="G13" s="880">
        <f>G3+G4+G5+G10+G11+G12</f>
        <v/>
      </c>
      <c r="H13" s="881">
        <f>H3+H4+H5+H10+H11+H12</f>
        <v/>
      </c>
      <c r="I13" s="880">
        <f>I3+I4+I5+I10+I11+I12</f>
        <v/>
      </c>
      <c r="J13" s="880">
        <f>J3+J4+J5+J10+J11+J12</f>
        <v/>
      </c>
      <c r="K13" s="880">
        <f>K3+K4+K5+K10+K11+K12</f>
        <v/>
      </c>
      <c r="L13" s="880">
        <f>L3+L4+L5+L10+L11+L12</f>
        <v/>
      </c>
      <c r="M13" s="880">
        <f>M3+M4+M5+M10+M11+M12</f>
        <v/>
      </c>
      <c r="N13" s="881">
        <f>N3+N4+N5+N10+N11+N12</f>
        <v/>
      </c>
      <c r="O13" s="774">
        <f>SUM(C13:N13)</f>
        <v/>
      </c>
    </row>
    <row r="14">
      <c r="A14" s="147" t="inlineStr">
        <is>
          <t>Operational Gross Margin</t>
        </is>
      </c>
      <c r="B14" s="170">
        <f>O14/O13</f>
        <v/>
      </c>
      <c r="C14" s="772">
        <f>C3*$B$3+C4*$B$4+C5*$B$5+C12*$B$12</f>
        <v/>
      </c>
      <c r="D14" s="772">
        <f>D3*$B$3+D4*$B$4+D5*$B$5+D12*$B$12</f>
        <v/>
      </c>
      <c r="E14" s="772">
        <f>E3*$B$3+E4*$B$4+E5*$B$5+E12*$B$12</f>
        <v/>
      </c>
      <c r="F14" s="772">
        <f>F3*$B$3+F4*$B$4+F5*$B$5+F12*$B$12</f>
        <v/>
      </c>
      <c r="G14" s="772">
        <f>G3*$B$3+G4*$B$4+G5*$B$5+G12*$B$12</f>
        <v/>
      </c>
      <c r="H14" s="772">
        <f>H3*$B$3+H4*$B$4+H5*$B$5+H12*$B$12</f>
        <v/>
      </c>
      <c r="I14" s="772">
        <f>I3*$B$3+I4*$B$4+I5*$B$5+I12*$B$12</f>
        <v/>
      </c>
      <c r="J14" s="772">
        <f>J3*$B$3+J4*$B$4+J5*$B$5+J12*$B$12</f>
        <v/>
      </c>
      <c r="K14" s="772">
        <f>K3*$B$3+K4*$B$4+K5*$B$5+K12*$B$12</f>
        <v/>
      </c>
      <c r="L14" s="772">
        <f>L3*$B$3+L4*$B$4+L5*$B$5+L12*$B$12</f>
        <v/>
      </c>
      <c r="M14" s="772">
        <f>M3*$B$3+M4*$B$4+M5*$B$5+M12*$B$12</f>
        <v/>
      </c>
      <c r="N14" s="772">
        <f>N3*$B$3+N4*$B$4+N5*$B$5+N12*$B$12</f>
        <v/>
      </c>
      <c r="O14" s="882">
        <f>SUM(C14:N14)</f>
        <v/>
      </c>
      <c r="P14" s="774" t="n"/>
      <c r="Q14" s="774">
        <f>O13-O14</f>
        <v/>
      </c>
      <c r="S14" s="171" t="n"/>
    </row>
    <row r="15">
      <c r="A15" s="181" t="inlineStr">
        <is>
          <t>Operational Gross Margin YTD</t>
        </is>
      </c>
      <c r="B15" s="172">
        <f>C15/C48</f>
        <v/>
      </c>
      <c r="C15" s="883">
        <f>C3*B3+C4*B4+C5*$B$5+C10*$B$10+C11*$B$11+C12*$B$12</f>
        <v/>
      </c>
      <c r="D15" s="884">
        <f>D14+C15</f>
        <v/>
      </c>
      <c r="E15" s="884">
        <f>E14+D15</f>
        <v/>
      </c>
      <c r="F15" s="884">
        <f>F14+E15</f>
        <v/>
      </c>
      <c r="G15" s="884">
        <f>G14+F15</f>
        <v/>
      </c>
      <c r="H15" s="885">
        <f>H14+G15</f>
        <v/>
      </c>
      <c r="I15" s="884">
        <f>I14+H15</f>
        <v/>
      </c>
      <c r="J15" s="884">
        <f>J14+I15</f>
        <v/>
      </c>
      <c r="K15" s="884">
        <f>K14+J15</f>
        <v/>
      </c>
      <c r="L15" s="884">
        <f>L14+K15</f>
        <v/>
      </c>
      <c r="M15" s="884">
        <f>M14+L15</f>
        <v/>
      </c>
      <c r="N15" s="885">
        <f>N14+M15</f>
        <v/>
      </c>
      <c r="O15" s="882" t="n"/>
      <c r="P15" s="774" t="n"/>
    </row>
    <row r="16">
      <c r="A16" s="185" t="inlineStr">
        <is>
          <t>Fixed Costs</t>
        </is>
      </c>
      <c r="B16" s="186">
        <f>O16/O13</f>
        <v/>
      </c>
      <c r="C16" s="886" t="n">
        <v>82000</v>
      </c>
      <c r="D16" s="887" t="n">
        <v>82000</v>
      </c>
      <c r="E16" s="887" t="n">
        <v>82000</v>
      </c>
      <c r="F16" s="887" t="n">
        <v>82000</v>
      </c>
      <c r="G16" s="887" t="n">
        <v>82000</v>
      </c>
      <c r="H16" s="888" t="n">
        <v>82000</v>
      </c>
      <c r="I16" s="889" t="n">
        <v>87000</v>
      </c>
      <c r="J16" s="886" t="n">
        <v>87000</v>
      </c>
      <c r="K16" s="886" t="n">
        <v>87000</v>
      </c>
      <c r="L16" s="886" t="n">
        <v>87000</v>
      </c>
      <c r="M16" s="886" t="n">
        <v>87000</v>
      </c>
      <c r="N16" s="890" t="n">
        <v>87000</v>
      </c>
      <c r="O16" s="774">
        <f>SUM(C16:N16)</f>
        <v/>
      </c>
      <c r="P16" s="891">
        <f>800000+200000+50000</f>
        <v/>
      </c>
    </row>
    <row r="17">
      <c r="A17" s="183" t="inlineStr">
        <is>
          <t>est. Variable Costs (Travel,..)</t>
        </is>
      </c>
      <c r="B17" s="184" t="n"/>
      <c r="C17" s="892" t="n">
        <v>4000</v>
      </c>
      <c r="D17" s="892" t="n">
        <v>4000</v>
      </c>
      <c r="E17" s="892" t="n">
        <v>4000</v>
      </c>
      <c r="F17" s="892" t="n">
        <v>4000</v>
      </c>
      <c r="G17" s="892" t="n">
        <v>4000</v>
      </c>
      <c r="H17" s="892" t="n">
        <v>4000</v>
      </c>
      <c r="I17" s="892" t="n">
        <v>4000</v>
      </c>
      <c r="J17" s="892" t="n">
        <v>4000</v>
      </c>
      <c r="K17" s="892" t="n">
        <v>4000</v>
      </c>
      <c r="L17" s="892" t="n">
        <v>4000</v>
      </c>
      <c r="M17" s="892" t="n">
        <v>4000</v>
      </c>
      <c r="N17" s="892" t="n">
        <v>4000</v>
      </c>
      <c r="O17" s="822">
        <f>SUM(C17:N17)</f>
        <v/>
      </c>
      <c r="P17" s="774" t="n"/>
    </row>
    <row r="18">
      <c r="A18" s="185" t="inlineStr">
        <is>
          <t>Costs/Month</t>
        </is>
      </c>
      <c r="B18" s="186" t="n"/>
      <c r="C18" s="889">
        <f>SUM(C16:C17)</f>
        <v/>
      </c>
      <c r="D18" s="889">
        <f>SUM(D16:D17)</f>
        <v/>
      </c>
      <c r="E18" s="889">
        <f>SUM(E16:E17)</f>
        <v/>
      </c>
      <c r="F18" s="889">
        <f>SUM(F16:F17)</f>
        <v/>
      </c>
      <c r="G18" s="889">
        <f>SUM(G16:G17)</f>
        <v/>
      </c>
      <c r="H18" s="888">
        <f>SUM(H16:H17)</f>
        <v/>
      </c>
      <c r="I18" s="889">
        <f>SUM(I16:I17)</f>
        <v/>
      </c>
      <c r="J18" s="889">
        <f>SUM(J16:J17)</f>
        <v/>
      </c>
      <c r="K18" s="889">
        <f>SUM(K16:K17)</f>
        <v/>
      </c>
      <c r="L18" s="889">
        <f>SUM(L16:L17)</f>
        <v/>
      </c>
      <c r="M18" s="889">
        <f>SUM(M16:M17)</f>
        <v/>
      </c>
      <c r="N18" s="888">
        <f>SUM(N16:N17)</f>
        <v/>
      </c>
      <c r="O18" s="774" t="n"/>
      <c r="P18" s="774" t="n"/>
    </row>
    <row r="19">
      <c r="A19" s="187" t="inlineStr">
        <is>
          <t>Costs YTD</t>
        </is>
      </c>
      <c r="B19" s="186" t="n"/>
      <c r="C19" s="889">
        <f>C18</f>
        <v/>
      </c>
      <c r="D19" s="889">
        <f>C19+D18</f>
        <v/>
      </c>
      <c r="E19" s="889">
        <f>D19+E18</f>
        <v/>
      </c>
      <c r="F19" s="889">
        <f>E19+F18</f>
        <v/>
      </c>
      <c r="G19" s="889">
        <f>F19+G18</f>
        <v/>
      </c>
      <c r="H19" s="888">
        <f>G19+H18</f>
        <v/>
      </c>
      <c r="I19" s="889">
        <f>H19+I18</f>
        <v/>
      </c>
      <c r="J19" s="889">
        <f>I19+J18</f>
        <v/>
      </c>
      <c r="K19" s="889">
        <f>J19+K18</f>
        <v/>
      </c>
      <c r="L19" s="889">
        <f>K19+L18</f>
        <v/>
      </c>
      <c r="M19" s="889">
        <f>L19+M18</f>
        <v/>
      </c>
      <c r="N19" s="888">
        <f>M19+N18</f>
        <v/>
      </c>
      <c r="O19" s="774" t="n"/>
      <c r="P19" s="774" t="n"/>
    </row>
    <row r="20" hidden="1" s="701">
      <c r="A20" s="188" t="inlineStr">
        <is>
          <t>est. Month EAT</t>
        </is>
      </c>
      <c r="B20" s="302" t="n"/>
      <c r="C20" s="773">
        <f>C14-C18</f>
        <v/>
      </c>
      <c r="D20" s="773">
        <f>D14-D18</f>
        <v/>
      </c>
      <c r="E20" s="773">
        <f>E14-E18</f>
        <v/>
      </c>
      <c r="F20" s="773">
        <f>F14-F18</f>
        <v/>
      </c>
      <c r="G20" s="773">
        <f>G14-G18</f>
        <v/>
      </c>
      <c r="H20" s="893">
        <f>H14-H18</f>
        <v/>
      </c>
      <c r="I20" s="773">
        <f>I14-I18</f>
        <v/>
      </c>
      <c r="J20" s="773">
        <f>J14-J18</f>
        <v/>
      </c>
      <c r="K20" s="773">
        <f>K14-K18</f>
        <v/>
      </c>
      <c r="L20" s="773">
        <f>L14-L18</f>
        <v/>
      </c>
      <c r="M20" s="773">
        <f>M14-M18</f>
        <v/>
      </c>
      <c r="N20" s="893">
        <f>N14-N18</f>
        <v/>
      </c>
      <c r="O20" s="774">
        <f>SUM(C20:N20)</f>
        <v/>
      </c>
      <c r="P20" s="774" t="n"/>
    </row>
    <row r="21" hidden="1" s="701">
      <c r="A21" s="189" t="inlineStr">
        <is>
          <t>Planned Month EAT</t>
        </is>
      </c>
      <c r="B21" s="165" t="n"/>
      <c r="C21" s="894" t="n"/>
      <c r="D21" s="895" t="n"/>
      <c r="E21" s="895" t="n"/>
      <c r="F21" s="895" t="n"/>
      <c r="G21" s="895" t="n"/>
      <c r="H21" s="896" t="n"/>
      <c r="I21" s="895" t="n"/>
      <c r="J21" s="895" t="n"/>
      <c r="K21" s="895" t="n"/>
      <c r="L21" s="895" t="n"/>
      <c r="M21" s="895" t="n"/>
      <c r="N21" s="896" t="n"/>
      <c r="O21" s="822">
        <f>SUM(C21:N21)</f>
        <v/>
      </c>
      <c r="P21" s="774" t="n"/>
    </row>
    <row r="22" hidden="1" s="701">
      <c r="A22" s="166" t="inlineStr">
        <is>
          <t>est. EAT YTD</t>
        </is>
      </c>
      <c r="B22" s="327" t="n"/>
      <c r="C22" s="709">
        <f>C20</f>
        <v/>
      </c>
      <c r="D22" s="709">
        <f>D20+C22</f>
        <v/>
      </c>
      <c r="E22" s="709">
        <f>E20+D22</f>
        <v/>
      </c>
      <c r="F22" s="709">
        <f>F20+E22</f>
        <v/>
      </c>
      <c r="G22" s="709">
        <f>G20+F22</f>
        <v/>
      </c>
      <c r="H22" s="893">
        <f>H20+G22</f>
        <v/>
      </c>
      <c r="I22" s="709">
        <f>I20+H22</f>
        <v/>
      </c>
      <c r="J22" s="709">
        <f>J20+I22</f>
        <v/>
      </c>
      <c r="K22" s="709">
        <f>K20+J22</f>
        <v/>
      </c>
      <c r="L22" s="709">
        <f>L20+K22</f>
        <v/>
      </c>
      <c r="M22" s="709">
        <f>M20+L22</f>
        <v/>
      </c>
      <c r="N22" s="897">
        <f>N20+M22</f>
        <v/>
      </c>
      <c r="O22" s="898" t="n"/>
      <c r="P22" s="898" t="n"/>
    </row>
    <row r="23">
      <c r="A23" s="166" t="inlineStr">
        <is>
          <t>Actual EAT</t>
        </is>
      </c>
      <c r="B23" s="327" t="n"/>
      <c r="C23" s="899" t="n">
        <v>138</v>
      </c>
      <c r="D23" s="899" t="n">
        <v>3838</v>
      </c>
      <c r="E23" s="899" t="n"/>
      <c r="F23" s="899" t="n"/>
      <c r="G23" s="899" t="n"/>
      <c r="H23" s="899" t="n"/>
      <c r="I23" s="899" t="n"/>
      <c r="J23" s="899" t="n"/>
      <c r="K23" s="899" t="n"/>
      <c r="L23" s="899" t="n"/>
      <c r="M23" s="899" t="n"/>
      <c r="N23" s="899" t="n"/>
      <c r="O23" s="898" t="n"/>
      <c r="P23" s="898" t="n"/>
    </row>
    <row r="24" ht="15.75" customHeight="1" s="701" thickBot="1">
      <c r="A24" s="190" t="inlineStr">
        <is>
          <t>Actual EAT YTD</t>
        </is>
      </c>
      <c r="B24" s="191" t="n"/>
      <c r="C24" s="900" t="n">
        <v>138</v>
      </c>
      <c r="D24" s="900">
        <f>C24+D23</f>
        <v/>
      </c>
      <c r="E24" s="900">
        <f>D24+E23</f>
        <v/>
      </c>
      <c r="F24" s="900">
        <f>E24+F23</f>
        <v/>
      </c>
      <c r="G24" s="900">
        <f>F24+G23</f>
        <v/>
      </c>
      <c r="H24" s="900">
        <f>G24+H23</f>
        <v/>
      </c>
      <c r="I24" s="900">
        <f>H24+I23</f>
        <v/>
      </c>
      <c r="J24" s="900">
        <f>I24+J23</f>
        <v/>
      </c>
      <c r="K24" s="900">
        <f>J24+K23</f>
        <v/>
      </c>
      <c r="L24" s="900">
        <f>K24+L23</f>
        <v/>
      </c>
      <c r="M24" s="900">
        <f>L24+M23</f>
        <v/>
      </c>
      <c r="N24" s="900">
        <f>M24+N23</f>
        <v/>
      </c>
      <c r="O24" s="898" t="n"/>
      <c r="P24" s="898" t="n"/>
    </row>
    <row r="25" hidden="1" s="701">
      <c r="A25" s="166" t="inlineStr">
        <is>
          <t>Planned EAT YTD</t>
        </is>
      </c>
      <c r="B25" s="327" t="n"/>
      <c r="C25" s="901">
        <f>$O$25/12</f>
        <v/>
      </c>
      <c r="D25" s="901">
        <f>C25+$O$25/12</f>
        <v/>
      </c>
      <c r="E25" s="901">
        <f>D25+$O$25/12</f>
        <v/>
      </c>
      <c r="F25" s="901">
        <f>E25+$O$25/12</f>
        <v/>
      </c>
      <c r="G25" s="901">
        <f>F25+$O$25/12</f>
        <v/>
      </c>
      <c r="H25" s="901">
        <f>G25+$O$25/12</f>
        <v/>
      </c>
      <c r="I25" s="901">
        <f>H25+$O$25/12</f>
        <v/>
      </c>
      <c r="J25" s="901">
        <f>I25+$O$25/12</f>
        <v/>
      </c>
      <c r="K25" s="901">
        <f>J25+$O$25/12</f>
        <v/>
      </c>
      <c r="L25" s="901">
        <f>K25+$O$25/12</f>
        <v/>
      </c>
      <c r="M25" s="901">
        <f>L25+$O$25/12</f>
        <v/>
      </c>
      <c r="N25" s="901">
        <f>M25+$O$25/12</f>
        <v/>
      </c>
      <c r="O25" s="898" t="n">
        <v>-137000</v>
      </c>
      <c r="P25" s="898" t="n"/>
    </row>
    <row r="26" hidden="1" s="701">
      <c r="A26" s="166" t="inlineStr">
        <is>
          <t>Linear Plan EAT</t>
        </is>
      </c>
      <c r="C26" s="709">
        <f>C25</f>
        <v/>
      </c>
      <c r="D26" s="709">
        <f>C26+D25</f>
        <v/>
      </c>
      <c r="E26" s="709">
        <f>D26+E25</f>
        <v/>
      </c>
      <c r="F26" s="709">
        <f>E26+F25</f>
        <v/>
      </c>
      <c r="G26" s="709">
        <f>F26+G25</f>
        <v/>
      </c>
      <c r="H26" s="897">
        <f>G26+H25</f>
        <v/>
      </c>
      <c r="I26" s="709">
        <f>H26+I25</f>
        <v/>
      </c>
      <c r="J26" s="709">
        <f>I26+J25</f>
        <v/>
      </c>
      <c r="K26" s="709">
        <f>J26+K25</f>
        <v/>
      </c>
      <c r="L26" s="709">
        <f>K26+L25</f>
        <v/>
      </c>
      <c r="M26" s="709">
        <f>L26+M25</f>
        <v/>
      </c>
      <c r="N26" s="897">
        <f>M26+N25</f>
        <v/>
      </c>
      <c r="O26" s="173" t="n"/>
      <c r="P26" s="173" t="n"/>
    </row>
    <row r="27" hidden="1" ht="15.75" customHeight="1" s="701" thickBot="1">
      <c r="A27" t="inlineStr">
        <is>
          <t>EAT SWING YTD</t>
        </is>
      </c>
      <c r="C27" s="902">
        <f>C24-C25</f>
        <v/>
      </c>
      <c r="D27" s="902">
        <f>D24-D25</f>
        <v/>
      </c>
      <c r="E27" s="902">
        <f>E24-E25</f>
        <v/>
      </c>
      <c r="F27" s="902">
        <f>F24-F25</f>
        <v/>
      </c>
      <c r="G27" s="902">
        <f>G24-G25</f>
        <v/>
      </c>
      <c r="H27" s="903">
        <f>H24-H25</f>
        <v/>
      </c>
      <c r="I27" s="902">
        <f>I24-I25</f>
        <v/>
      </c>
      <c r="J27" s="902">
        <f>J24-J25</f>
        <v/>
      </c>
      <c r="K27" s="902">
        <f>K24-K25</f>
        <v/>
      </c>
      <c r="L27" s="902">
        <f>L24-L25</f>
        <v/>
      </c>
      <c r="M27" s="902">
        <f>M24-M25</f>
        <v/>
      </c>
      <c r="N27" s="903">
        <f>N24-N25</f>
        <v/>
      </c>
    </row>
    <row r="28" ht="18.75" customHeight="1" s="701">
      <c r="A28" s="204" t="inlineStr">
        <is>
          <t>HYFR Revenue</t>
        </is>
      </c>
      <c r="B28" s="160" t="n"/>
      <c r="C28" s="839" t="n"/>
      <c r="D28" s="839" t="n"/>
      <c r="E28" s="839" t="n"/>
      <c r="F28" s="839" t="n"/>
      <c r="G28" s="839" t="n"/>
      <c r="H28" s="904" t="n"/>
      <c r="I28" s="839" t="n"/>
      <c r="J28" s="839" t="n"/>
      <c r="K28" s="839" t="n"/>
      <c r="L28" s="839" t="n"/>
      <c r="M28" s="839" t="n"/>
      <c r="N28" s="905" t="n"/>
    </row>
    <row r="29">
      <c r="A29" s="211" t="inlineStr">
        <is>
          <t>Planned FCP Revenue YTD (2021)</t>
        </is>
      </c>
      <c r="B29" s="211" t="n"/>
      <c r="C29" s="906">
        <f>O29/12</f>
        <v/>
      </c>
      <c r="D29" s="906">
        <f>C29+($O$29/12)</f>
        <v/>
      </c>
      <c r="E29" s="906">
        <f>D29+($O$29/12)</f>
        <v/>
      </c>
      <c r="F29" s="906">
        <f>E29+($O$29/12)</f>
        <v/>
      </c>
      <c r="G29" s="906">
        <f>F29+($O$29/12)</f>
        <v/>
      </c>
      <c r="H29" s="906">
        <f>G29+($O$29/12)</f>
        <v/>
      </c>
      <c r="I29" s="906">
        <f>H29+($O$29/12)</f>
        <v/>
      </c>
      <c r="J29" s="906">
        <f>I29+($O$29/12)</f>
        <v/>
      </c>
      <c r="K29" s="906">
        <f>J29+($O$29/12)</f>
        <v/>
      </c>
      <c r="L29" s="906">
        <f>K29+($O$29/12)</f>
        <v/>
      </c>
      <c r="M29" s="906">
        <f>L29+($O$29/12)</f>
        <v/>
      </c>
      <c r="N29" s="906">
        <f>M29+($O$29/12)</f>
        <v/>
      </c>
      <c r="O29" s="774" t="n">
        <v>0</v>
      </c>
    </row>
    <row r="30">
      <c r="A30" s="211" t="inlineStr">
        <is>
          <t>Actual FCP Revenue YTD</t>
        </is>
      </c>
      <c r="B30" s="211" t="n"/>
      <c r="C30" s="906">
        <f>'Monthly Data'!C51</f>
        <v/>
      </c>
      <c r="D30" s="906">
        <f>'Monthly Data'!D51</f>
        <v/>
      </c>
      <c r="E30" s="906">
        <f>'Monthly Data'!E51</f>
        <v/>
      </c>
      <c r="F30" s="906">
        <f>'Monthly Data'!F51</f>
        <v/>
      </c>
      <c r="G30" s="906">
        <f>'Monthly Data'!G51</f>
        <v/>
      </c>
      <c r="H30" s="907">
        <f>'Monthly Data'!H51</f>
        <v/>
      </c>
      <c r="I30" s="906">
        <f>'Monthly Data'!I51</f>
        <v/>
      </c>
      <c r="J30" s="906">
        <f>'Monthly Data'!J51</f>
        <v/>
      </c>
      <c r="K30" s="906">
        <f>'Monthly Data'!K51</f>
        <v/>
      </c>
      <c r="L30" s="906">
        <f>'Monthly Data'!L51</f>
        <v/>
      </c>
      <c r="M30" s="906">
        <f>'Monthly Data'!M51</f>
        <v/>
      </c>
      <c r="N30" s="907">
        <f>'Monthly Data'!N51</f>
        <v/>
      </c>
      <c r="O30" s="774" t="n"/>
    </row>
    <row r="31">
      <c r="A31" s="225" t="inlineStr">
        <is>
          <t>Actual FCP Revenue 2020 YTD</t>
        </is>
      </c>
      <c r="B31" s="225" t="n"/>
      <c r="C31" s="906" t="n">
        <v>1588.5</v>
      </c>
      <c r="D31" s="906" t="n">
        <v>6223.5</v>
      </c>
      <c r="E31" s="906" t="n">
        <v>6823.5</v>
      </c>
      <c r="F31" s="906" t="n">
        <v>8687.5</v>
      </c>
      <c r="G31" s="906" t="n">
        <v>33667.5</v>
      </c>
      <c r="H31" s="907" t="n">
        <v>47392.5</v>
      </c>
      <c r="I31" s="906" t="n">
        <v>84622.5</v>
      </c>
      <c r="J31" s="906" t="n">
        <v>85647.5</v>
      </c>
      <c r="K31" s="906" t="n">
        <v>85647.5</v>
      </c>
      <c r="L31" s="906" t="n">
        <v>86437.5</v>
      </c>
      <c r="M31" s="906" t="n">
        <v>96622.5</v>
      </c>
      <c r="N31" s="907" t="n">
        <v>97412.5</v>
      </c>
    </row>
    <row r="32">
      <c r="A32" s="211" t="inlineStr">
        <is>
          <t>Planned Service Revenue YTD (2021) including AIA</t>
        </is>
      </c>
      <c r="B32" s="211" t="n"/>
      <c r="C32" s="906">
        <f>O32/12</f>
        <v/>
      </c>
      <c r="D32" s="906">
        <f>C32+($O$32/12)</f>
        <v/>
      </c>
      <c r="E32" s="906">
        <f>D32+($O$32/12)</f>
        <v/>
      </c>
      <c r="F32" s="906">
        <f>E32+($O$32/12)</f>
        <v/>
      </c>
      <c r="G32" s="906">
        <f>F32+($O$32/12)</f>
        <v/>
      </c>
      <c r="H32" s="906">
        <f>G32+($O$32/12)</f>
        <v/>
      </c>
      <c r="I32" s="906">
        <f>H32+($O$32/12)</f>
        <v/>
      </c>
      <c r="J32" s="906">
        <f>I32+($O$32/12)</f>
        <v/>
      </c>
      <c r="K32" s="906">
        <f>J32+($O$32/12)</f>
        <v/>
      </c>
      <c r="L32" s="906">
        <f>K32+($O$32/12)</f>
        <v/>
      </c>
      <c r="M32" s="906">
        <f>L32+($O$32/12)</f>
        <v/>
      </c>
      <c r="N32" s="906">
        <f>M32+($O$32/12)</f>
        <v/>
      </c>
      <c r="O32" s="774" t="n">
        <v>500000</v>
      </c>
    </row>
    <row r="33">
      <c r="A33" s="211" t="inlineStr">
        <is>
          <t>Actual Service Revenue YTD</t>
        </is>
      </c>
      <c r="B33" s="211" t="n"/>
      <c r="C33" s="906">
        <f>'Monthly Data'!C52</f>
        <v/>
      </c>
      <c r="D33" s="906">
        <f>'Monthly Data'!D52</f>
        <v/>
      </c>
      <c r="E33" s="906">
        <f>'Monthly Data'!E52</f>
        <v/>
      </c>
      <c r="F33" s="906">
        <f>'Monthly Data'!F52</f>
        <v/>
      </c>
      <c r="G33" s="906">
        <f>'Monthly Data'!G52</f>
        <v/>
      </c>
      <c r="H33" s="907">
        <f>'Monthly Data'!H52</f>
        <v/>
      </c>
      <c r="I33" s="906">
        <f>'Monthly Data'!I52</f>
        <v/>
      </c>
      <c r="J33" s="906">
        <f>'Monthly Data'!J52</f>
        <v/>
      </c>
      <c r="K33" s="906">
        <f>'Monthly Data'!K52</f>
        <v/>
      </c>
      <c r="L33" s="906">
        <f>'Monthly Data'!L52</f>
        <v/>
      </c>
      <c r="M33" s="906">
        <f>'Monthly Data'!M52</f>
        <v/>
      </c>
      <c r="N33" s="907">
        <f>'Monthly Data'!N52</f>
        <v/>
      </c>
      <c r="O33" s="774" t="n"/>
    </row>
    <row r="34">
      <c r="A34" s="225" t="inlineStr">
        <is>
          <t>Actual Service Revenue 2020 YTD</t>
        </is>
      </c>
      <c r="B34" s="211" t="n"/>
      <c r="C34" s="906" t="n">
        <v>15514.5</v>
      </c>
      <c r="D34" s="906" t="n">
        <v>22932.5</v>
      </c>
      <c r="E34" s="906" t="n">
        <v>41579.5</v>
      </c>
      <c r="F34" s="906" t="n">
        <v>49547.65</v>
      </c>
      <c r="G34" s="906" t="n">
        <v>58708.65</v>
      </c>
      <c r="H34" s="907" t="n">
        <v>99658</v>
      </c>
      <c r="I34" s="906" t="n">
        <v>110984</v>
      </c>
      <c r="J34" s="906" t="n">
        <v>136405</v>
      </c>
      <c r="K34" s="906" t="n">
        <v>144601</v>
      </c>
      <c r="L34" s="906" t="n">
        <v>150010.5</v>
      </c>
      <c r="M34" s="906" t="n">
        <v>153341</v>
      </c>
      <c r="N34" s="907" t="n">
        <v>218118.4</v>
      </c>
      <c r="O34" s="774" t="n"/>
    </row>
    <row r="35">
      <c r="A35" s="211" t="inlineStr">
        <is>
          <t>Planned Trading Revenue YTD (2021)</t>
        </is>
      </c>
      <c r="B35" s="211" t="n"/>
      <c r="C35" s="906">
        <f>O35/12</f>
        <v/>
      </c>
      <c r="D35" s="906">
        <f>C35+($O$35/12)</f>
        <v/>
      </c>
      <c r="E35" s="906">
        <f>D35+($O$35/12)</f>
        <v/>
      </c>
      <c r="F35" s="906">
        <f>E35+($O$35/12)</f>
        <v/>
      </c>
      <c r="G35" s="906">
        <f>F35+($O$35/12)</f>
        <v/>
      </c>
      <c r="H35" s="906">
        <f>G35+($O$35/12)</f>
        <v/>
      </c>
      <c r="I35" s="906">
        <f>H35+($O$35/12)</f>
        <v/>
      </c>
      <c r="J35" s="906">
        <f>I35+($O$35/12)</f>
        <v/>
      </c>
      <c r="K35" s="906">
        <f>J35+($O$35/12)</f>
        <v/>
      </c>
      <c r="L35" s="906">
        <f>K35+($O$35/12)</f>
        <v/>
      </c>
      <c r="M35" s="906">
        <f>L35+($O$35/12)</f>
        <v/>
      </c>
      <c r="N35" s="906">
        <f>M35+($O$35/12)</f>
        <v/>
      </c>
      <c r="O35" s="774" t="n">
        <v>0</v>
      </c>
    </row>
    <row r="36">
      <c r="A36" s="211" t="inlineStr">
        <is>
          <t>Actual Trading Revenue YTD</t>
        </is>
      </c>
      <c r="B36" s="211" t="n"/>
      <c r="C36" s="906">
        <f>'Monthly Data'!C53</f>
        <v/>
      </c>
      <c r="D36" s="906">
        <f>'Monthly Data'!D53</f>
        <v/>
      </c>
      <c r="E36" s="906">
        <f>'Monthly Data'!E53</f>
        <v/>
      </c>
      <c r="F36" s="906">
        <f>'Monthly Data'!F53</f>
        <v/>
      </c>
      <c r="G36" s="906">
        <f>'Monthly Data'!G53</f>
        <v/>
      </c>
      <c r="H36" s="907">
        <f>'Monthly Data'!H53</f>
        <v/>
      </c>
      <c r="I36" s="906">
        <f>'Monthly Data'!I53</f>
        <v/>
      </c>
      <c r="J36" s="906">
        <f>'Monthly Data'!J53</f>
        <v/>
      </c>
      <c r="K36" s="906">
        <f>'Monthly Data'!K53</f>
        <v/>
      </c>
      <c r="L36" s="906">
        <f>'Monthly Data'!L53</f>
        <v/>
      </c>
      <c r="M36" s="906">
        <f>'Monthly Data'!M53</f>
        <v/>
      </c>
      <c r="N36" s="907">
        <f>'Monthly Data'!N53</f>
        <v/>
      </c>
      <c r="O36" s="774" t="n"/>
    </row>
    <row r="37">
      <c r="A37" s="235" t="inlineStr">
        <is>
          <t>Actual Trading Revenue 2020 YTD</t>
        </is>
      </c>
      <c r="B37" s="210" t="n"/>
      <c r="C37" s="906" t="n">
        <v>0</v>
      </c>
      <c r="D37" s="906" t="n">
        <v>0</v>
      </c>
      <c r="E37" s="906" t="n">
        <v>0</v>
      </c>
      <c r="F37" s="906" t="n">
        <v>0</v>
      </c>
      <c r="G37" s="906" t="n">
        <v>0</v>
      </c>
      <c r="H37" s="907" t="n">
        <v>6900</v>
      </c>
      <c r="I37" s="906" t="n">
        <v>8904</v>
      </c>
      <c r="J37" s="906" t="n">
        <v>8904</v>
      </c>
      <c r="K37" s="906" t="n">
        <v>8904</v>
      </c>
      <c r="L37" s="906" t="n">
        <v>8904</v>
      </c>
      <c r="M37" s="906" t="n">
        <v>8904</v>
      </c>
      <c r="N37" s="907" t="n">
        <v>8904</v>
      </c>
      <c r="O37" s="774" t="n"/>
    </row>
    <row r="38">
      <c r="A38" s="211" t="inlineStr">
        <is>
          <t>Planned FCP &amp; Service Revenue YTD (2021)</t>
        </is>
      </c>
      <c r="B38" s="211" t="n"/>
      <c r="C38" s="906">
        <f>O38/12</f>
        <v/>
      </c>
      <c r="D38" s="906">
        <f>C38+($O$38/12)</f>
        <v/>
      </c>
      <c r="E38" s="906">
        <f>D38+($O$38/12)</f>
        <v/>
      </c>
      <c r="F38" s="906">
        <f>E38+($O$38/12)</f>
        <v/>
      </c>
      <c r="G38" s="906">
        <f>F38+($O$38/12)</f>
        <v/>
      </c>
      <c r="H38" s="907">
        <f>G38+($O$38/12)</f>
        <v/>
      </c>
      <c r="I38" s="906">
        <f>H38+($O$38/12)</f>
        <v/>
      </c>
      <c r="J38" s="906">
        <f>I38+($O$38/12)</f>
        <v/>
      </c>
      <c r="K38" s="906">
        <f>J38+($O$38/12)</f>
        <v/>
      </c>
      <c r="L38" s="906">
        <f>K38+($O$38/12)</f>
        <v/>
      </c>
      <c r="M38" s="906">
        <f>L38+($O$38/12)</f>
        <v/>
      </c>
      <c r="N38" s="907">
        <f>M38+($O$38/12)</f>
        <v/>
      </c>
      <c r="O38" s="774">
        <f>O29+O32</f>
        <v/>
      </c>
    </row>
    <row r="39">
      <c r="A39" s="212" t="inlineStr">
        <is>
          <t>Actual FCP &amp; Service Revenue YTD</t>
        </is>
      </c>
      <c r="B39" s="211" t="n"/>
      <c r="C39" s="908">
        <f>SUM(C30+C33)</f>
        <v/>
      </c>
      <c r="D39" s="908">
        <f>SUM(D30+D33)</f>
        <v/>
      </c>
      <c r="E39" s="908">
        <f>SUM(E30+E33)</f>
        <v/>
      </c>
      <c r="F39" s="908">
        <f>SUM(F30+F33)</f>
        <v/>
      </c>
      <c r="G39" s="908">
        <f>SUM(G30+G33)</f>
        <v/>
      </c>
      <c r="H39" s="908">
        <f>SUM(H30+H33)</f>
        <v/>
      </c>
      <c r="I39" s="908">
        <f>SUM(I30+I33)</f>
        <v/>
      </c>
      <c r="J39" s="908">
        <f>SUM(J30+J33)</f>
        <v/>
      </c>
      <c r="K39" s="908">
        <f>SUM(K30+K33)</f>
        <v/>
      </c>
      <c r="L39" s="908">
        <f>SUM(L30+L33)</f>
        <v/>
      </c>
      <c r="M39" s="908">
        <f>SUM(M30+M33)</f>
        <v/>
      </c>
      <c r="N39" s="908">
        <f>SUM(N30+N33)</f>
        <v/>
      </c>
      <c r="O39" s="774" t="n"/>
    </row>
    <row r="40">
      <c r="A40" s="229" t="inlineStr">
        <is>
          <t>Actual FCP &amp; Service Revenue 2020 YTD</t>
        </is>
      </c>
      <c r="B40" s="224" t="n"/>
      <c r="C40" s="909">
        <f>SUM(C31+C34)</f>
        <v/>
      </c>
      <c r="D40" s="909">
        <f>SUM(D31+D34)</f>
        <v/>
      </c>
      <c r="E40" s="909">
        <f>SUM(E31+E34)</f>
        <v/>
      </c>
      <c r="F40" s="909">
        <f>SUM(F31+F34)</f>
        <v/>
      </c>
      <c r="G40" s="909">
        <f>SUM(G31+G34)</f>
        <v/>
      </c>
      <c r="H40" s="909">
        <f>SUM(H31+H34)</f>
        <v/>
      </c>
      <c r="I40" s="909">
        <f>SUM(I31+I34)</f>
        <v/>
      </c>
      <c r="J40" s="909">
        <f>SUM(J31+J34)</f>
        <v/>
      </c>
      <c r="K40" s="909">
        <f>SUM(K31+K34)</f>
        <v/>
      </c>
      <c r="L40" s="909">
        <f>SUM(L31+L34)</f>
        <v/>
      </c>
      <c r="M40" s="909">
        <f>SUM(M31+M34)</f>
        <v/>
      </c>
      <c r="N40" s="909">
        <f>SUM(N31+N34)</f>
        <v/>
      </c>
      <c r="O40" s="774" t="n"/>
    </row>
    <row r="41">
      <c r="A41" s="211" t="inlineStr">
        <is>
          <t>Planned AIA Revenue YTD (2021)</t>
        </is>
      </c>
      <c r="B41" s="211" t="n"/>
      <c r="C41" s="906">
        <f>O41/12</f>
        <v/>
      </c>
      <c r="D41" s="906">
        <f>C41+($O$41/12)</f>
        <v/>
      </c>
      <c r="E41" s="906">
        <f>D41+($O$41/12)</f>
        <v/>
      </c>
      <c r="F41" s="906">
        <f>E41+($O$41/12)</f>
        <v/>
      </c>
      <c r="G41" s="906">
        <f>F41+($O$41/12)</f>
        <v/>
      </c>
      <c r="H41" s="907">
        <f>G41+($O$41/12)</f>
        <v/>
      </c>
      <c r="I41" s="906">
        <f>H41+($O$41/12)</f>
        <v/>
      </c>
      <c r="J41" s="906">
        <f>I41+($O$41/12)</f>
        <v/>
      </c>
      <c r="K41" s="906">
        <f>J41+($O$41/12)</f>
        <v/>
      </c>
      <c r="L41" s="906">
        <f>K41+($O$41/12)</f>
        <v/>
      </c>
      <c r="M41" s="906">
        <f>L41+($O$41/12)</f>
        <v/>
      </c>
      <c r="N41" s="907">
        <f>M41+($O$41/12)</f>
        <v/>
      </c>
      <c r="O41" s="910" t="n">
        <v>370000</v>
      </c>
    </row>
    <row r="42">
      <c r="A42" s="211" t="inlineStr">
        <is>
          <t>Actual AIA Revenue YTD</t>
        </is>
      </c>
      <c r="B42" s="211" t="n"/>
      <c r="C42" s="906">
        <f>C12</f>
        <v/>
      </c>
      <c r="D42" s="906">
        <f>C42+D12</f>
        <v/>
      </c>
      <c r="E42" s="906">
        <f>D42+E12</f>
        <v/>
      </c>
      <c r="F42" s="906">
        <f>E42+F12</f>
        <v/>
      </c>
      <c r="G42" s="906">
        <f>F42+G12</f>
        <v/>
      </c>
      <c r="H42" s="907">
        <f>G42+H12</f>
        <v/>
      </c>
      <c r="I42" s="906">
        <f>H42+I12</f>
        <v/>
      </c>
      <c r="J42" s="906">
        <f>I42+J12</f>
        <v/>
      </c>
      <c r="K42" s="906">
        <f>J42+K12</f>
        <v/>
      </c>
      <c r="L42" s="906">
        <f>K42+L12</f>
        <v/>
      </c>
      <c r="M42" s="906">
        <f>L42+M12</f>
        <v/>
      </c>
      <c r="N42" s="907">
        <f>M42+N12</f>
        <v/>
      </c>
      <c r="O42" s="774" t="n"/>
    </row>
    <row r="43">
      <c r="A43" s="235" t="inlineStr">
        <is>
          <t>Actual AIA Revenue 2020 YTD</t>
        </is>
      </c>
      <c r="B43" s="210" t="n"/>
      <c r="C43" s="911" t="n">
        <v>0</v>
      </c>
      <c r="D43" s="911" t="n">
        <v>160980</v>
      </c>
      <c r="E43" s="911" t="n">
        <v>999980</v>
      </c>
      <c r="F43" s="911" t="n">
        <v>999980</v>
      </c>
      <c r="G43" s="911" t="n">
        <v>999980</v>
      </c>
      <c r="H43" s="911" t="n">
        <v>999980</v>
      </c>
      <c r="I43" s="911" t="n">
        <v>999980</v>
      </c>
      <c r="J43" s="911" t="n">
        <v>999980</v>
      </c>
      <c r="K43" s="911" t="n">
        <v>1000820</v>
      </c>
      <c r="L43" s="911" t="n">
        <v>1000820</v>
      </c>
      <c r="M43" s="911" t="n">
        <v>1000820</v>
      </c>
      <c r="N43" s="911" t="n">
        <v>1282145</v>
      </c>
      <c r="O43" s="774" t="n"/>
    </row>
    <row r="44">
      <c r="A44" s="211" t="inlineStr">
        <is>
          <t>Planned GSE/Tools Commissions Revenue YTD (2021)</t>
        </is>
      </c>
      <c r="B44" s="211" t="n"/>
      <c r="C44" s="906">
        <f>O44/12</f>
        <v/>
      </c>
      <c r="D44" s="906">
        <f>C44+($O$44/12)</f>
        <v/>
      </c>
      <c r="E44" s="906">
        <f>D44+($O$44/12)</f>
        <v/>
      </c>
      <c r="F44" s="906">
        <f>E44+($O$44/12)</f>
        <v/>
      </c>
      <c r="G44" s="906">
        <f>F44+($O$44/12)</f>
        <v/>
      </c>
      <c r="H44" s="907">
        <f>G44+($O$44/12)</f>
        <v/>
      </c>
      <c r="I44" s="906">
        <f>H44+($O$44/12)</f>
        <v/>
      </c>
      <c r="J44" s="906">
        <f>I44+($O$44/12)</f>
        <v/>
      </c>
      <c r="K44" s="906">
        <f>J44+($O$44/12)</f>
        <v/>
      </c>
      <c r="L44" s="906">
        <f>K44+($O$44/12)</f>
        <v/>
      </c>
      <c r="M44" s="906">
        <f>L44+($O$44/12)</f>
        <v/>
      </c>
      <c r="N44" s="907">
        <f>M44+($O$44/12)</f>
        <v/>
      </c>
      <c r="O44" s="774" t="n">
        <v>477052</v>
      </c>
    </row>
    <row r="45">
      <c r="A45" s="211" t="inlineStr">
        <is>
          <t>Actual GSE/Tools Commissions Revenue YTD</t>
        </is>
      </c>
      <c r="B45" s="211" t="n"/>
      <c r="C45" s="906">
        <f>C10</f>
        <v/>
      </c>
      <c r="D45" s="906">
        <f>C45+D10</f>
        <v/>
      </c>
      <c r="E45" s="906">
        <f>D45+E10</f>
        <v/>
      </c>
      <c r="F45" s="906">
        <f>E45+F10</f>
        <v/>
      </c>
      <c r="G45" s="906">
        <f>F45+G10</f>
        <v/>
      </c>
      <c r="H45" s="907">
        <f>G45+H10</f>
        <v/>
      </c>
      <c r="I45" s="906">
        <f>H45+I10</f>
        <v/>
      </c>
      <c r="J45" s="906">
        <f>I45+J10</f>
        <v/>
      </c>
      <c r="K45" s="906">
        <f>J45+K10</f>
        <v/>
      </c>
      <c r="L45" s="906">
        <f>K45+L10</f>
        <v/>
      </c>
      <c r="M45" s="906">
        <f>L45+M10</f>
        <v/>
      </c>
      <c r="N45" s="907">
        <f>M45+N10</f>
        <v/>
      </c>
      <c r="O45" s="774" t="n"/>
    </row>
    <row r="46">
      <c r="A46" s="235" t="inlineStr">
        <is>
          <t>Actual GSE/Tools Commissions Revenue 2020 YTD</t>
        </is>
      </c>
      <c r="B46" s="210" t="n"/>
      <c r="C46" s="911" t="n">
        <v>9543.174999999999</v>
      </c>
      <c r="D46" s="911" t="n">
        <v>23321.875</v>
      </c>
      <c r="E46" s="911" t="n">
        <v>83044.575</v>
      </c>
      <c r="F46" s="911" t="n">
        <v>86956.61749999999</v>
      </c>
      <c r="G46" s="911" t="n">
        <v>95859.19249999999</v>
      </c>
      <c r="H46" s="912" t="n">
        <v>86809.51749999999</v>
      </c>
      <c r="I46" s="911" t="n">
        <v>107719.0425</v>
      </c>
      <c r="J46" s="911" t="n">
        <v>114407.2925</v>
      </c>
      <c r="K46" s="911" t="n">
        <v>123005.8925</v>
      </c>
      <c r="L46" s="911" t="n">
        <v>128691.38125</v>
      </c>
      <c r="M46" s="911" t="n">
        <v>147760.08125</v>
      </c>
      <c r="N46" s="912" t="n">
        <v>178662.90625</v>
      </c>
      <c r="O46" s="774" t="n"/>
    </row>
    <row r="47">
      <c r="A47" s="211" t="inlineStr">
        <is>
          <t>Planned HYFR Revenue YTD (2021)</t>
        </is>
      </c>
      <c r="B47" s="211" t="n"/>
      <c r="C47" s="906">
        <f>O47/12</f>
        <v/>
      </c>
      <c r="D47" s="906">
        <f>C47+($O$47/12)</f>
        <v/>
      </c>
      <c r="E47" s="906">
        <f>D47+($O$47/12)</f>
        <v/>
      </c>
      <c r="F47" s="906">
        <f>E47+($O$47/12)</f>
        <v/>
      </c>
      <c r="G47" s="906">
        <f>F47+($O$47/12)</f>
        <v/>
      </c>
      <c r="H47" s="907">
        <f>G47+($O$47/12)</f>
        <v/>
      </c>
      <c r="I47" s="906">
        <f>H47+($O$47/12)</f>
        <v/>
      </c>
      <c r="J47" s="906">
        <f>I47+($O$47/12)</f>
        <v/>
      </c>
      <c r="K47" s="906">
        <f>J47+($O$47/12)</f>
        <v/>
      </c>
      <c r="L47" s="906">
        <f>K47+($O$47/12)</f>
        <v/>
      </c>
      <c r="M47" s="906">
        <f>L47+($O$47/12)</f>
        <v/>
      </c>
      <c r="N47" s="907">
        <f>M47+($O$47/12)</f>
        <v/>
      </c>
      <c r="O47" s="774">
        <f>O29+O32+O35+O41+O44</f>
        <v/>
      </c>
    </row>
    <row r="48">
      <c r="A48" s="230" t="inlineStr">
        <is>
          <t>Actual HYFR Revenue YTD</t>
        </is>
      </c>
      <c r="B48" s="212" t="n"/>
      <c r="C48" s="908">
        <f>C13</f>
        <v/>
      </c>
      <c r="D48" s="908">
        <f>C48+D13</f>
        <v/>
      </c>
      <c r="E48" s="908">
        <f>D48+E13</f>
        <v/>
      </c>
      <c r="F48" s="908">
        <f>E48+F13</f>
        <v/>
      </c>
      <c r="G48" s="908">
        <f>F48+G13</f>
        <v/>
      </c>
      <c r="H48" s="913">
        <f>G48+H13</f>
        <v/>
      </c>
      <c r="I48" s="908">
        <f>H48+I13</f>
        <v/>
      </c>
      <c r="J48" s="908">
        <f>I48+J13</f>
        <v/>
      </c>
      <c r="K48" s="908">
        <f>J48+K13</f>
        <v/>
      </c>
      <c r="L48" s="908">
        <f>K48+L13</f>
        <v/>
      </c>
      <c r="M48" s="908">
        <f>L48+M13</f>
        <v/>
      </c>
      <c r="N48" s="913">
        <f>M48+N13</f>
        <v/>
      </c>
    </row>
    <row r="49" ht="15.75" customHeight="1" s="701" thickBot="1">
      <c r="A49" s="231" t="inlineStr">
        <is>
          <t>Actual HYFR Revenu 2020 YTD (incl Trading)</t>
        </is>
      </c>
      <c r="B49" s="232" t="n"/>
      <c r="C49" s="914">
        <f>SUM(C37+C40+C46)</f>
        <v/>
      </c>
      <c r="D49" s="914">
        <f>SUM(D37+D40+D46)</f>
        <v/>
      </c>
      <c r="E49" s="914">
        <f>SUM(E37+E40+E46)</f>
        <v/>
      </c>
      <c r="F49" s="914">
        <f>SUM(F37+F40+F46)</f>
        <v/>
      </c>
      <c r="G49" s="914">
        <f>SUM(G37+G40+G46)</f>
        <v/>
      </c>
      <c r="H49" s="914">
        <f>SUM(H37+H40+H46)</f>
        <v/>
      </c>
      <c r="I49" s="914">
        <f>SUM(I37+I40+I46)</f>
        <v/>
      </c>
      <c r="J49" s="914">
        <f>SUM(J37+J40+J46)</f>
        <v/>
      </c>
      <c r="K49" s="914">
        <f>SUM(K37+K40+K46)</f>
        <v/>
      </c>
      <c r="L49" s="914">
        <f>SUM(L37+L40+L46)</f>
        <v/>
      </c>
      <c r="M49" s="914">
        <f>SUM(M37+M40+M46)</f>
        <v/>
      </c>
      <c r="N49" s="914">
        <f>SUM(N37+N40+N46)</f>
        <v/>
      </c>
      <c r="O49" s="774" t="n"/>
    </row>
    <row r="50" ht="18.75" customHeight="1" s="701">
      <c r="A50" s="204" t="inlineStr">
        <is>
          <t>HYFR OI</t>
        </is>
      </c>
      <c r="B50" s="160" t="n"/>
      <c r="C50" s="839" t="n"/>
      <c r="D50" s="839" t="n"/>
      <c r="E50" s="839" t="n"/>
      <c r="F50" s="839" t="n"/>
      <c r="G50" s="839" t="n"/>
      <c r="H50" s="904" t="n"/>
      <c r="I50" s="839" t="n"/>
      <c r="J50" s="839" t="n"/>
      <c r="K50" s="839" t="n"/>
      <c r="L50" s="839" t="n"/>
      <c r="M50" s="839" t="n"/>
      <c r="N50" s="904" t="n"/>
    </row>
    <row r="51">
      <c r="A51" s="208" t="inlineStr">
        <is>
          <t>Planned FCP Order Intake YTD</t>
        </is>
      </c>
      <c r="B51" s="213" t="n"/>
      <c r="C51" s="915">
        <f>O51/12</f>
        <v/>
      </c>
      <c r="D51" s="915">
        <f>C51+($O$51/12)</f>
        <v/>
      </c>
      <c r="E51" s="915">
        <f>D51+($O$51/12)</f>
        <v/>
      </c>
      <c r="F51" s="915">
        <f>E51+($O$51/12)</f>
        <v/>
      </c>
      <c r="G51" s="915">
        <f>F51+($O$51/12)</f>
        <v/>
      </c>
      <c r="H51" s="916">
        <f>G51+($O$51/12)</f>
        <v/>
      </c>
      <c r="I51" s="915">
        <f>H51+($O$51/12)</f>
        <v/>
      </c>
      <c r="J51" s="915">
        <f>I51+($O$51/12)</f>
        <v/>
      </c>
      <c r="K51" s="915">
        <f>J51+($O$51/12)</f>
        <v/>
      </c>
      <c r="L51" s="915">
        <f>K51+($O$51/12)</f>
        <v/>
      </c>
      <c r="M51" s="915">
        <f>L51+($O$51/12)</f>
        <v/>
      </c>
      <c r="N51" s="916">
        <f>M51+($O$51/12)</f>
        <v/>
      </c>
      <c r="O51" s="774" t="n">
        <v>380000</v>
      </c>
    </row>
    <row r="52">
      <c r="A52" s="208" t="inlineStr">
        <is>
          <t>Actual FCP Order Intake YTD</t>
        </is>
      </c>
      <c r="B52" s="208" t="n"/>
      <c r="C52" s="915">
        <f>'Monthly Data'!C60</f>
        <v/>
      </c>
      <c r="D52" s="915">
        <f>'Monthly Data'!D60</f>
        <v/>
      </c>
      <c r="E52" s="915">
        <f>'Monthly Data'!E60</f>
        <v/>
      </c>
      <c r="F52" s="915">
        <f>'Monthly Data'!F60</f>
        <v/>
      </c>
      <c r="G52" s="915">
        <f>'Monthly Data'!G60</f>
        <v/>
      </c>
      <c r="H52" s="916">
        <f>'Monthly Data'!H60</f>
        <v/>
      </c>
      <c r="I52" s="915">
        <f>'Monthly Data'!I60</f>
        <v/>
      </c>
      <c r="J52" s="915">
        <f>'Monthly Data'!J60</f>
        <v/>
      </c>
      <c r="K52" s="915">
        <f>'Monthly Data'!K60</f>
        <v/>
      </c>
      <c r="L52" s="915">
        <f>'Monthly Data'!L60</f>
        <v/>
      </c>
      <c r="M52" s="915">
        <f>'Monthly Data'!M60</f>
        <v/>
      </c>
      <c r="N52" s="916">
        <f>'Monthly Data'!N60</f>
        <v/>
      </c>
      <c r="O52" s="774" t="n"/>
    </row>
    <row r="53">
      <c r="A53" s="226" t="inlineStr">
        <is>
          <t>Actual FCP Order Intake 2019 YTD</t>
        </is>
      </c>
      <c r="B53" s="213" t="n"/>
      <c r="C53" s="917" t="n">
        <v>9318</v>
      </c>
      <c r="D53" s="917" t="n">
        <v>28811.5</v>
      </c>
      <c r="E53" s="917" t="n">
        <v>63341.5</v>
      </c>
      <c r="F53" s="917" t="n">
        <v>70756.5</v>
      </c>
      <c r="G53" s="917" t="n">
        <v>99398.5</v>
      </c>
      <c r="H53" s="918" t="n">
        <v>118121.5</v>
      </c>
      <c r="I53" s="917" t="n">
        <v>147626.5</v>
      </c>
      <c r="J53" s="917" t="n">
        <v>147626.5</v>
      </c>
      <c r="K53" s="917" t="n">
        <v>164937</v>
      </c>
      <c r="L53" s="917" t="n">
        <v>175562</v>
      </c>
      <c r="M53" s="917" t="n">
        <v>180412</v>
      </c>
      <c r="N53" s="918" t="n">
        <v>187344.5</v>
      </c>
      <c r="O53" s="774" t="n"/>
    </row>
    <row r="54">
      <c r="A54" s="208" t="inlineStr">
        <is>
          <t>Planned Service Order Intake YTD</t>
        </is>
      </c>
      <c r="B54" s="208" t="n"/>
      <c r="C54" s="915">
        <f>O54/12</f>
        <v/>
      </c>
      <c r="D54" s="915">
        <f>C54+($O$54/12)</f>
        <v/>
      </c>
      <c r="E54" s="915">
        <f>D54+($O$54/12)</f>
        <v/>
      </c>
      <c r="F54" s="915">
        <f>E54+($O$54/12)</f>
        <v/>
      </c>
      <c r="G54" s="915">
        <f>F54+($O$54/12)</f>
        <v/>
      </c>
      <c r="H54" s="916">
        <f>G54+($O$54/12)</f>
        <v/>
      </c>
      <c r="I54" s="915">
        <f>H54+($O$54/12)</f>
        <v/>
      </c>
      <c r="J54" s="915">
        <f>I54+($O$54/12)</f>
        <v/>
      </c>
      <c r="K54" s="915">
        <f>J54+($O$54/12)</f>
        <v/>
      </c>
      <c r="L54" s="915">
        <f>K54+($O$54/12)</f>
        <v/>
      </c>
      <c r="M54" s="915">
        <f>L54+($O$54/12)</f>
        <v/>
      </c>
      <c r="N54" s="916">
        <f>M54+($O$54/12)</f>
        <v/>
      </c>
      <c r="O54" s="774" t="n">
        <v>345000</v>
      </c>
    </row>
    <row r="55">
      <c r="A55" s="208" t="inlineStr">
        <is>
          <t>Actual Service Order Intake YTD</t>
        </is>
      </c>
      <c r="B55" s="208" t="n"/>
      <c r="C55" s="915">
        <f>'Monthly Data'!C61</f>
        <v/>
      </c>
      <c r="D55" s="915">
        <f>'Monthly Data'!D61</f>
        <v/>
      </c>
      <c r="E55" s="915">
        <f>'Monthly Data'!E61</f>
        <v/>
      </c>
      <c r="F55" s="915">
        <f>'Monthly Data'!F61</f>
        <v/>
      </c>
      <c r="G55" s="915">
        <f>'Monthly Data'!G61</f>
        <v/>
      </c>
      <c r="H55" s="916">
        <f>'Monthly Data'!H61</f>
        <v/>
      </c>
      <c r="I55" s="915">
        <f>'Monthly Data'!I61</f>
        <v/>
      </c>
      <c r="J55" s="915">
        <f>'Monthly Data'!J61</f>
        <v/>
      </c>
      <c r="K55" s="915">
        <f>'Monthly Data'!K61</f>
        <v/>
      </c>
      <c r="L55" s="915">
        <f>'Monthly Data'!L61</f>
        <v/>
      </c>
      <c r="M55" s="915">
        <f>'Monthly Data'!M61</f>
        <v/>
      </c>
      <c r="N55" s="916">
        <f>'Monthly Data'!N61</f>
        <v/>
      </c>
      <c r="O55" s="774" t="n"/>
    </row>
    <row r="56">
      <c r="A56" s="226" t="inlineStr">
        <is>
          <t>Actual Service Order Intake 2019 YTD</t>
        </is>
      </c>
      <c r="B56" s="208" t="n"/>
      <c r="C56" s="917" t="n">
        <v>24768</v>
      </c>
      <c r="D56" s="917" t="n">
        <v>31757.5</v>
      </c>
      <c r="E56" s="917" t="n">
        <v>32148.45</v>
      </c>
      <c r="F56" s="917" t="n">
        <v>32148.45</v>
      </c>
      <c r="G56" s="917" t="n">
        <v>39194.1</v>
      </c>
      <c r="H56" s="918" t="n">
        <v>59688.1</v>
      </c>
      <c r="I56" s="917" t="n">
        <v>73545.10000000001</v>
      </c>
      <c r="J56" s="917" t="n">
        <v>97690.10000000001</v>
      </c>
      <c r="K56" s="917" t="n">
        <v>103352.1</v>
      </c>
      <c r="L56" s="917" t="n">
        <v>112211.1</v>
      </c>
      <c r="M56" s="917" t="n">
        <v>120048.75</v>
      </c>
      <c r="N56" s="918" t="n">
        <v>132270.75</v>
      </c>
      <c r="O56" s="774" t="n"/>
    </row>
    <row r="57">
      <c r="A57" s="208" t="inlineStr">
        <is>
          <t>Planned Trading Order Intake YTD</t>
        </is>
      </c>
      <c r="B57" s="208" t="n"/>
      <c r="C57" s="915">
        <f>O57/12</f>
        <v/>
      </c>
      <c r="D57" s="915">
        <f>C57+($O$57/12)</f>
        <v/>
      </c>
      <c r="E57" s="915">
        <f>D57+($O$57/12)</f>
        <v/>
      </c>
      <c r="F57" s="915">
        <f>E57+($O$57/12)</f>
        <v/>
      </c>
      <c r="G57" s="915">
        <f>F57+($O$57/12)</f>
        <v/>
      </c>
      <c r="H57" s="915">
        <f>G57+($O$57/12)</f>
        <v/>
      </c>
      <c r="I57" s="915">
        <f>H57+($O$57/12)</f>
        <v/>
      </c>
      <c r="J57" s="915">
        <f>I57+($O$57/12)</f>
        <v/>
      </c>
      <c r="K57" s="915">
        <f>J57+($O$57/12)</f>
        <v/>
      </c>
      <c r="L57" s="915">
        <f>K57+($O$57/12)</f>
        <v/>
      </c>
      <c r="M57" s="915">
        <f>L57+($O$57/12)</f>
        <v/>
      </c>
      <c r="N57" s="915">
        <f>M57+($O$57/12)</f>
        <v/>
      </c>
      <c r="O57" s="774" t="n">
        <v>120000</v>
      </c>
    </row>
    <row r="58">
      <c r="A58" s="208" t="inlineStr">
        <is>
          <t>Actual Trading Order Intake YTD</t>
        </is>
      </c>
      <c r="B58" s="208" t="n"/>
      <c r="C58" s="915">
        <f>'Monthly Data'!C62</f>
        <v/>
      </c>
      <c r="D58" s="915">
        <f>'Monthly Data'!D62</f>
        <v/>
      </c>
      <c r="E58" s="915">
        <f>'Monthly Data'!E62</f>
        <v/>
      </c>
      <c r="F58" s="915">
        <f>'Monthly Data'!F62</f>
        <v/>
      </c>
      <c r="G58" s="915">
        <f>'Monthly Data'!G62</f>
        <v/>
      </c>
      <c r="H58" s="916">
        <f>'Monthly Data'!H62</f>
        <v/>
      </c>
      <c r="I58" s="915">
        <f>'Monthly Data'!I62</f>
        <v/>
      </c>
      <c r="J58" s="915">
        <f>'Monthly Data'!J62</f>
        <v/>
      </c>
      <c r="K58" s="915">
        <f>'Monthly Data'!K62</f>
        <v/>
      </c>
      <c r="L58" s="915">
        <f>'Monthly Data'!L62</f>
        <v/>
      </c>
      <c r="M58" s="915">
        <f>'Monthly Data'!M62</f>
        <v/>
      </c>
      <c r="N58" s="916">
        <f>'Monthly Data'!N62</f>
        <v/>
      </c>
      <c r="O58" s="774" t="n"/>
    </row>
    <row r="59">
      <c r="A59" s="227" t="inlineStr">
        <is>
          <t>Actual Trading Order Intake 2019 YTD</t>
        </is>
      </c>
      <c r="B59" s="207" t="n"/>
      <c r="C59" s="919" t="n">
        <v>0</v>
      </c>
      <c r="D59" s="919" t="n">
        <v>0</v>
      </c>
      <c r="E59" s="919" t="n">
        <v>0</v>
      </c>
      <c r="F59" s="919" t="n">
        <v>23250</v>
      </c>
      <c r="G59" s="919" t="n">
        <v>23250</v>
      </c>
      <c r="H59" s="919" t="n">
        <v>23250</v>
      </c>
      <c r="I59" s="919" t="n">
        <v>23250</v>
      </c>
      <c r="J59" s="919" t="n">
        <v>23250</v>
      </c>
      <c r="K59" s="919" t="n">
        <v>23250</v>
      </c>
      <c r="L59" s="919" t="n">
        <v>23250</v>
      </c>
      <c r="M59" s="919" t="n">
        <v>25044.6</v>
      </c>
      <c r="N59" s="919" t="n">
        <v>25129.6</v>
      </c>
      <c r="O59" s="774" t="n"/>
    </row>
    <row r="60">
      <c r="A60" s="208" t="inlineStr">
        <is>
          <t>Planned FCP &amp; Service Order Intake YTD</t>
        </is>
      </c>
      <c r="B60" s="208" t="n"/>
      <c r="C60" s="915">
        <f>O60/12</f>
        <v/>
      </c>
      <c r="D60" s="915">
        <f>C60+($O$60/12)</f>
        <v/>
      </c>
      <c r="E60" s="915">
        <f>D60+($O$60/12)</f>
        <v/>
      </c>
      <c r="F60" s="915">
        <f>E60+($O$60/12)</f>
        <v/>
      </c>
      <c r="G60" s="915">
        <f>F60+($O$60/12)</f>
        <v/>
      </c>
      <c r="H60" s="916">
        <f>G60+($O$60/12)</f>
        <v/>
      </c>
      <c r="I60" s="915">
        <f>H60+($O$60/12)</f>
        <v/>
      </c>
      <c r="J60" s="915">
        <f>I60+($O$60/12)</f>
        <v/>
      </c>
      <c r="K60" s="915">
        <f>J60+($O$60/12)</f>
        <v/>
      </c>
      <c r="L60" s="915">
        <f>K60+($O$60/12)</f>
        <v/>
      </c>
      <c r="M60" s="915">
        <f>L60+($O$60/12)</f>
        <v/>
      </c>
      <c r="N60" s="916">
        <f>M60+($O$60/12)</f>
        <v/>
      </c>
      <c r="O60" s="774">
        <f>O51+O54</f>
        <v/>
      </c>
    </row>
    <row r="61">
      <c r="A61" s="182" t="inlineStr">
        <is>
          <t>Actual FCP &amp; Service Order Intake YTD</t>
        </is>
      </c>
      <c r="B61" s="182" t="n"/>
      <c r="C61" s="920">
        <f>C52+C55</f>
        <v/>
      </c>
      <c r="D61" s="920">
        <f>D52+D55</f>
        <v/>
      </c>
      <c r="E61" s="920">
        <f>E52+E55</f>
        <v/>
      </c>
      <c r="F61" s="920">
        <f>F52+F55</f>
        <v/>
      </c>
      <c r="G61" s="920">
        <f>G52+G55</f>
        <v/>
      </c>
      <c r="H61" s="920">
        <f>H52+H55</f>
        <v/>
      </c>
      <c r="I61" s="920">
        <f>I52+I55</f>
        <v/>
      </c>
      <c r="J61" s="920">
        <f>J52+J55</f>
        <v/>
      </c>
      <c r="K61" s="920">
        <f>K52+K55</f>
        <v/>
      </c>
      <c r="L61" s="920">
        <f>L52+L55</f>
        <v/>
      </c>
      <c r="M61" s="920">
        <f>M52+M55</f>
        <v/>
      </c>
      <c r="N61" s="920">
        <f>N52+N55</f>
        <v/>
      </c>
    </row>
    <row r="62">
      <c r="A62" s="233" t="inlineStr">
        <is>
          <t>Actual FCP &amp; Service Order Intake 2019 YTD</t>
        </is>
      </c>
      <c r="B62" s="214" t="n"/>
      <c r="C62" s="921">
        <f>C53+C56</f>
        <v/>
      </c>
      <c r="D62" s="921">
        <f>D53+D56</f>
        <v/>
      </c>
      <c r="E62" s="921">
        <f>E53+E56</f>
        <v/>
      </c>
      <c r="F62" s="921">
        <f>F53+F56</f>
        <v/>
      </c>
      <c r="G62" s="921">
        <f>G53+G56</f>
        <v/>
      </c>
      <c r="H62" s="921">
        <f>H53+H56</f>
        <v/>
      </c>
      <c r="I62" s="921">
        <f>I53+I56</f>
        <v/>
      </c>
      <c r="J62" s="921">
        <f>J53+J56</f>
        <v/>
      </c>
      <c r="K62" s="921">
        <f>K53+K56</f>
        <v/>
      </c>
      <c r="L62" s="921">
        <f>L53+L56</f>
        <v/>
      </c>
      <c r="M62" s="921">
        <f>M53+M56</f>
        <v/>
      </c>
      <c r="N62" s="921">
        <f>N53+N56</f>
        <v/>
      </c>
      <c r="O62" s="774" t="n"/>
    </row>
    <row r="63" ht="15" customHeight="1" s="701">
      <c r="A63" s="208" t="inlineStr">
        <is>
          <t>Planned GSE/Tools HYKD Order Intake</t>
        </is>
      </c>
      <c r="B63" s="208" t="n"/>
      <c r="C63" s="915">
        <f>$O$63/12</f>
        <v/>
      </c>
      <c r="D63" s="915">
        <f>$O$63/12</f>
        <v/>
      </c>
      <c r="E63" s="915">
        <f>$O$63/12</f>
        <v/>
      </c>
      <c r="F63" s="915">
        <f>$O$63/12</f>
        <v/>
      </c>
      <c r="G63" s="915">
        <f>$O$63/12</f>
        <v/>
      </c>
      <c r="H63" s="916">
        <f>$O$63/12</f>
        <v/>
      </c>
      <c r="I63" s="915">
        <f>$O$63/12</f>
        <v/>
      </c>
      <c r="J63" s="915">
        <f>$O$63/12</f>
        <v/>
      </c>
      <c r="K63" s="915">
        <f>$O$63/12</f>
        <v/>
      </c>
      <c r="L63" s="915">
        <f>$O$63/12</f>
        <v/>
      </c>
      <c r="M63" s="915">
        <f>$O$63/12</f>
        <v/>
      </c>
      <c r="N63" s="916">
        <f>$O$63/12</f>
        <v/>
      </c>
      <c r="O63" s="774">
        <f>4872000+2095000</f>
        <v/>
      </c>
      <c r="P63" s="219">
        <f>O64/O63</f>
        <v/>
      </c>
    </row>
    <row r="64" ht="15" customHeight="1" s="701">
      <c r="A64" s="208" t="inlineStr">
        <is>
          <t>Revised GSE/Tools HYKD Order Intake</t>
        </is>
      </c>
      <c r="B64" s="208" t="n"/>
      <c r="C64" s="915">
        <f>$O$64/12</f>
        <v/>
      </c>
      <c r="D64" s="915">
        <f>$O$64/12</f>
        <v/>
      </c>
      <c r="E64" s="915">
        <f>$O$64/12</f>
        <v/>
      </c>
      <c r="F64" s="915">
        <f>$O$64/12</f>
        <v/>
      </c>
      <c r="G64" s="915">
        <f>$O$64/12</f>
        <v/>
      </c>
      <c r="H64" s="916">
        <f>$O$64/12</f>
        <v/>
      </c>
      <c r="I64" s="915">
        <f>$O$64/12</f>
        <v/>
      </c>
      <c r="J64" s="915">
        <f>$O$64/12</f>
        <v/>
      </c>
      <c r="K64" s="915">
        <f>$O$64/12</f>
        <v/>
      </c>
      <c r="L64" s="915">
        <f>$O$64/12</f>
        <v/>
      </c>
      <c r="M64" s="915">
        <f>$O$64/12</f>
        <v/>
      </c>
      <c r="N64" s="916">
        <f>$O$64/12</f>
        <v/>
      </c>
      <c r="O64" s="774">
        <f>3451699+1302616</f>
        <v/>
      </c>
    </row>
    <row r="65" ht="15" customHeight="1" s="701">
      <c r="A65" s="248" t="inlineStr">
        <is>
          <t>Actual GSE/Tools HYKG Order Intake</t>
        </is>
      </c>
      <c r="B65" s="248" t="n"/>
      <c r="C65" s="922" t="n">
        <v>340509.95</v>
      </c>
      <c r="D65" s="922" t="n">
        <v>85704.55973182117</v>
      </c>
      <c r="E65" s="922" t="n">
        <v>533231</v>
      </c>
      <c r="F65" s="922" t="n">
        <v>771126</v>
      </c>
      <c r="G65" s="922" t="n"/>
      <c r="H65" s="923" t="n"/>
      <c r="I65" s="922" t="n"/>
      <c r="J65" s="922" t="n"/>
      <c r="K65" s="922" t="n"/>
      <c r="L65" s="922" t="n"/>
      <c r="M65" s="922" t="n"/>
      <c r="N65" s="923" t="n"/>
    </row>
    <row r="66" ht="15" customHeight="1" s="701">
      <c r="A66" s="208" t="inlineStr">
        <is>
          <t>Originally Planned GSE/Tools HYKG Order Intake YTD</t>
        </is>
      </c>
      <c r="B66" s="208" t="n"/>
      <c r="C66" s="915">
        <f>C63</f>
        <v/>
      </c>
      <c r="D66" s="915">
        <f>C66+D63</f>
        <v/>
      </c>
      <c r="E66" s="915">
        <f>D66+E63</f>
        <v/>
      </c>
      <c r="F66" s="915">
        <f>E66+F63</f>
        <v/>
      </c>
      <c r="G66" s="915">
        <f>F66+G63</f>
        <v/>
      </c>
      <c r="H66" s="916">
        <f>G66+H63</f>
        <v/>
      </c>
      <c r="I66" s="915">
        <f>H66+I63</f>
        <v/>
      </c>
      <c r="J66" s="915">
        <f>I66+J63</f>
        <v/>
      </c>
      <c r="K66" s="915">
        <f>J66+K63</f>
        <v/>
      </c>
      <c r="L66" s="915">
        <f>K66+L63</f>
        <v/>
      </c>
      <c r="M66" s="915">
        <f>L66+M63</f>
        <v/>
      </c>
      <c r="N66" s="916">
        <f>M66+N63</f>
        <v/>
      </c>
      <c r="O66" s="774">
        <f>4872000+2095000</f>
        <v/>
      </c>
    </row>
    <row r="67">
      <c r="A67" s="182" t="inlineStr">
        <is>
          <t>Revised GSE/Tools HYKG Order Intake YTD</t>
        </is>
      </c>
      <c r="B67" s="182" t="n"/>
      <c r="C67" s="920">
        <f>C64</f>
        <v/>
      </c>
      <c r="D67" s="920">
        <f>C67+D64</f>
        <v/>
      </c>
      <c r="E67" s="920">
        <f>D67+E64</f>
        <v/>
      </c>
      <c r="F67" s="920">
        <f>E67+F64</f>
        <v/>
      </c>
      <c r="G67" s="920">
        <f>F67+G64</f>
        <v/>
      </c>
      <c r="H67" s="924">
        <f>G67+H64</f>
        <v/>
      </c>
      <c r="I67" s="920">
        <f>H67+I64</f>
        <v/>
      </c>
      <c r="J67" s="920">
        <f>I67+J64</f>
        <v/>
      </c>
      <c r="K67" s="920">
        <f>J67+K64</f>
        <v/>
      </c>
      <c r="L67" s="920">
        <f>K67+L64</f>
        <v/>
      </c>
      <c r="M67" s="920">
        <f>L67+M64</f>
        <v/>
      </c>
      <c r="N67" s="924">
        <f>M67+N64</f>
        <v/>
      </c>
      <c r="O67" s="925">
        <f>3451699+1302616</f>
        <v/>
      </c>
    </row>
    <row r="68">
      <c r="A68" s="221" t="inlineStr">
        <is>
          <t>Revised II GSE/Tools HYKG Order Intake YTD</t>
        </is>
      </c>
      <c r="B68" s="221" t="n"/>
      <c r="C68" s="926">
        <f>O68/12</f>
        <v/>
      </c>
      <c r="D68" s="926">
        <f>C68+$O$68/12</f>
        <v/>
      </c>
      <c r="E68" s="926">
        <f>D68+$O$68/12</f>
        <v/>
      </c>
      <c r="F68" s="926">
        <f>E68+$O$68/12</f>
        <v/>
      </c>
      <c r="G68" s="926">
        <f>F68+$O$68/12</f>
        <v/>
      </c>
      <c r="H68" s="926">
        <f>G68+$O$68/12</f>
        <v/>
      </c>
      <c r="I68" s="926">
        <f>H68+$O$68/12</f>
        <v/>
      </c>
      <c r="J68" s="926">
        <f>I68+$O$68/12</f>
        <v/>
      </c>
      <c r="K68" s="926">
        <f>J68+$O$68/12</f>
        <v/>
      </c>
      <c r="L68" s="926">
        <f>K68+$O$68/12</f>
        <v/>
      </c>
      <c r="M68" s="926">
        <f>L68+$O$68/12</f>
        <v/>
      </c>
      <c r="N68" s="927">
        <f>M68+$O$68/12</f>
        <v/>
      </c>
      <c r="O68" s="925">
        <f>0.5*O66</f>
        <v/>
      </c>
      <c r="P68" s="222">
        <f>O68/O66</f>
        <v/>
      </c>
    </row>
    <row r="69">
      <c r="A69" s="249" t="inlineStr">
        <is>
          <t>Actual GSE/Tools HYKG Order Intake YTD</t>
        </is>
      </c>
      <c r="B69" s="249" t="n"/>
      <c r="C69" s="922">
        <f>C65</f>
        <v/>
      </c>
      <c r="D69" s="922">
        <f>C69+D65</f>
        <v/>
      </c>
      <c r="E69" s="922">
        <f>D69+E65</f>
        <v/>
      </c>
      <c r="F69" s="922">
        <f>E69+F65</f>
        <v/>
      </c>
      <c r="G69" s="922">
        <f>F69+G65</f>
        <v/>
      </c>
      <c r="H69" s="923">
        <f>G69+H65</f>
        <v/>
      </c>
      <c r="I69" s="922">
        <f>H69+I65</f>
        <v/>
      </c>
      <c r="J69" s="922">
        <f>I69+J65</f>
        <v/>
      </c>
      <c r="K69" s="922">
        <f>J69+K65</f>
        <v/>
      </c>
      <c r="L69" s="922">
        <f>K69+L65</f>
        <v/>
      </c>
      <c r="M69" s="922">
        <f>L69+M65</f>
        <v/>
      </c>
      <c r="N69" s="923">
        <f>M69+N65</f>
        <v/>
      </c>
    </row>
    <row r="70">
      <c r="A70" s="228" t="inlineStr">
        <is>
          <t>Actual  GSE/Tools HYKD Order Intake 2019 YTD</t>
        </is>
      </c>
      <c r="B70" s="182" t="n"/>
      <c r="C70" s="928" t="n">
        <v>276408.88</v>
      </c>
      <c r="D70" s="928" t="n">
        <v>810219.39</v>
      </c>
      <c r="E70" s="928" t="n">
        <v>1222990.72</v>
      </c>
      <c r="F70" s="928" t="n">
        <v>1393067.62</v>
      </c>
      <c r="G70" s="928" t="n">
        <v>3383382.32</v>
      </c>
      <c r="H70" s="928" t="n">
        <v>4187121</v>
      </c>
      <c r="I70" s="928" t="n">
        <v>4422240.98</v>
      </c>
      <c r="J70" s="928" t="n">
        <v>4511704.25</v>
      </c>
      <c r="K70" s="928" t="n">
        <v>6332709.939999999</v>
      </c>
      <c r="L70" s="928" t="n">
        <v>7258662.119999999</v>
      </c>
      <c r="M70" s="928" t="n">
        <v>7518405.48</v>
      </c>
      <c r="N70" s="928" t="n">
        <v>8510925.82</v>
      </c>
    </row>
    <row r="71" ht="18.75" customHeight="1" s="701">
      <c r="A71" s="204" t="inlineStr">
        <is>
          <t>GSE/Tools HYKG Intercompany Revenue</t>
        </is>
      </c>
      <c r="B71" s="160" t="n"/>
      <c r="C71" s="220" t="n"/>
      <c r="D71" s="220" t="n"/>
      <c r="E71" s="220" t="n"/>
      <c r="F71" s="220" t="n"/>
      <c r="G71" s="839" t="n"/>
      <c r="H71" s="904" t="n"/>
      <c r="I71" s="839" t="n"/>
      <c r="J71" s="839" t="n"/>
      <c r="K71" s="839" t="n"/>
      <c r="L71" s="839" t="n"/>
      <c r="M71" s="839" t="n"/>
      <c r="N71" s="904" t="n"/>
    </row>
    <row r="72">
      <c r="A72" s="209" t="inlineStr">
        <is>
          <t>Planned GSE/Tools HYKG Intercompany Revenue</t>
        </is>
      </c>
      <c r="B72" s="209" t="n"/>
      <c r="C72" s="929">
        <f>$O$72/12</f>
        <v/>
      </c>
      <c r="D72" s="929">
        <f>$O$72/12</f>
        <v/>
      </c>
      <c r="E72" s="929">
        <f>$O$72/12</f>
        <v/>
      </c>
      <c r="F72" s="929">
        <f>$O$72/12</f>
        <v/>
      </c>
      <c r="G72" s="929">
        <f>$O$72/12</f>
        <v/>
      </c>
      <c r="H72" s="930">
        <f>$O$72/12</f>
        <v/>
      </c>
      <c r="I72" s="929">
        <f>$O$72/12</f>
        <v/>
      </c>
      <c r="J72" s="929">
        <f>$O$72/12</f>
        <v/>
      </c>
      <c r="K72" s="929">
        <f>$O$72/12</f>
        <v/>
      </c>
      <c r="L72" s="929">
        <f>$O$72/12</f>
        <v/>
      </c>
      <c r="M72" s="929">
        <f>$O$72/12</f>
        <v/>
      </c>
      <c r="N72" s="930">
        <f>$O$72/12</f>
        <v/>
      </c>
      <c r="O72" s="774" t="n">
        <v>7000000</v>
      </c>
    </row>
    <row r="73">
      <c r="A73" s="209" t="inlineStr">
        <is>
          <t>Revised GSE/Tools HYKG Intercompany Revenue</t>
        </is>
      </c>
      <c r="B73" s="209" t="n"/>
      <c r="C73" s="929">
        <f>$O$73/12</f>
        <v/>
      </c>
      <c r="D73" s="929">
        <f>$O$73/12</f>
        <v/>
      </c>
      <c r="E73" s="929">
        <f>$O$73/12</f>
        <v/>
      </c>
      <c r="F73" s="929">
        <f>$O$73/12</f>
        <v/>
      </c>
      <c r="G73" s="929">
        <f>$O$73/12</f>
        <v/>
      </c>
      <c r="H73" s="930">
        <f>$O$73/12</f>
        <v/>
      </c>
      <c r="I73" s="929">
        <f>$O$73/12</f>
        <v/>
      </c>
      <c r="J73" s="929">
        <f>$O$73/12</f>
        <v/>
      </c>
      <c r="K73" s="929">
        <f>$O$73/12</f>
        <v/>
      </c>
      <c r="L73" s="929">
        <f>$O$73/12</f>
        <v/>
      </c>
      <c r="M73" s="929">
        <f>$O$73/12</f>
        <v/>
      </c>
      <c r="N73" s="930">
        <f>$O$73/12</f>
        <v/>
      </c>
      <c r="O73" s="925" t="n">
        <v>5000000</v>
      </c>
    </row>
    <row r="74">
      <c r="A74" s="248" t="inlineStr">
        <is>
          <t>Actual GSE/Tools HYKG Intercompany Revenue</t>
        </is>
      </c>
      <c r="B74" s="248" t="n"/>
      <c r="C74" s="910">
        <f>SUM(C6:C9)</f>
        <v/>
      </c>
      <c r="D74" s="910">
        <f>SUM(D6:D9)</f>
        <v/>
      </c>
      <c r="E74" s="910">
        <f>SUM(E6:E9)</f>
        <v/>
      </c>
      <c r="F74" s="910">
        <f>SUM(F6:F9)</f>
        <v/>
      </c>
      <c r="G74" s="910">
        <f>SUM(G6:G9)</f>
        <v/>
      </c>
      <c r="H74" s="910">
        <f>SUM(H6:H9)</f>
        <v/>
      </c>
      <c r="I74" s="910">
        <f>SUM(I6:I9)</f>
        <v/>
      </c>
      <c r="J74" s="910">
        <f>SUM(J6:J9)</f>
        <v/>
      </c>
      <c r="K74" s="910">
        <f>SUM(K6:K9)</f>
        <v/>
      </c>
      <c r="L74" s="910">
        <f>SUM(L6:L9)</f>
        <v/>
      </c>
      <c r="M74" s="910">
        <f>SUM(M6:M9)</f>
        <v/>
      </c>
      <c r="N74" s="910">
        <f>SUM(N6:N9)</f>
        <v/>
      </c>
      <c r="O74" s="774" t="n"/>
    </row>
    <row r="75">
      <c r="A75" s="209" t="inlineStr">
        <is>
          <t>Planned GSE/Tools HYKG Intercompany Revenue YTD</t>
        </is>
      </c>
      <c r="B75" s="209" t="n"/>
      <c r="C75" s="929">
        <f>C72</f>
        <v/>
      </c>
      <c r="D75" s="929">
        <f>C75+D72</f>
        <v/>
      </c>
      <c r="E75" s="929">
        <f>D75+E72</f>
        <v/>
      </c>
      <c r="F75" s="929">
        <f>E75+F72</f>
        <v/>
      </c>
      <c r="G75" s="929">
        <f>F75+G72</f>
        <v/>
      </c>
      <c r="H75" s="930">
        <f>G75+H72</f>
        <v/>
      </c>
      <c r="I75" s="929">
        <f>H75+I72</f>
        <v/>
      </c>
      <c r="J75" s="929">
        <f>I75+J72</f>
        <v/>
      </c>
      <c r="K75" s="929">
        <f>J75+K72</f>
        <v/>
      </c>
      <c r="L75" s="929">
        <f>K75+L72</f>
        <v/>
      </c>
      <c r="M75" s="929">
        <f>L75+M72</f>
        <v/>
      </c>
      <c r="N75" s="930">
        <f>M75+N72</f>
        <v/>
      </c>
      <c r="O75" s="774" t="n">
        <v>7000000</v>
      </c>
    </row>
    <row r="76">
      <c r="A76" s="206" t="inlineStr">
        <is>
          <t>Revised GSE/Tools HYKG Intercompany Revenue YTD</t>
        </is>
      </c>
      <c r="B76" s="206" t="n"/>
      <c r="C76" s="931">
        <f>C73</f>
        <v/>
      </c>
      <c r="D76" s="931">
        <f>C76+D73</f>
        <v/>
      </c>
      <c r="E76" s="931">
        <f>D76+E73</f>
        <v/>
      </c>
      <c r="F76" s="931">
        <f>E76+F73</f>
        <v/>
      </c>
      <c r="G76" s="931">
        <f>F76+G73</f>
        <v/>
      </c>
      <c r="H76" s="932">
        <f>G76+H73</f>
        <v/>
      </c>
      <c r="I76" s="931">
        <f>H76+I73</f>
        <v/>
      </c>
      <c r="J76" s="931">
        <f>I76+J73</f>
        <v/>
      </c>
      <c r="K76" s="931">
        <f>J76+K73</f>
        <v/>
      </c>
      <c r="L76" s="931">
        <f>K76+L73</f>
        <v/>
      </c>
      <c r="M76" s="931">
        <f>L76+M73</f>
        <v/>
      </c>
      <c r="N76" s="932">
        <f>M76+N73</f>
        <v/>
      </c>
      <c r="O76" s="925" t="n">
        <v>5000000</v>
      </c>
    </row>
    <row r="77">
      <c r="A77" s="221" t="inlineStr">
        <is>
          <t>Revised II GSE/Tools HYKG Intercompany Revenue YTD</t>
        </is>
      </c>
      <c r="B77" s="221" t="n"/>
      <c r="C77" s="926">
        <f>O77/12</f>
        <v/>
      </c>
      <c r="D77" s="926">
        <f>C77+$O$77/12</f>
        <v/>
      </c>
      <c r="E77" s="926">
        <f>D77+$O$77/12</f>
        <v/>
      </c>
      <c r="F77" s="926">
        <f>E77+$O$77/12</f>
        <v/>
      </c>
      <c r="G77" s="926">
        <f>F77+$O$77/12</f>
        <v/>
      </c>
      <c r="H77" s="926">
        <f>G77+$O$77/12</f>
        <v/>
      </c>
      <c r="I77" s="926">
        <f>H77+$O$77/12</f>
        <v/>
      </c>
      <c r="J77" s="926">
        <f>I77+$O$77/12</f>
        <v/>
      </c>
      <c r="K77" s="926">
        <f>J77+$O$77/12</f>
        <v/>
      </c>
      <c r="L77" s="926">
        <f>K77+$O$77/12</f>
        <v/>
      </c>
      <c r="M77" s="926">
        <f>L77+$O$77/12</f>
        <v/>
      </c>
      <c r="N77" s="926">
        <f>M77+$O$77/12</f>
        <v/>
      </c>
      <c r="O77" s="925">
        <f>0.5*O75</f>
        <v/>
      </c>
      <c r="P77" s="222">
        <f>O77/O75</f>
        <v/>
      </c>
    </row>
    <row r="78">
      <c r="A78" s="249" t="inlineStr">
        <is>
          <t>Actual GSE/Tools HYKG Intercompany Revenue YTD</t>
        </is>
      </c>
      <c r="B78" s="249" t="n"/>
      <c r="C78" s="922">
        <f>C74</f>
        <v/>
      </c>
      <c r="D78" s="922">
        <f>C78+D74</f>
        <v/>
      </c>
      <c r="E78" s="922">
        <f>D78+E74</f>
        <v/>
      </c>
      <c r="F78" s="922">
        <f>E78+F74</f>
        <v/>
      </c>
      <c r="G78" s="922">
        <f>F78+G74</f>
        <v/>
      </c>
      <c r="H78" s="923">
        <f>G78+H74</f>
        <v/>
      </c>
      <c r="I78" s="922">
        <f>H78+I74</f>
        <v/>
      </c>
      <c r="J78" s="922">
        <f>I78+J74</f>
        <v/>
      </c>
      <c r="K78" s="922">
        <f>J78+K74</f>
        <v/>
      </c>
      <c r="L78" s="922">
        <f>K78+L74</f>
        <v/>
      </c>
      <c r="M78" s="922">
        <f>L78+M74</f>
        <v/>
      </c>
      <c r="N78" s="923">
        <f>M78+N74</f>
        <v/>
      </c>
      <c r="O78" s="774" t="n"/>
    </row>
    <row r="79">
      <c r="A79" s="234" t="inlineStr">
        <is>
          <t>Actual GSE/Tools HYKG Intercopany Revenue 2019 YTD</t>
        </is>
      </c>
      <c r="B79" s="206" t="n"/>
      <c r="C79" s="933" t="n">
        <v>365466</v>
      </c>
      <c r="D79" s="933" t="n">
        <v>1342832</v>
      </c>
      <c r="E79" s="933" t="n">
        <v>1853515</v>
      </c>
      <c r="F79" s="933" t="n">
        <v>2768619</v>
      </c>
      <c r="G79" s="933" t="n">
        <v>3308599</v>
      </c>
      <c r="H79" s="934" t="n">
        <v>4234927</v>
      </c>
      <c r="I79" s="933" t="n">
        <v>5510658</v>
      </c>
      <c r="J79" s="933" t="n">
        <v>6630589</v>
      </c>
      <c r="K79" s="933" t="n">
        <v>7371928</v>
      </c>
      <c r="L79" s="933" t="n">
        <v>7568091</v>
      </c>
      <c r="M79" s="933" t="n">
        <v>7755500</v>
      </c>
      <c r="N79" s="934" t="n">
        <v>9308833</v>
      </c>
      <c r="O79" s="774" t="n"/>
    </row>
    <row r="80">
      <c r="A80" s="160" t="n"/>
      <c r="B80" s="160" t="n"/>
      <c r="C80" s="839" t="n"/>
      <c r="D80" s="839" t="n"/>
      <c r="E80" s="839" t="n"/>
      <c r="F80" s="839" t="n"/>
      <c r="G80" s="839" t="n"/>
      <c r="H80" s="904" t="n"/>
      <c r="I80" s="839" t="n"/>
      <c r="J80" s="839" t="n"/>
      <c r="K80" s="839" t="n"/>
      <c r="L80" s="839" t="n"/>
      <c r="M80" s="839" t="n"/>
      <c r="N80" s="904" t="n"/>
    </row>
    <row r="81">
      <c r="H81" s="205" t="n"/>
    </row>
  </sheetData>
  <conditionalFormatting sqref="C1:N2">
    <cfRule type="expression" priority="7" dxfId="387">
      <formula>MONTH(TODAY())=MONTH(C$1)</formula>
    </cfRule>
  </conditionalFormatting>
  <conditionalFormatting sqref="C22:N22">
    <cfRule type="cellIs" priority="5" operator="lessThan" dxfId="162">
      <formula>0</formula>
    </cfRule>
    <cfRule type="cellIs" priority="6" operator="lessThan" dxfId="162">
      <formula>-169808</formula>
    </cfRule>
  </conditionalFormatting>
  <conditionalFormatting sqref="C20:N20">
    <cfRule type="cellIs" priority="4" operator="lessThan" dxfId="162">
      <formula>0</formula>
    </cfRule>
  </conditionalFormatting>
  <conditionalFormatting sqref="C24:N24">
    <cfRule type="cellIs" priority="1" operator="lessThan" dxfId="162">
      <formula>0</formula>
    </cfRule>
    <cfRule type="cellIs" priority="2" operator="lessThan" dxfId="162">
      <formula>0</formula>
    </cfRule>
    <cfRule type="cellIs" priority="3" operator="lessThan" dxfId="162">
      <formula>0</formula>
    </cfRule>
  </conditionalFormatting>
  <pageMargins left="0.7" right="0.7" top="0.75" bottom="0.75" header="0.3" footer="0.3"/>
  <pageSetup orientation="portrait" paperSize="9" scale="10"/>
  <legacyDrawing r:id="anysvml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S36"/>
  <sheetViews>
    <sheetView workbookViewId="0">
      <pane xSplit="2" ySplit="1" topLeftCell="C2" activePane="bottomRight" state="frozenSplit"/>
      <selection pane="topRight" activeCell="D1" sqref="D1"/>
      <selection pane="bottomLeft" activeCell="A12" sqref="A12"/>
      <selection pane="bottomRight" activeCell="E22" sqref="E22"/>
    </sheetView>
  </sheetViews>
  <sheetFormatPr baseColWidth="10" defaultColWidth="8.88671875" defaultRowHeight="14.4"/>
  <cols>
    <col width="17" bestFit="1" customWidth="1" style="701" min="1" max="1"/>
    <col width="21.88671875" bestFit="1" customWidth="1" style="701" min="2" max="2"/>
    <col width="10" bestFit="1" customWidth="1" style="701" min="3" max="3"/>
    <col width="10.44140625" bestFit="1" customWidth="1" style="701" min="4" max="7"/>
    <col width="12.88671875" bestFit="1" customWidth="1" style="701" min="8" max="9"/>
    <col width="10.44140625" bestFit="1" customWidth="1" style="701" min="10" max="10"/>
    <col width="9.44140625" bestFit="1" customWidth="1" style="701" min="11" max="12"/>
    <col width="8.109375" bestFit="1" customWidth="1" style="701" min="13" max="13"/>
    <col width="10.44140625" bestFit="1" customWidth="1" style="701" min="14" max="14"/>
    <col width="11.88671875" bestFit="1" customWidth="1" style="701" min="15" max="16"/>
  </cols>
  <sheetData>
    <row r="1">
      <c r="A1" s="696" t="n"/>
      <c r="B1" s="696" t="inlineStr">
        <is>
          <t>Cmde en Cours 2020</t>
        </is>
      </c>
      <c r="C1" s="935" t="n">
        <v>44197</v>
      </c>
      <c r="D1" s="936" t="n">
        <v>44228</v>
      </c>
      <c r="E1" s="936" t="n">
        <v>44256</v>
      </c>
      <c r="F1" s="936" t="n">
        <v>44287</v>
      </c>
      <c r="G1" s="935" t="n">
        <v>44317</v>
      </c>
      <c r="H1" s="936" t="n">
        <v>44348</v>
      </c>
      <c r="I1" s="936" t="n">
        <v>44378</v>
      </c>
      <c r="J1" s="936" t="n">
        <v>44409</v>
      </c>
      <c r="K1" s="935" t="n">
        <v>44440</v>
      </c>
      <c r="L1" s="936" t="n">
        <v>44470</v>
      </c>
      <c r="M1" s="936" t="n">
        <v>44501</v>
      </c>
      <c r="N1" s="936" t="n">
        <v>44531</v>
      </c>
      <c r="O1" s="189" t="inlineStr">
        <is>
          <t>Total</t>
        </is>
      </c>
    </row>
    <row r="2">
      <c r="A2" t="inlineStr">
        <is>
          <t>Devis Service</t>
        </is>
      </c>
      <c r="B2" s="327" t="n"/>
      <c r="C2" s="937">
        <f>SUMIFS(Data!$I:$I,Data!$D:$D,"&gt;"&amp;C$1,Data!$D:$D,"&lt;="&amp;EOMONTH(C$1,0),Data!$G:$G,"AIA*",Data!$K:$K,"&lt;&gt;"&amp;"Trading")</f>
        <v/>
      </c>
      <c r="D2" s="773">
        <f>SUMIFS(Data!$I:$I,Data!$D:$D,"&gt;"&amp;D$1,Data!$D:$D,"&lt;="&amp;EOMONTH(D$1,0),Data!$G:$G,"AIA*",Data!$K:$K,"&lt;&gt;"&amp;"Trading")</f>
        <v/>
      </c>
      <c r="E2" s="773">
        <f>SUMIFS(Data!$I:$I,Data!$D:$D,"&gt;"&amp;E$1,Data!$D:$D,"&lt;="&amp;EOMONTH(E$1,0),Data!$G:$G,"AIA*",Data!$K:$K,"&lt;&gt;"&amp;"Trading")</f>
        <v/>
      </c>
      <c r="F2" s="773">
        <f>SUMIFS(Data!$I:$I,Data!$D:$D,"&gt;"&amp;F$1,Data!$D:$D,"&lt;="&amp;EOMONTH(F$1,0),Data!$G:$G,"AIA*",Data!$K:$K,"&lt;&gt;"&amp;"Trading")</f>
        <v/>
      </c>
      <c r="G2" s="773">
        <f>SUMIFS(Data!$I:$I,Data!$D:$D,"&gt;"&amp;G$1,Data!$D:$D,"&lt;="&amp;EOMONTH(G$1,0),Data!$G:$G,"AIA*",Data!$K:$K,"&lt;&gt;"&amp;"Trading")</f>
        <v/>
      </c>
      <c r="H2" s="773">
        <f>SUMIFS(Data!$I:$I,Data!$D:$D,"&gt;"&amp;H$1,Data!$D:$D,"&lt;="&amp;EOMONTH(H$1,0),Data!$G:$G,"AIA*",Data!$K:$K,"&lt;&gt;"&amp;"Trading")</f>
        <v/>
      </c>
      <c r="I2" s="773">
        <f>SUMIFS(Data!$I:$I,Data!$D:$D,"&gt;"&amp;I$1,Data!$D:$D,"&lt;="&amp;EOMONTH(I$1,0),Data!$G:$G,"AIA*",Data!$K:$K,"&lt;&gt;"&amp;"Trading")</f>
        <v/>
      </c>
      <c r="J2" s="773">
        <f>SUMIFS(Data!$I:$I,Data!$D:$D,"&gt;"&amp;J$1,Data!$D:$D,"&lt;="&amp;EOMONTH(J$1,0),Data!$G:$G,"AIA*",Data!$K:$K,"&lt;&gt;"&amp;"Trading")</f>
        <v/>
      </c>
      <c r="K2" s="773">
        <f>SUMIFS(Data!$I:$I,Data!$D:$D,"&gt;"&amp;K$1,Data!$D:$D,"&lt;="&amp;EOMONTH(K$1,0),Data!$G:$G,"AIA*",Data!$K:$K,"&lt;&gt;"&amp;"Trading")</f>
        <v/>
      </c>
      <c r="L2" s="773">
        <f>SUMIFS(Data!$I:$I,Data!$D:$D,"&gt;"&amp;L$1,Data!$D:$D,"&lt;="&amp;EOMONTH(L$1,0),Data!$G:$G,"AIA*",Data!$K:$K,"&lt;&gt;"&amp;"Trading")</f>
        <v/>
      </c>
      <c r="M2" s="773">
        <f>SUMIFS(Data!$I:$I,Data!$D:$D,"&gt;"&amp;M$1,Data!$D:$D,"&lt;="&amp;EOMONTH(M$1,0),Data!$G:$G,"AIA*",Data!$K:$K,"&lt;&gt;"&amp;"Trading")</f>
        <v/>
      </c>
      <c r="N2" s="893">
        <f>SUMIFS(Data!$I:$I,Data!$D:$D,"&gt;"&amp;N$1,Data!$D:$D,"&lt;="&amp;EOMONTH(N$1,0),Data!$G:$G,"AIA*",Data!$K:$K,"&lt;&gt;"&amp;"Trading")</f>
        <v/>
      </c>
      <c r="O2" s="879">
        <f>SUM(C2:N2)</f>
        <v/>
      </c>
    </row>
    <row r="3">
      <c r="A3" s="696" t="inlineStr">
        <is>
          <t>Devis GSE</t>
        </is>
      </c>
      <c r="B3" s="165" t="n"/>
      <c r="C3" s="938">
        <f>SUMIFS(Data!$I:$I,Data!$D:$D,"&gt;"&amp;C$1,Data!$D:$D,"&lt;="&amp;EOMONTH(C$1,0),Data!$G:$G,"AIA*",Data!$K:$K,"Trading")</f>
        <v/>
      </c>
      <c r="D3" s="772">
        <f>SUMIFS(Data!$I:$I,Data!$D:$D,"&gt;"&amp;D$1,Data!$D:$D,"&lt;="&amp;EOMONTH(D$1,0),Data!$G:$G,"AIA*",Data!$K:$K,"Trading")</f>
        <v/>
      </c>
      <c r="E3" s="772">
        <f>SUMIFS(Data!$I:$I,Data!$D:$D,"&gt;"&amp;E$1,Data!$D:$D,"&lt;="&amp;EOMONTH(E$1,0),Data!$G:$G,"AIA*",Data!$K:$K,"Trading")</f>
        <v/>
      </c>
      <c r="F3" s="772">
        <f>SUMIFS(Data!$I:$I,Data!$D:$D,"&gt;"&amp;F$1,Data!$D:$D,"&lt;="&amp;EOMONTH(F$1,0),Data!$G:$G,"AIA*",Data!$K:$K,"Trading")</f>
        <v/>
      </c>
      <c r="G3" s="772">
        <f>SUMIFS(Data!$I:$I,Data!$D:$D,"&gt;"&amp;G$1,Data!$D:$D,"&lt;="&amp;EOMONTH(G$1,0),Data!$G:$G,"AIA*",Data!$K:$K,"Trading")</f>
        <v/>
      </c>
      <c r="H3" s="772">
        <f>SUMIFS(Data!$I:$I,Data!$D:$D,"&gt;"&amp;H$1,Data!$D:$D,"&lt;="&amp;EOMONTH(H$1,0),Data!$G:$G,"AIA*",Data!$K:$K,"Trading")</f>
        <v/>
      </c>
      <c r="I3" s="772">
        <f>SUMIFS(Data!$I:$I,Data!$D:$D,"&gt;"&amp;I$1,Data!$D:$D,"&lt;="&amp;EOMONTH(I$1,0),Data!$G:$G,"AIA*",Data!$K:$K,"Trading")</f>
        <v/>
      </c>
      <c r="J3" s="772">
        <f>SUMIFS(Data!$I:$I,Data!$D:$D,"&gt;"&amp;J$1,Data!$D:$D,"&lt;="&amp;EOMONTH(J$1,0),Data!$G:$G,"AIA*",Data!$K:$K,"Trading")</f>
        <v/>
      </c>
      <c r="K3" s="772">
        <f>SUMIFS(Data!$I:$I,Data!$D:$D,"&gt;"&amp;K$1,Data!$D:$D,"&lt;="&amp;EOMONTH(K$1,0),Data!$G:$G,"AIA*",Data!$K:$K,"Trading")</f>
        <v/>
      </c>
      <c r="L3" s="772">
        <f>SUMIFS(Data!$I:$I,Data!$D:$D,"&gt;"&amp;L$1,Data!$D:$D,"&lt;="&amp;EOMONTH(L$1,0),Data!$G:$G,"AIA*",Data!$K:$K,"Trading")</f>
        <v/>
      </c>
      <c r="M3" s="772">
        <f>SUMIFS(Data!$I:$I,Data!$D:$D,"&gt;"&amp;M$1,Data!$D:$D,"&lt;="&amp;EOMONTH(M$1,0),Data!$G:$G,"AIA*",Data!$K:$K,"Trading")</f>
        <v/>
      </c>
      <c r="N3" s="939">
        <f>SUMIFS(Data!$I:$I,Data!$D:$D,"&gt;"&amp;N$1,Data!$D:$D,"&lt;="&amp;EOMONTH(N$1,0),Data!$G:$G,"AIA*",Data!$K:$K,"Trading")</f>
        <v/>
      </c>
      <c r="O3" s="817">
        <f>SUM(C3:N3)</f>
        <v/>
      </c>
    </row>
    <row r="4">
      <c r="A4" t="inlineStr">
        <is>
          <t>OI Service</t>
        </is>
      </c>
      <c r="B4" s="709" t="n">
        <v>1590</v>
      </c>
      <c r="C4" s="940">
        <f>SUMIFS(Data!$S:$S,Data!$Q:$Q,"&gt;"&amp;C$1,Data!$Q:$Q,"&lt;="&amp;EOMONTH(C$1,0),Data!$G:$G,"AIA*",Data!$K:$K,"&lt;&gt;"&amp;"Trading")</f>
        <v/>
      </c>
      <c r="D4" s="940">
        <f>SUMIFS(Data!$S:$S,Data!$Q:$Q,"&gt;"&amp;D$1,Data!$Q:$Q,"&lt;="&amp;EOMONTH(D$1,0),Data!$G:$G,"AIA*",Data!$K:$K,"&lt;&gt;"&amp;"Trading")</f>
        <v/>
      </c>
      <c r="E4" s="940">
        <f>SUMIFS(Data!$S:$S,Data!$Q:$Q,"&gt;"&amp;E$1,Data!$Q:$Q,"&lt;="&amp;EOMONTH(E$1,0),Data!$G:$G,"AIA*",Data!$K:$K,"&lt;&gt;"&amp;"Trading")</f>
        <v/>
      </c>
      <c r="F4" s="940">
        <f>SUMIFS(Data!$S:$S,Data!$Q:$Q,"&gt;"&amp;F$1,Data!$Q:$Q,"&lt;="&amp;EOMONTH(F$1,0),Data!$G:$G,"AIA*",Data!$K:$K,"&lt;&gt;"&amp;"Trading")</f>
        <v/>
      </c>
      <c r="G4" s="940">
        <f>SUMIFS(Data!$S:$S,Data!$Q:$Q,"&gt;"&amp;G$1,Data!$Q:$Q,"&lt;="&amp;EOMONTH(G$1,0),Data!$G:$G,"AIA*",Data!$K:$K,"&lt;&gt;"&amp;"Trading")</f>
        <v/>
      </c>
      <c r="H4" s="940">
        <f>SUMIFS(Data!$S:$S,Data!$Q:$Q,"&gt;"&amp;H$1,Data!$Q:$Q,"&lt;="&amp;EOMONTH(H$1,0),Data!$G:$G,"AIA*",Data!$K:$K,"&lt;&gt;"&amp;"Trading")</f>
        <v/>
      </c>
      <c r="I4" s="940">
        <f>SUMIFS(Data!$S:$S,Data!$Q:$Q,"&gt;"&amp;I$1,Data!$Q:$Q,"&lt;="&amp;EOMONTH(I$1,0),Data!$G:$G,"AIA*",Data!$K:$K,"&lt;&gt;"&amp;"Trading")</f>
        <v/>
      </c>
      <c r="J4" s="940">
        <f>SUMIFS(Data!$S:$S,Data!$Q:$Q,"&gt;"&amp;J$1,Data!$Q:$Q,"&lt;="&amp;EOMONTH(J$1,0),Data!$G:$G,"AIA*",Data!$K:$K,"&lt;&gt;"&amp;"Trading")</f>
        <v/>
      </c>
      <c r="K4" s="940">
        <f>SUMIFS(Data!$S:$S,Data!$Q:$Q,"&gt;"&amp;K$1,Data!$Q:$Q,"&lt;="&amp;EOMONTH(K$1,0),Data!$G:$G,"AIA*",Data!$K:$K,"&lt;&gt;"&amp;"Trading")</f>
        <v/>
      </c>
      <c r="L4" s="940">
        <f>SUMIFS(Data!$S:$S,Data!$Q:$Q,"&gt;"&amp;L$1,Data!$Q:$Q,"&lt;="&amp;EOMONTH(L$1,0),Data!$G:$G,"AIA*",Data!$K:$K,"&lt;&gt;"&amp;"Trading")</f>
        <v/>
      </c>
      <c r="M4" s="940">
        <f>SUMIFS(Data!$S:$S,Data!$Q:$Q,"&gt;"&amp;M$1,Data!$Q:$Q,"&lt;="&amp;EOMONTH(M$1,0),Data!$G:$G,"AIA*",Data!$K:$K,"&lt;&gt;"&amp;"Trading")</f>
        <v/>
      </c>
      <c r="N4" s="940">
        <f>SUMIFS(Data!$S:$S,Data!$Q:$Q,"&gt;"&amp;N$1,Data!$Q:$Q,"&lt;="&amp;EOMONTH(N$1,0),Data!$G:$G,"AIA*",Data!$K:$K,"&lt;&gt;"&amp;"Trading")</f>
        <v/>
      </c>
      <c r="O4" s="941">
        <f>SUM(B4:N4)</f>
        <v/>
      </c>
    </row>
    <row r="5">
      <c r="A5" s="696" t="inlineStr">
        <is>
          <t>OI GSE</t>
        </is>
      </c>
      <c r="B5" s="772" t="n">
        <v>266850</v>
      </c>
      <c r="C5" s="942">
        <f>SUMIFS(Data!$S:$S,Data!$Q:$Q,"&gt;"&amp;C$1,Data!$Q:$Q,"&lt;="&amp;EOMONTH(C$1,0),Data!$G:$G,"AIA*",Data!$K:$K,"Trading")</f>
        <v/>
      </c>
      <c r="D5" s="942">
        <f>SUMIFS(Data!$S:$S,Data!$Q:$Q,"&gt;"&amp;D$1,Data!$Q:$Q,"&lt;="&amp;EOMONTH(D$1,0),Data!$G:$G,"AIA*",Data!$K:$K,"Trading")</f>
        <v/>
      </c>
      <c r="E5" s="942">
        <f>SUMIFS(Data!$S:$S,Data!$Q:$Q,"&gt;"&amp;E$1,Data!$Q:$Q,"&lt;="&amp;EOMONTH(E$1,0),Data!$G:$G,"AIA*",Data!$K:$K,"Trading")</f>
        <v/>
      </c>
      <c r="F5" s="942">
        <f>SUMIFS(Data!$S:$S,Data!$Q:$Q,"&gt;"&amp;F$1,Data!$Q:$Q,"&lt;="&amp;EOMONTH(F$1,0),Data!$G:$G,"AIA*",Data!$K:$K,"Trading")</f>
        <v/>
      </c>
      <c r="G5" s="942">
        <f>SUMIFS(Data!$S:$S,Data!$Q:$Q,"&gt;"&amp;G$1,Data!$Q:$Q,"&lt;="&amp;EOMONTH(G$1,0),Data!$G:$G,"AIA*",Data!$K:$K,"Trading")</f>
        <v/>
      </c>
      <c r="H5" s="942">
        <f>SUMIFS(Data!$S:$S,Data!$Q:$Q,"&gt;"&amp;H$1,Data!$Q:$Q,"&lt;="&amp;EOMONTH(H$1,0),Data!$G:$G,"AIA*",Data!$K:$K,"Trading")</f>
        <v/>
      </c>
      <c r="I5" s="942">
        <f>SUMIFS(Data!$S:$S,Data!$Q:$Q,"&gt;"&amp;I$1,Data!$Q:$Q,"&lt;="&amp;EOMONTH(I$1,0),Data!$G:$G,"AIA*",Data!$K:$K,"Trading")</f>
        <v/>
      </c>
      <c r="J5" s="942">
        <f>SUMIFS(Data!$S:$S,Data!$Q:$Q,"&gt;"&amp;J$1,Data!$Q:$Q,"&lt;="&amp;EOMONTH(J$1,0),Data!$G:$G,"AIA*",Data!$K:$K,"Trading")</f>
        <v/>
      </c>
      <c r="K5" s="942">
        <f>SUMIFS(Data!$S:$S,Data!$Q:$Q,"&gt;"&amp;K$1,Data!$Q:$Q,"&lt;="&amp;EOMONTH(K$1,0),Data!$G:$G,"AIA*",Data!$K:$K,"Trading")</f>
        <v/>
      </c>
      <c r="L5" s="942">
        <f>SUMIFS(Data!$S:$S,Data!$Q:$Q,"&gt;"&amp;L$1,Data!$Q:$Q,"&lt;="&amp;EOMONTH(L$1,0),Data!$G:$G,"AIA*",Data!$K:$K,"Trading")</f>
        <v/>
      </c>
      <c r="M5" s="942">
        <f>SUMIFS(Data!$S:$S,Data!$Q:$Q,"&gt;"&amp;M$1,Data!$Q:$Q,"&lt;="&amp;EOMONTH(M$1,0),Data!$G:$G,"AIA*",Data!$K:$K,"Trading")</f>
        <v/>
      </c>
      <c r="N5" s="942">
        <f>SUMIFS(Data!$S:$S,Data!$Q:$Q,"&gt;"&amp;N$1,Data!$Q:$Q,"&lt;="&amp;EOMONTH(N$1,0),Data!$G:$G,"AIA*",Data!$K:$K,"Trading")</f>
        <v/>
      </c>
      <c r="O5" s="943">
        <f>SUM(B5:N5)</f>
        <v/>
      </c>
      <c r="P5" s="944">
        <f>O4+O5</f>
        <v/>
      </c>
    </row>
    <row r="6">
      <c r="A6" t="inlineStr">
        <is>
          <t>CA Service</t>
        </is>
      </c>
      <c r="B6" s="327" t="n"/>
      <c r="C6" s="945">
        <f>SUMIFS(Data!$AD:$AD,Data!$AC:$AC,"&gt;"&amp;C$1,Data!$AC:$AC,"&lt;="&amp;EOMONTH(C$1,0),Data!$G:$G,"AIA*",Data!$K:$K,"&lt;&gt;"&amp;"Trading")</f>
        <v/>
      </c>
      <c r="D6" s="945">
        <f>SUMIFS(Data!$AD:$AD,Data!$AC:$AC,"&gt;"&amp;D$1,Data!$AC:$AC,"&lt;="&amp;EOMONTH(D$1,0),Data!$G:$G,"AIA*",Data!$K:$K,"&lt;&gt;"&amp;"Trading")</f>
        <v/>
      </c>
      <c r="E6" s="945">
        <f>SUMIFS(Data!$AD:$AD,Data!$AC:$AC,"&gt;"&amp;E$1,Data!$AC:$AC,"&lt;="&amp;EOMONTH(E$1,0),Data!$G:$G,"AIA*",Data!$K:$K,"&lt;&gt;"&amp;"Trading")</f>
        <v/>
      </c>
      <c r="F6" s="945">
        <f>SUMIFS(Data!$AD:$AD,Data!$AC:$AC,"&gt;"&amp;F$1,Data!$AC:$AC,"&lt;="&amp;EOMONTH(F$1,0),Data!$G:$G,"AIA*",Data!$K:$K,"&lt;&gt;"&amp;"Trading")</f>
        <v/>
      </c>
      <c r="G6" s="945">
        <f>SUMIFS(Data!$AD:$AD,Data!$AC:$AC,"&gt;"&amp;G$1,Data!$AC:$AC,"&lt;="&amp;EOMONTH(G$1,0),Data!$G:$G,"AIA*",Data!$K:$K,"&lt;&gt;"&amp;"Trading")</f>
        <v/>
      </c>
      <c r="H6" s="945">
        <f>SUMIFS(Data!$AD:$AD,Data!$AC:$AC,"&gt;"&amp;H$1,Data!$AC:$AC,"&lt;="&amp;EOMONTH(H$1,0),Data!$G:$G,"AIA*",Data!$K:$K,"&lt;&gt;"&amp;"Trading")</f>
        <v/>
      </c>
      <c r="I6" s="945">
        <f>SUMIFS(Data!$AD:$AD,Data!$AC:$AC,"&gt;"&amp;I$1,Data!$AC:$AC,"&lt;="&amp;EOMONTH(I$1,0),Data!$G:$G,"AIA*",Data!$K:$K,"&lt;&gt;"&amp;"Trading")</f>
        <v/>
      </c>
      <c r="J6" s="945">
        <f>SUMIFS(Data!$AD:$AD,Data!$AC:$AC,"&gt;"&amp;J$1,Data!$AC:$AC,"&lt;="&amp;EOMONTH(J$1,0),Data!$G:$G,"AIA*",Data!$K:$K,"&lt;&gt;"&amp;"Trading")</f>
        <v/>
      </c>
      <c r="K6" s="945">
        <f>SUMIFS(Data!$AD:$AD,Data!$AC:$AC,"&gt;"&amp;K$1,Data!$AC:$AC,"&lt;="&amp;EOMONTH(K$1,0),Data!$G:$G,"AIA*",Data!$K:$K,"&lt;&gt;"&amp;"Trading")</f>
        <v/>
      </c>
      <c r="L6" s="945">
        <f>SUMIFS(Data!$AD:$AD,Data!$AC:$AC,"&gt;"&amp;L$1,Data!$AC:$AC,"&lt;="&amp;EOMONTH(L$1,0),Data!$G:$G,"AIA*",Data!$K:$K,"&lt;&gt;"&amp;"Trading")</f>
        <v/>
      </c>
      <c r="M6" s="945">
        <f>SUMIFS(Data!$AD:$AD,Data!$AC:$AC,"&gt;"&amp;M$1,Data!$AC:$AC,"&lt;="&amp;EOMONTH(M$1,0),Data!$G:$G,"AIA*",Data!$K:$K,"&lt;&gt;"&amp;"Trading")</f>
        <v/>
      </c>
      <c r="N6" s="945">
        <f>SUMIFS(Data!$AD:$AD,Data!$AC:$AC,"&gt;"&amp;N$1,Data!$AC:$AC,"&lt;="&amp;EOMONTH(N$1,0),Data!$G:$G,"AIA*",Data!$K:$K,"&lt;&gt;"&amp;"Trading")</f>
        <v/>
      </c>
      <c r="O6" s="946">
        <f>SUM(C6:N6)</f>
        <v/>
      </c>
    </row>
    <row r="7">
      <c r="A7" s="696" t="inlineStr">
        <is>
          <t>CA GSE</t>
        </is>
      </c>
      <c r="B7" s="165" t="n"/>
      <c r="C7" s="947">
        <f>SUMIFS(Data!$AD:$AD,Data!$AC:$AC,"&gt;"&amp;C$1,Data!$AC:$AC,"&lt;="&amp;EOMONTH(C$1,0),Data!$G:$G,"AIA*",Data!$K:$K,"Trading")</f>
        <v/>
      </c>
      <c r="D7" s="948">
        <f>SUMIFS(Data!$AD:$AD,Data!$AC:$AC,"&gt;"&amp;D$1,Data!$AC:$AC,"&lt;="&amp;EOMONTH(D$1,0),Data!$G:$G,"AIA*",Data!$K:$K,"Trading")</f>
        <v/>
      </c>
      <c r="E7" s="948">
        <f>SUMIFS(Data!$AD:$AD,Data!$AC:$AC,"&gt;"&amp;E$1,Data!$AC:$AC,"&lt;="&amp;EOMONTH(E$1,0),Data!$G:$G,"AIA*",Data!$K:$K,"Trading")</f>
        <v/>
      </c>
      <c r="F7" s="947">
        <f>SUMIFS(Data!$AD:$AD,Data!$AC:$AC,"&gt;"&amp;F$1,Data!$AC:$AC,"&lt;="&amp;EOMONTH(F$1,0),Data!$G:$G,"AIA*",Data!$K:$K,"Trading")</f>
        <v/>
      </c>
      <c r="G7" s="947">
        <f>SUMIFS(Data!$AD:$AD,Data!$AC:$AC,"&gt;"&amp;G$1,Data!$AC:$AC,"&lt;="&amp;EOMONTH(G$1,0),Data!$G:$G,"AIA*",Data!$K:$K,"Trading")</f>
        <v/>
      </c>
      <c r="H7" s="947">
        <f>SUMIFS(Data!$AD:$AD,Data!$AC:$AC,"&gt;"&amp;H$1,Data!$AC:$AC,"&lt;="&amp;EOMONTH(H$1,0),Data!$G:$G,"AIA*",Data!$K:$K,"Trading")</f>
        <v/>
      </c>
      <c r="I7" s="947">
        <f>SUMIFS(Data!$AD:$AD,Data!$AC:$AC,"&gt;"&amp;I$1,Data!$AC:$AC,"&lt;="&amp;EOMONTH(I$1,0),Data!$G:$G,"AIA*",Data!$K:$K,"Trading")</f>
        <v/>
      </c>
      <c r="J7" s="947">
        <f>SUMIFS(Data!$AD:$AD,Data!$AC:$AC,"&gt;"&amp;J$1,Data!$AC:$AC,"&lt;="&amp;EOMONTH(J$1,0),Data!$G:$G,"AIA*",Data!$K:$K,"Trading")</f>
        <v/>
      </c>
      <c r="K7" s="947">
        <f>SUMIFS(Data!$AD:$AD,Data!$AC:$AC,"&gt;"&amp;K$1,Data!$AC:$AC,"&lt;="&amp;EOMONTH(K$1,0),Data!$G:$G,"AIA*")</f>
        <v/>
      </c>
      <c r="L7" s="947">
        <f>SUMIFS(Data!$AD:$AD,Data!$AC:$AC,"&gt;"&amp;L$1,Data!$AC:$AC,"&lt;="&amp;EOMONTH(L$1,0),Data!$G:$G,"AIA*",Data!$K:$K,"Trading")</f>
        <v/>
      </c>
      <c r="M7" s="947">
        <f>SUMIFS(Data!$AD:$AD,Data!$AC:$AC,"&gt;"&amp;M$1,Data!$AC:$AC,"&lt;="&amp;EOMONTH(M$1,0),Data!$G:$G,"AIA*",Data!$K:$K,"Trading")</f>
        <v/>
      </c>
      <c r="N7" s="947">
        <f>SUMIFS(Data!$AD:$AD,Data!$AC:$AC,"&gt;"&amp;N$1,Data!$AC:$AC,"&lt;="&amp;EOMONTH(N$1,0),Data!$G:$G,"AIA*",Data!$K:$K,"Trading")</f>
        <v/>
      </c>
      <c r="O7" s="949">
        <f>SUM(C7:N7)</f>
        <v/>
      </c>
      <c r="P7" s="950">
        <f>O6+O7</f>
        <v/>
      </c>
    </row>
    <row r="8">
      <c r="A8" t="inlineStr">
        <is>
          <t>Backlog 2021</t>
        </is>
      </c>
      <c r="B8" s="709">
        <f>P5-P7</f>
        <v/>
      </c>
      <c r="C8" s="166" t="n"/>
      <c r="O8" s="951" t="n"/>
    </row>
    <row r="9">
      <c r="B9" s="774" t="n"/>
    </row>
    <row r="10">
      <c r="P10" s="774" t="n"/>
    </row>
    <row r="14">
      <c r="J14" s="758" t="n"/>
    </row>
    <row r="19">
      <c r="B19" s="163" t="n"/>
    </row>
    <row r="23">
      <c r="R23" s="774" t="n"/>
    </row>
    <row r="31">
      <c r="R31" s="774" t="n"/>
    </row>
    <row r="32">
      <c r="S32" s="774" t="n"/>
    </row>
    <row r="36">
      <c r="R36" s="774" t="n"/>
    </row>
  </sheetData>
  <conditionalFormatting sqref="C1:N1">
    <cfRule type="expression" priority="1" dxfId="70">
      <formula>MONTH(C1)&lt;=MONTH(TODAY())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B1:P4"/>
  <sheetViews>
    <sheetView workbookViewId="0">
      <selection activeCell="C2" sqref="C2"/>
    </sheetView>
  </sheetViews>
  <sheetFormatPr baseColWidth="10" defaultColWidth="8.88671875" defaultRowHeight="14.4"/>
  <cols>
    <col width="6.109375" bestFit="1" customWidth="1" style="701" min="2" max="2"/>
    <col width="10.109375" bestFit="1" customWidth="1" style="701" min="3" max="5"/>
    <col width="9.109375" bestFit="1" customWidth="1" style="701" min="6" max="8"/>
    <col width="10.109375" bestFit="1" customWidth="1" style="701" min="9" max="9"/>
    <col width="11.88671875" bestFit="1" customWidth="1" style="701" min="10" max="10"/>
    <col width="9.109375" bestFit="1" customWidth="1" style="701" min="11" max="11"/>
    <col width="10.109375" bestFit="1" customWidth="1" style="701" min="12" max="12"/>
    <col width="9.109375" bestFit="1" customWidth="1" style="701" min="13" max="13"/>
    <col width="10.109375" bestFit="1" customWidth="1" style="701" min="14" max="14"/>
    <col width="11.88671875" bestFit="1" customWidth="1" style="701" min="15" max="15"/>
  </cols>
  <sheetData>
    <row r="1">
      <c r="B1" s="696" t="n"/>
      <c r="C1" s="952" t="n">
        <v>43466</v>
      </c>
      <c r="D1" s="953" t="n">
        <v>43497</v>
      </c>
      <c r="E1" s="953" t="n">
        <v>43525</v>
      </c>
      <c r="F1" s="953" t="n">
        <v>43556</v>
      </c>
      <c r="G1" s="953" t="n">
        <v>43586</v>
      </c>
      <c r="H1" s="953" t="n">
        <v>43617</v>
      </c>
      <c r="I1" s="953" t="n">
        <v>43647</v>
      </c>
      <c r="J1" s="953" t="n">
        <v>43678</v>
      </c>
      <c r="K1" s="953" t="n">
        <v>43709</v>
      </c>
      <c r="L1" s="953" t="n">
        <v>43739</v>
      </c>
      <c r="M1" s="953" t="n">
        <v>43770</v>
      </c>
      <c r="N1" s="953" t="n">
        <v>43800</v>
      </c>
      <c r="O1" s="167" t="inlineStr">
        <is>
          <t>Total</t>
        </is>
      </c>
    </row>
    <row r="2">
      <c r="B2" t="inlineStr">
        <is>
          <t>Cmde</t>
        </is>
      </c>
      <c r="C2" s="954">
        <f>'Monthly Data'!C3+AIA!C4+AIA!C5</f>
        <v/>
      </c>
      <c r="D2" s="954">
        <f>'Monthly Data'!D3+AIA!D4+AIA!D5</f>
        <v/>
      </c>
      <c r="E2" s="954">
        <f>'Monthly Data'!E3+AIA!E4+AIA!E5</f>
        <v/>
      </c>
      <c r="F2" s="954">
        <f>'Monthly Data'!F3+AIA!F4+AIA!F5</f>
        <v/>
      </c>
      <c r="G2" s="954">
        <f>'Monthly Data'!G3+AIA!G4+AIA!G5</f>
        <v/>
      </c>
      <c r="H2" s="954">
        <f>'Monthly Data'!H3+AIA!H4+AIA!H5</f>
        <v/>
      </c>
      <c r="I2" s="954">
        <f>'Monthly Data'!I3+AIA!I4+AIA!I5</f>
        <v/>
      </c>
      <c r="J2" s="954">
        <f>'Monthly Data'!J3+AIA!J4+AIA!J5</f>
        <v/>
      </c>
      <c r="K2" s="954">
        <f>'Monthly Data'!K3+AIA!K4+AIA!K5</f>
        <v/>
      </c>
      <c r="L2" s="954">
        <f>'Monthly Data'!L3+AIA!L4+AIA!L5</f>
        <v/>
      </c>
      <c r="M2" s="954">
        <f>'Monthly Data'!M3+AIA!M4+AIA!M5</f>
        <v/>
      </c>
      <c r="N2" s="954">
        <f>'Monthly Data'!N3+AIA!N4+AIA!N5</f>
        <v/>
      </c>
      <c r="O2" s="951">
        <f>SUM(C2:N2)</f>
        <v/>
      </c>
    </row>
    <row r="3">
      <c r="B3" s="696" t="inlineStr">
        <is>
          <t>CA</t>
        </is>
      </c>
      <c r="C3" s="938">
        <f>'Monthly Data'!C4+AIA!C6+AIA!C7</f>
        <v/>
      </c>
      <c r="D3" s="938">
        <f>'Monthly Data'!D4+AIA!D6</f>
        <v/>
      </c>
      <c r="E3" s="938">
        <f>'Monthly Data'!E4+AIA!E6+AIA!E7</f>
        <v/>
      </c>
      <c r="F3" s="938">
        <f>'Monthly Data'!F4+AIA!F6+AIA!F7</f>
        <v/>
      </c>
      <c r="G3" s="938">
        <f>'Monthly Data'!G4+AIA!G6+AIA!G7</f>
        <v/>
      </c>
      <c r="H3" s="938">
        <f>'Monthly Data'!H4+AIA!H6+AIA!H7</f>
        <v/>
      </c>
      <c r="I3" s="938">
        <f>'Monthly Data'!I4+AIA!I6+AIA!I7</f>
        <v/>
      </c>
      <c r="J3" s="938">
        <f>'Monthly Data'!J4+AIA!J6+AIA!J7</f>
        <v/>
      </c>
      <c r="K3" s="938">
        <f>'Monthly Data'!K4+AIA!K6+AIA!K7</f>
        <v/>
      </c>
      <c r="L3" s="938">
        <f>'Monthly Data'!L4+AIA!L6+AIA!L7</f>
        <v/>
      </c>
      <c r="M3" s="938">
        <f>'Monthly Data'!M4+AIA!M6+AIA!M7</f>
        <v/>
      </c>
      <c r="N3" s="938">
        <f>'Monthly Data'!N4+AIA!N6+AIA!N7</f>
        <v/>
      </c>
      <c r="O3" s="955">
        <f>SUM(C3:N3)</f>
        <v/>
      </c>
      <c r="P3" t="n"/>
    </row>
    <row r="4">
      <c r="O4" s="817" t="n"/>
    </row>
  </sheetData>
  <conditionalFormatting sqref="C1:N1">
    <cfRule type="expression" priority="1" dxfId="387">
      <formula>MONTH(C1)=MONTH(TODAY())</formula>
    </cfRule>
  </conditionalFormatting>
  <pageMargins left="0.7" right="0.7" top="0.75" bottom="0.75" header="0.3" footer="0.3"/>
  <pageSetup orientation="portrait"/>
  <legacyDrawing r:id="anysvml"/>
</worksheet>
</file>

<file path=xl/worksheets/sheet11.xml><?xml version="1.0" encoding="utf-8"?>
<worksheet xmlns="http://schemas.openxmlformats.org/spreadsheetml/2006/main">
  <sheetPr codeName="Sheet9">
    <tabColor rgb="FF0070C0"/>
    <outlinePr summaryBelow="1" summaryRight="1"/>
    <pageSetUpPr/>
  </sheetPr>
  <dimension ref="B1:I15"/>
  <sheetViews>
    <sheetView workbookViewId="0">
      <selection activeCell="B1" sqref="B1"/>
    </sheetView>
  </sheetViews>
  <sheetFormatPr baseColWidth="10" defaultColWidth="8.88671875" defaultRowHeight="14.4"/>
  <cols>
    <col width="17.88671875" customWidth="1" style="701" min="1" max="1"/>
    <col width="20.109375" customWidth="1" style="701" min="2" max="2"/>
    <col width="12" bestFit="1" customWidth="1" style="701" min="3" max="3"/>
    <col width="14.109375" customWidth="1" style="701" min="4" max="6"/>
    <col width="17.109375" customWidth="1" style="701" min="7" max="7"/>
    <col width="12" bestFit="1" customWidth="1" style="701" min="8" max="8"/>
    <col width="13.5546875" customWidth="1" style="701" min="9" max="9"/>
    <col width="3.88671875" customWidth="1" style="701" min="10" max="10"/>
  </cols>
  <sheetData>
    <row r="1" ht="15.75" customHeight="1" s="701" thickBot="1">
      <c r="B1" t="inlineStr">
        <is>
          <t>Planung Thomas Rupp 30/01/2020</t>
        </is>
      </c>
    </row>
    <row r="2" ht="15.75" customHeight="1" s="701" thickBot="1">
      <c r="B2" s="174" t="n">
        <v>2020</v>
      </c>
      <c r="C2" s="175" t="inlineStr">
        <is>
          <t>AIA</t>
        </is>
      </c>
      <c r="D2" s="175" t="inlineStr">
        <is>
          <t>FCP</t>
        </is>
      </c>
      <c r="E2" s="175" t="inlineStr">
        <is>
          <t>Service</t>
        </is>
      </c>
      <c r="F2" s="175" t="inlineStr">
        <is>
          <t>Trading</t>
        </is>
      </c>
      <c r="G2" s="175" t="inlineStr">
        <is>
          <t>GSE IC</t>
        </is>
      </c>
      <c r="H2" s="175" t="inlineStr">
        <is>
          <t>Overhead</t>
        </is>
      </c>
      <c r="I2" s="180" t="inlineStr">
        <is>
          <t>Total</t>
        </is>
      </c>
    </row>
    <row r="3" ht="15.75" customHeight="1" s="701" thickBot="1">
      <c r="B3" s="176" t="inlineStr">
        <is>
          <t>Order Intake</t>
        </is>
      </c>
      <c r="C3" s="956" t="n">
        <v>0</v>
      </c>
      <c r="D3" s="956" t="n">
        <v>80000</v>
      </c>
      <c r="E3" s="956" t="n">
        <v>345000</v>
      </c>
      <c r="F3" s="956" t="n">
        <v>120000</v>
      </c>
      <c r="G3" s="956" t="n">
        <v>484760</v>
      </c>
      <c r="H3" s="956" t="n"/>
      <c r="I3" s="957">
        <f>SUM(C3:H3)</f>
        <v/>
      </c>
    </row>
    <row r="4">
      <c r="B4" s="177" t="inlineStr">
        <is>
          <t>New Revenue 2020</t>
        </is>
      </c>
      <c r="C4" s="958" t="n">
        <v>0</v>
      </c>
      <c r="D4" s="958" t="n">
        <v>60000</v>
      </c>
      <c r="E4" s="958" t="n">
        <v>300000</v>
      </c>
      <c r="F4" s="958" t="n">
        <v>120000</v>
      </c>
      <c r="G4" s="958" t="n"/>
      <c r="H4" s="958" t="n"/>
      <c r="I4" s="959">
        <f>SUM(C4:H4)</f>
        <v/>
      </c>
    </row>
    <row r="5" ht="15.75" customHeight="1" s="701" thickBot="1">
      <c r="B5" s="178" t="inlineStr">
        <is>
          <t>Backlog 2019</t>
        </is>
      </c>
      <c r="C5" s="960" t="n">
        <v>999890</v>
      </c>
      <c r="D5" s="960" t="n">
        <v>30253</v>
      </c>
      <c r="E5" s="960" t="n">
        <v>9411</v>
      </c>
      <c r="F5" s="960" t="n">
        <v>0</v>
      </c>
      <c r="G5" s="960" t="n"/>
      <c r="H5" s="960" t="n"/>
      <c r="I5" s="961">
        <f>SUM(C5:H5)</f>
        <v/>
      </c>
    </row>
    <row r="6" ht="15.75" customHeight="1" s="701" thickBot="1">
      <c r="B6" s="179" t="inlineStr">
        <is>
          <t>Costs</t>
        </is>
      </c>
      <c r="C6" s="962" t="n">
        <v>860721</v>
      </c>
      <c r="D6" s="962">
        <f>(D4+D5)*0.8</f>
        <v/>
      </c>
      <c r="E6" s="962">
        <f>(E4+E5)*0.7</f>
        <v/>
      </c>
      <c r="F6" s="962">
        <f>(F4+F5)*0.65</f>
        <v/>
      </c>
      <c r="G6" s="962" t="n"/>
      <c r="H6" s="962">
        <f>-H7</f>
        <v/>
      </c>
      <c r="I6" s="959">
        <f>SUM(C6:H6)</f>
        <v/>
      </c>
    </row>
    <row r="7" ht="15.75" customHeight="1" s="701" thickBot="1">
      <c r="B7" s="176" t="inlineStr">
        <is>
          <t>Gross Margin</t>
        </is>
      </c>
      <c r="C7" s="956">
        <f>C5+C4-C6</f>
        <v/>
      </c>
      <c r="D7" s="956">
        <f>D5+D4-D6</f>
        <v/>
      </c>
      <c r="E7" s="956">
        <f>E5+E4-E6</f>
        <v/>
      </c>
      <c r="F7" s="956">
        <f>F5+F4-F6</f>
        <v/>
      </c>
      <c r="G7" s="956">
        <f>G3</f>
        <v/>
      </c>
      <c r="H7" s="963">
        <f>Reporting!O20</f>
        <v/>
      </c>
      <c r="I7" s="964">
        <f>SUM(C7:H7)</f>
        <v/>
      </c>
    </row>
    <row r="8">
      <c r="B8" s="31" t="n"/>
      <c r="C8" s="759" t="n"/>
    </row>
    <row r="10">
      <c r="B10" s="31" t="n"/>
      <c r="C10" s="759" t="n"/>
    </row>
    <row r="12">
      <c r="B12" s="31" t="n"/>
      <c r="C12" s="759" t="n"/>
    </row>
    <row r="14">
      <c r="C14" s="759" t="n"/>
      <c r="D14" s="759" t="n"/>
      <c r="E14" s="759" t="n"/>
      <c r="F14" s="759" t="n"/>
      <c r="G14" s="759" t="n"/>
      <c r="H14" s="759" t="n"/>
      <c r="I14" s="759" t="n"/>
    </row>
    <row r="15">
      <c r="G15" s="759" t="n"/>
    </row>
  </sheetData>
  <pageMargins left="0.7" right="0.7" top="0.75" bottom="0.75" header="0.3" footer="0.3"/>
  <pageSetup orientation="portrait"/>
</worksheet>
</file>

<file path=xl/worksheets/sheet12.xml><?xml version="1.0" encoding="utf-8"?>
<worksheet xmlns:r="http://schemas.openxmlformats.org/officeDocument/2006/relationships" xmlns="http://schemas.openxmlformats.org/spreadsheetml/2006/main">
  <sheetPr codeName="Sheet10">
    <outlinePr summaryBelow="1" summaryRight="1"/>
    <pageSetUpPr fitToPage="1"/>
  </sheetPr>
  <dimension ref="A1:BB145"/>
  <sheetViews>
    <sheetView topLeftCell="A10" zoomScale="93" zoomScaleNormal="93" workbookViewId="0">
      <pane xSplit="2" topLeftCell="C1" activePane="topRight" state="frozenSplit"/>
      <selection activeCell="A40" sqref="A40"/>
      <selection pane="topRight" activeCell="A51" sqref="A51"/>
    </sheetView>
  </sheetViews>
  <sheetFormatPr baseColWidth="10" defaultColWidth="9.109375" defaultRowHeight="14.4"/>
  <cols>
    <col width="28.44140625" bestFit="1" customWidth="1" style="701" min="1" max="1"/>
    <col width="16.88671875" bestFit="1" customWidth="1" style="700" min="2" max="2"/>
    <col width="9.44140625" bestFit="1" customWidth="1" style="701" min="3" max="3"/>
    <col width="12.5546875" bestFit="1" customWidth="1" style="701" min="4" max="4"/>
    <col width="12.109375" customWidth="1" style="701" min="5" max="5"/>
    <col width="12.5546875" bestFit="1" customWidth="1" style="701" min="6" max="6"/>
    <col width="13.109375" bestFit="1" customWidth="1" style="701" min="7" max="7"/>
    <col width="16.88671875" bestFit="1" customWidth="1" style="701" min="8" max="8"/>
    <col width="12.5546875" bestFit="1" customWidth="1" style="701" min="9" max="9"/>
    <col width="12.88671875" bestFit="1" customWidth="1" style="701" min="10" max="15"/>
    <col width="13.88671875" bestFit="1" customWidth="1" style="701" min="16" max="16"/>
    <col width="12.88671875" bestFit="1" customWidth="1" style="701" min="17" max="17"/>
    <col width="14" customWidth="1" style="701" min="18" max="18"/>
    <col width="12.88671875" bestFit="1" customWidth="1" style="701" min="19" max="19"/>
    <col width="13.109375" customWidth="1" style="701" min="20" max="20"/>
    <col width="13.44140625" bestFit="1" customWidth="1" style="701" min="21" max="22"/>
    <col width="12" customWidth="1" style="701" min="23" max="29"/>
    <col width="12.5546875" bestFit="1" customWidth="1" style="701" min="30" max="31"/>
    <col width="13.88671875" bestFit="1" customWidth="1" style="701" min="32" max="32"/>
    <col width="12.5546875" bestFit="1" customWidth="1" style="701" min="33" max="33"/>
    <col width="12.109375" bestFit="1" customWidth="1" style="701" min="34" max="34"/>
    <col width="12.5546875" bestFit="1" customWidth="1" style="701" min="35" max="35"/>
    <col width="14" customWidth="1" style="701" min="36" max="36"/>
    <col width="13.88671875" bestFit="1" customWidth="1" style="701" min="37" max="37"/>
    <col width="12" bestFit="1" customWidth="1" style="701" min="38" max="38"/>
    <col width="12.5546875" bestFit="1" customWidth="1" style="701" min="39" max="39"/>
    <col width="12.88671875" bestFit="1" customWidth="1" style="701" min="40" max="40"/>
    <col width="12" bestFit="1" customWidth="1" style="701" min="41" max="41"/>
    <col width="13.5546875" bestFit="1" customWidth="1" style="701" min="42" max="42"/>
    <col width="12.88671875" bestFit="1" customWidth="1" style="701" min="43" max="43"/>
    <col width="12.44140625" customWidth="1" style="701" min="44" max="44"/>
    <col width="13.5546875" bestFit="1" customWidth="1" style="701" min="45" max="46"/>
    <col width="12.88671875" bestFit="1" customWidth="1" style="701" min="47" max="47"/>
    <col width="11.88671875" bestFit="1" customWidth="1" style="701" min="48" max="48"/>
    <col width="12.109375" bestFit="1" customWidth="1" style="701" min="49" max="49"/>
    <col width="12" bestFit="1" customWidth="1" style="701" min="50" max="54"/>
  </cols>
  <sheetData>
    <row r="1">
      <c r="A1" s="160" t="inlineStr">
        <is>
          <t>DAILY TRACKING</t>
        </is>
      </c>
    </row>
    <row r="3" ht="15.75" customFormat="1" customHeight="1" s="80">
      <c r="A3" s="80" t="inlineStr">
        <is>
          <t>Total</t>
        </is>
      </c>
      <c r="B3" s="79" t="inlineStr">
        <is>
          <t>FCP</t>
        </is>
      </c>
      <c r="C3" s="80" t="inlineStr">
        <is>
          <t>S01</t>
        </is>
      </c>
      <c r="D3" s="80" t="inlineStr">
        <is>
          <t>S02</t>
        </is>
      </c>
      <c r="E3" s="80" t="inlineStr">
        <is>
          <t>S03</t>
        </is>
      </c>
      <c r="F3" s="63" t="inlineStr">
        <is>
          <t>S04</t>
        </is>
      </c>
      <c r="G3" s="63" t="inlineStr">
        <is>
          <t>S05</t>
        </is>
      </c>
      <c r="H3" s="63" t="inlineStr">
        <is>
          <t>S06</t>
        </is>
      </c>
      <c r="I3" s="80" t="inlineStr">
        <is>
          <t>S07</t>
        </is>
      </c>
      <c r="J3" s="63" t="inlineStr">
        <is>
          <t>S08</t>
        </is>
      </c>
      <c r="K3" s="80" t="inlineStr">
        <is>
          <t>S09</t>
        </is>
      </c>
      <c r="L3" s="63" t="inlineStr">
        <is>
          <t>S10</t>
        </is>
      </c>
      <c r="M3" s="63" t="inlineStr">
        <is>
          <t>S11</t>
        </is>
      </c>
      <c r="N3" s="63" t="inlineStr">
        <is>
          <t>S12</t>
        </is>
      </c>
      <c r="O3" s="63" t="inlineStr">
        <is>
          <t>S13</t>
        </is>
      </c>
      <c r="P3" s="63" t="inlineStr">
        <is>
          <t>S14</t>
        </is>
      </c>
      <c r="Q3" s="63" t="inlineStr">
        <is>
          <t>S15</t>
        </is>
      </c>
      <c r="R3" s="63" t="inlineStr">
        <is>
          <t>S16</t>
        </is>
      </c>
      <c r="S3" s="64" t="inlineStr">
        <is>
          <t>S17</t>
        </is>
      </c>
      <c r="T3" s="63" t="inlineStr">
        <is>
          <t>S18</t>
        </is>
      </c>
      <c r="U3" s="63" t="inlineStr">
        <is>
          <t>S19</t>
        </is>
      </c>
      <c r="V3" s="63" t="inlineStr">
        <is>
          <t>S20</t>
        </is>
      </c>
      <c r="W3" s="63" t="inlineStr">
        <is>
          <t>S21</t>
        </is>
      </c>
      <c r="X3" s="63" t="inlineStr">
        <is>
          <t>S22</t>
        </is>
      </c>
      <c r="Y3" s="63" t="inlineStr">
        <is>
          <t>S23</t>
        </is>
      </c>
      <c r="Z3" s="63" t="inlineStr">
        <is>
          <t>S24</t>
        </is>
      </c>
      <c r="AA3" s="63" t="inlineStr">
        <is>
          <t>S25</t>
        </is>
      </c>
      <c r="AB3" s="63" t="inlineStr">
        <is>
          <t>S26</t>
        </is>
      </c>
      <c r="AC3" s="63" t="inlineStr">
        <is>
          <t>S27</t>
        </is>
      </c>
      <c r="AD3" s="65" t="inlineStr">
        <is>
          <t>S28</t>
        </is>
      </c>
      <c r="AE3" s="63" t="inlineStr">
        <is>
          <t>S29</t>
        </is>
      </c>
      <c r="AF3" s="63" t="inlineStr">
        <is>
          <t>S30</t>
        </is>
      </c>
      <c r="AG3" s="63" t="inlineStr">
        <is>
          <t>S31</t>
        </is>
      </c>
      <c r="AH3" s="63" t="inlineStr">
        <is>
          <t>S32</t>
        </is>
      </c>
      <c r="AI3" s="89" t="inlineStr">
        <is>
          <t>S33</t>
        </is>
      </c>
      <c r="AJ3" s="63" t="inlineStr">
        <is>
          <t>S34</t>
        </is>
      </c>
      <c r="AK3" s="63" t="inlineStr">
        <is>
          <t>S35</t>
        </is>
      </c>
      <c r="AL3" s="63" t="inlineStr">
        <is>
          <t>S36</t>
        </is>
      </c>
      <c r="AM3" s="63" t="inlineStr">
        <is>
          <t>S37</t>
        </is>
      </c>
      <c r="AN3" s="63" t="inlineStr">
        <is>
          <t>S38</t>
        </is>
      </c>
      <c r="AO3" s="63" t="inlineStr">
        <is>
          <t>S39</t>
        </is>
      </c>
      <c r="AP3" s="63" t="inlineStr">
        <is>
          <t>S40</t>
        </is>
      </c>
      <c r="AQ3" s="63" t="inlineStr">
        <is>
          <t>S41</t>
        </is>
      </c>
      <c r="AR3" s="63" t="inlineStr">
        <is>
          <t>S42</t>
        </is>
      </c>
      <c r="AS3" s="63" t="inlineStr">
        <is>
          <t>S43</t>
        </is>
      </c>
      <c r="AT3" s="63" t="inlineStr">
        <is>
          <t>S44</t>
        </is>
      </c>
      <c r="AU3" s="63" t="inlineStr">
        <is>
          <t>S45</t>
        </is>
      </c>
      <c r="AV3" s="63" t="inlineStr">
        <is>
          <t>S46</t>
        </is>
      </c>
      <c r="AW3" s="63" t="inlineStr">
        <is>
          <t>S47</t>
        </is>
      </c>
      <c r="AX3" s="63" t="inlineStr">
        <is>
          <t>S48</t>
        </is>
      </c>
      <c r="AY3" s="63" t="inlineStr">
        <is>
          <t>S49</t>
        </is>
      </c>
      <c r="AZ3" s="63" t="inlineStr">
        <is>
          <t>S50</t>
        </is>
      </c>
      <c r="BA3" s="63" t="inlineStr">
        <is>
          <t>S51</t>
        </is>
      </c>
      <c r="BB3" s="63" t="inlineStr">
        <is>
          <t>S52</t>
        </is>
      </c>
    </row>
    <row r="4" ht="15.75" customFormat="1" customHeight="1" s="965">
      <c r="A4" s="965">
        <f>SUM(C4:BB4)</f>
        <v/>
      </c>
      <c r="B4" s="966" t="inlineStr">
        <is>
          <t>Devis</t>
        </is>
      </c>
      <c r="C4" s="965">
        <f>SUMIF(Data!$C12:$C511,C3,Data!$I12:$I511)</f>
        <v/>
      </c>
      <c r="D4" s="965">
        <f>SUMIF(Data!$C12:$C511,D3,Data!$I12:$I511)</f>
        <v/>
      </c>
      <c r="E4" s="965">
        <f>SUMIF(Data!$C12:$C511,E3,Data!$I12:$I511)</f>
        <v/>
      </c>
      <c r="F4" s="965">
        <f>SUMIF(Data!$C12:$C511,F3,Data!$I12:$I511)</f>
        <v/>
      </c>
      <c r="G4" s="965">
        <f>SUMIF(Data!$C12:$C511,G3,Data!$I12:$I511)</f>
        <v/>
      </c>
      <c r="H4" s="965">
        <f>SUMIF(Data!$C12:$C511,H3,Data!$I12:$I511)</f>
        <v/>
      </c>
      <c r="I4" s="965">
        <f>SUMIF(Data!$C12:$C511,I3,Data!$I12:$I511)</f>
        <v/>
      </c>
      <c r="J4" s="965">
        <f>SUMIF(Data!$C12:$C511,J3,Data!$I12:$I511)</f>
        <v/>
      </c>
      <c r="K4" s="965">
        <f>SUMIF(Data!$C12:$C511,K3,Data!$I12:$I511)</f>
        <v/>
      </c>
      <c r="L4" s="965">
        <f>SUMIF(Data!$C12:$C511,L3,Data!$I12:$I511)</f>
        <v/>
      </c>
      <c r="M4" s="965">
        <f>SUMIF(Data!$C12:$C511,M3,Data!$I12:$I511)</f>
        <v/>
      </c>
      <c r="N4" s="965">
        <f>SUMIF(Data!$C12:$C511,N3,Data!$I12:$I511)</f>
        <v/>
      </c>
      <c r="O4" s="965">
        <f>SUMIF(Data!$C12:$C511,O3,Data!$I12:$I511)</f>
        <v/>
      </c>
      <c r="P4" s="965">
        <f>SUMIF(Data!$C12:$C511,P3,Data!$I12:$I511)</f>
        <v/>
      </c>
      <c r="Q4" s="965">
        <f>SUMIF(Data!$C12:$C511,Q3,Data!$I12:$I511)</f>
        <v/>
      </c>
      <c r="R4" s="967">
        <f>SUMIF(Data!$C12:$C511,R3,Data!$I12:$I511)</f>
        <v/>
      </c>
      <c r="S4" s="967">
        <f>SUMIF(Data!$C12:$C511,S3,Data!$I12:$I511)</f>
        <v/>
      </c>
      <c r="T4" s="968">
        <f>SUMIF(Data!$C12:$C1021,T3,Data!$I12:$I1021)</f>
        <v/>
      </c>
      <c r="U4" s="968">
        <f>SUMIF(Data!$C12:$C1021,U3,Data!$I12:$I1021)</f>
        <v/>
      </c>
      <c r="V4" s="968">
        <f>SUMIF(Data!$C12:$C1021,V3,Data!$I12:$I1021)</f>
        <v/>
      </c>
      <c r="W4" s="968">
        <f>SUMIF(Data!$C12:$C1021,W3,Data!$I12:$I1021)</f>
        <v/>
      </c>
      <c r="X4" s="968">
        <f>SUMIF(Data!$C12:$C1021,X3,Data!$I12:$I1021)</f>
        <v/>
      </c>
      <c r="Y4" s="968">
        <f>SUMIF(Data!$C12:$C1021,Y3,Data!$I12:$I1021)</f>
        <v/>
      </c>
      <c r="Z4" s="968">
        <f>SUMIF(Data!$C12:$C1021,Z3,Data!$I12:$I1021)</f>
        <v/>
      </c>
      <c r="AA4" s="968">
        <f>SUMIF(Data!$C12:$C1021,AA3,Data!$I12:$I1021)</f>
        <v/>
      </c>
      <c r="AB4" s="968">
        <f>SUMIF(Data!$C12:$C1021,AB3,Data!$I12:$I1021)</f>
        <v/>
      </c>
      <c r="AC4" s="968">
        <f>SUMIF(Data!$C12:$C1021,AC3,Data!$I12:$I1021)</f>
        <v/>
      </c>
      <c r="AD4" s="968">
        <f>SUMIF(Data!$C12:$C1021,AD3,Data!$I12:$I1021)</f>
        <v/>
      </c>
      <c r="AE4" s="969">
        <f>SUMIF(Data!$C12:$C511,AE3,Data!$I12:$I511)</f>
        <v/>
      </c>
      <c r="AF4" s="970">
        <f>SUMIF(Data!$C12:$C511,AF3,Data!$I12:$I511)</f>
        <v/>
      </c>
      <c r="AG4" s="970">
        <f>SUMIF(Data!$C12:$C511,AG3,Data!$I12:$I511)</f>
        <v/>
      </c>
      <c r="AH4" s="970">
        <f>SUMIF(Data!$C12:$C511,AH3,Data!$I12:$I511)</f>
        <v/>
      </c>
      <c r="AI4" s="971">
        <f>SUMIF(Data!$C12:$C511,AI3,Data!$I12:$I511)</f>
        <v/>
      </c>
      <c r="AJ4" s="972">
        <f>SUMIF(Data!$C12:$C511,AJ3,Data!$I12:$I511)</f>
        <v/>
      </c>
      <c r="AK4" s="972">
        <f>SUMIF(Data!$C12:$C511,AK3,Data!$I12:$I511)</f>
        <v/>
      </c>
      <c r="AL4" s="972">
        <f>SUMIF(Data!$C12:$C511,AL3,Data!$I12:$I511)</f>
        <v/>
      </c>
      <c r="AM4" s="972">
        <f>SUMIF(Data!$C12:$C511,AM3,Data!$I12:$I511)</f>
        <v/>
      </c>
      <c r="AN4" s="972">
        <f>SUMIF(Data!$C12:$C511,AN3,Data!$I12:$I511)</f>
        <v/>
      </c>
      <c r="AO4" s="972">
        <f>SUMIF(Data!$C12:$C511,AO3,Data!$I12:$I511)</f>
        <v/>
      </c>
      <c r="AP4" s="972">
        <f>SUMIF(Data!$C12:$C511,AP3,Data!$I12:$I511)</f>
        <v/>
      </c>
      <c r="AQ4" s="972">
        <f>SUMIF(Data!$C12:$C511,AQ3,Data!$I12:$I511)</f>
        <v/>
      </c>
      <c r="AR4" s="972">
        <f>SUMIF(Data!$C12:$C511,AR3,Data!$I12:$I511)</f>
        <v/>
      </c>
      <c r="AS4" s="972">
        <f>SUMIF(Data!$C12:$C511,AS3,Data!$I12:$I511)</f>
        <v/>
      </c>
      <c r="AT4" s="972">
        <f>SUMIF(Data!$C12:$C511,AT3,Data!$I12:$I511)</f>
        <v/>
      </c>
      <c r="AU4" s="972">
        <f>SUMIF(Data!$C12:$C511,AU3,Data!$I12:$I511)</f>
        <v/>
      </c>
      <c r="AV4" s="972">
        <f>SUMIF(Data!$C12:$C511,AV3,Data!$I12:$I511)</f>
        <v/>
      </c>
      <c r="AW4" s="972">
        <f>SUMIF(Data!$C12:$C511,AW3,Data!$I12:$I511)</f>
        <v/>
      </c>
      <c r="AX4" s="972">
        <f>SUMIF(Data!$C12:$C511,AX3,Data!$I12:$I511)</f>
        <v/>
      </c>
      <c r="AY4" s="972">
        <f>SUMIF(Data!$C12:$C511,AY3,Data!$I12:$I511)</f>
        <v/>
      </c>
      <c r="AZ4" s="972">
        <f>SUMIF(Data!$C12:$C511,AZ3,Data!$I12:$I511)</f>
        <v/>
      </c>
      <c r="BA4" s="972">
        <f>SUMIF(Data!$C12:$C511,BA3,Data!$I12:$I511)</f>
        <v/>
      </c>
      <c r="BB4" s="972">
        <f>SUMIF(Data!$C12:$C511,BB3,Data!$I12:$I511)</f>
        <v/>
      </c>
    </row>
    <row r="5" ht="15.75" customFormat="1" customHeight="1" s="965">
      <c r="A5" s="965">
        <f>SUM(C5:BB5)</f>
        <v/>
      </c>
      <c r="B5" s="966" t="inlineStr">
        <is>
          <t>Cmde</t>
        </is>
      </c>
      <c r="C5" s="965">
        <f>SUMIF(Data!$N12:$N511,C3,Data!$S12:$S511)</f>
        <v/>
      </c>
      <c r="D5" s="965">
        <f>SUMIF(Data!$N12:$N511,D3,Data!$S12:$S511)</f>
        <v/>
      </c>
      <c r="E5" s="965">
        <f>SUMIF(Data!$N12:$N511,E3,Data!$S12:$S511)</f>
        <v/>
      </c>
      <c r="F5" s="965">
        <f>SUMIF(Data!$N12:$N511,F3,Data!$S12:$S511)</f>
        <v/>
      </c>
      <c r="G5" s="965">
        <f>SUMIF(Data!$N12:$N511,G3,Data!$S12:$S511)</f>
        <v/>
      </c>
      <c r="H5" s="965">
        <f>SUMIF(Data!$N12:$N511,H3,Data!$S12:$S511)</f>
        <v/>
      </c>
      <c r="I5" s="965">
        <f>SUMIF(Data!$N12:$N511,I3,Data!$S12:$S511)</f>
        <v/>
      </c>
      <c r="J5" s="973">
        <f>SUMIF(Data!$N12:$N511,J3,Data!$S12:$S511)</f>
        <v/>
      </c>
      <c r="K5" s="965">
        <f>SUMIF(Data!$N12:$N511,K3,Data!$S12:$S511)</f>
        <v/>
      </c>
      <c r="L5" s="965">
        <f>SUMIF(Data!$N12:$N511,L3,Data!$S12:$S511)</f>
        <v/>
      </c>
      <c r="M5" s="965">
        <f>SUMIF(Data!$N12:$N511,M3,Data!$S12:$S511)</f>
        <v/>
      </c>
      <c r="N5" s="965">
        <f>SUMIF(Data!$N12:$N511,N3,Data!$S12:$S511)</f>
        <v/>
      </c>
      <c r="O5" s="965">
        <f>SUMIF(Data!$N12:$N511,O3,Data!$S12:$S511)</f>
        <v/>
      </c>
      <c r="P5" s="965">
        <f>SUMIF(Data!$N12:$N511,P3,Data!$S12:$S511)</f>
        <v/>
      </c>
      <c r="Q5" s="965">
        <f>SUMIF(Data!$N12:$N511,Q3,Data!$S12:$S511)</f>
        <v/>
      </c>
      <c r="R5" s="974">
        <f>SUMIF(Data!$N12:$N511,R3,Data!$S12:$S511)</f>
        <v/>
      </c>
      <c r="S5" s="974">
        <f>SUMIF(Data!$N12:$N511,S3,Data!$S12:$S511)</f>
        <v/>
      </c>
      <c r="T5" s="974">
        <f>SUMIF(Data!$N12:$N1021,T3,Data!$S12:$S1021)</f>
        <v/>
      </c>
      <c r="U5" s="974">
        <f>SUMIF(Data!$N12:$N1021,U3,Data!$S12:$S1021)</f>
        <v/>
      </c>
      <c r="V5" s="974">
        <f>SUMIF(Data!$N12:$N1021,V3,Data!$S12:$S1021)</f>
        <v/>
      </c>
      <c r="W5" s="974">
        <f>SUMIF(Data!$N12:$N1021,W3,Data!$S12:$S1021)</f>
        <v/>
      </c>
      <c r="X5" s="974">
        <f>SUMIF(Data!$N12:$N215,X3,Data!$S12:$S215)</f>
        <v/>
      </c>
      <c r="Y5" s="968">
        <f>SUMIF(Data!$N12:$N1021,Y3,Data!$S12:$S1021)</f>
        <v/>
      </c>
      <c r="Z5" s="968">
        <f>SUMIF(Data!$N12:$N1021,Z3,Data!$S12:$S1021)</f>
        <v/>
      </c>
      <c r="AA5" s="968">
        <f>SUMIF(Data!$N12:$N1021,AA3,Data!$S12:$S1021)</f>
        <v/>
      </c>
      <c r="AB5" s="968">
        <f>SUMIF(Data!$N12:$N1021,AB3,Data!$S12:$S1021)</f>
        <v/>
      </c>
      <c r="AC5" s="968">
        <f>SUMIF(Data!$N12:$N1021,AC3,Data!$S12:$S1021)</f>
        <v/>
      </c>
      <c r="AD5" s="968">
        <f>SUMIF(Data!$N12:$N1021,AD3,Data!$S12:$S1021)</f>
        <v/>
      </c>
      <c r="AE5" s="975">
        <f>SUMIF(Data!$N12:$N511,AE3,Data!$S12:$S511)</f>
        <v/>
      </c>
      <c r="AF5" s="970">
        <f>SUMIF(Data!$N12:$N511,AF3,Data!$S12:$S511)</f>
        <v/>
      </c>
      <c r="AG5" s="970">
        <f>SUMIF(Data!$N12:$N266,AG3,Data!$S12:$S266)</f>
        <v/>
      </c>
      <c r="AH5" s="970">
        <f>SUMIF(Data!$N12:$N511,AH3,Data!$S12:$S511)</f>
        <v/>
      </c>
      <c r="AI5" s="971">
        <f>SUMIF(Data!$N12:$N511,AI3,Data!$S12:$S511)</f>
        <v/>
      </c>
      <c r="AJ5" s="972">
        <f>SUMIF(Data!$N12:$N511,AJ3,Data!$S12:$S511)</f>
        <v/>
      </c>
      <c r="AK5" s="972">
        <f>SUMIF(Data!$N12:$N511,AK3,Data!$S12:$S511)</f>
        <v/>
      </c>
      <c r="AL5" s="972">
        <f>SUMIF(Data!$N12:$N511,AL3,Data!$S12:$S511)</f>
        <v/>
      </c>
      <c r="AM5" s="972">
        <f>SUMIF(Data!$N12:$N511,AM3,Data!$S12:$S511)</f>
        <v/>
      </c>
      <c r="AN5" s="972">
        <f>SUMIF(Data!$N12:$N511,AN3,Data!$S12:$S511)</f>
        <v/>
      </c>
      <c r="AO5" s="972">
        <f>SUMIF(Data!$N12:$N511,AO3,Data!$S12:$S511)</f>
        <v/>
      </c>
      <c r="AP5" s="972">
        <f>SUMIF(Data!$N12:$N511,AP3,Data!$S12:$S511)</f>
        <v/>
      </c>
      <c r="AQ5" s="972">
        <f>SUMIF(Data!$N12:$N511,AQ3,Data!$S12:$S511)</f>
        <v/>
      </c>
      <c r="AR5" s="972">
        <f>SUMIF(Data!$N12:$N511,AR3,Data!$S12:$S511)</f>
        <v/>
      </c>
      <c r="AS5" s="972">
        <f>SUMIF(Data!$N12:$N511,AS3,Data!$S12:$S511)</f>
        <v/>
      </c>
      <c r="AT5" s="972">
        <f>SUMIF(Data!$N12:$N511,AT3,Data!$S12:$S511)</f>
        <v/>
      </c>
      <c r="AU5" s="972">
        <f>SUMIF(Data!$N12:$N511,AU3,Data!$S12:$S511)</f>
        <v/>
      </c>
      <c r="AV5" s="972">
        <f>SUMIF(Data!$N12:$N511,AV3,Data!$S12:$S511)</f>
        <v/>
      </c>
      <c r="AW5" s="972">
        <f>SUMIF(Data!$N12:$N511,AW3,Data!$S12:$S511)</f>
        <v/>
      </c>
      <c r="AX5" s="972">
        <f>SUMIF(Data!$N12:$N511,AX3,Data!$S12:$S511)</f>
        <v/>
      </c>
      <c r="AY5" s="972">
        <f>SUMIF(Data!$N12:$N511,AY3,Data!$S12:$S511)</f>
        <v/>
      </c>
      <c r="AZ5" s="972">
        <f>SUMIF(Data!$N12:$N511,AZ3,Data!$S12:$S511)</f>
        <v/>
      </c>
      <c r="BA5" s="972">
        <f>SUMIF(Data!$N12:$N511,BA3,Data!$S12:$S511)</f>
        <v/>
      </c>
      <c r="BB5" s="972">
        <f>SUMIF(Data!$N12:$N511,BB3,Data!$S12:$S511)</f>
        <v/>
      </c>
    </row>
    <row r="6" ht="15.75" customFormat="1" customHeight="1" s="976">
      <c r="A6" s="976">
        <f>SUM(C6:BB6)</f>
        <v/>
      </c>
      <c r="B6" s="977" t="inlineStr">
        <is>
          <t>CA</t>
        </is>
      </c>
      <c r="C6" s="976">
        <f>SUMIF(Data!$X12:$X511,C3,Data!$AD12:$AD511)-SUMIFS(Data!$AD$12:$AD$511,Data!$X$12:$X$511,C3,Data!$R$12:$R$511,"2017-074")</f>
        <v/>
      </c>
      <c r="D6" s="976">
        <f>SUMIF(Data!$X12:$X511,D3,Data!$AD12:$AD511)-SUMIFS(Data!$AD$12:$AD$511,Data!$X$12:$X$511,D3,Data!$R$12:$R$511,"2017-074")</f>
        <v/>
      </c>
      <c r="E6" s="976">
        <f>SUMIF(Data!$X12:$X511,E3,Data!$AD12:$AD511)-SUMIFS(Data!$AD$12:$AD$511,Data!$X$12:$X$511,E3,Data!$R$12:$R$511,"2017-074")</f>
        <v/>
      </c>
      <c r="F6" s="978">
        <f>SUMIF(Data!$X12:$X511,F3,Data!$AD12:$AD511)-SUMIFS(Data!$AD$12:$AD$511,Data!$X$12:$X$511,F3,Data!$R$12:$R$511,"2017-074")</f>
        <v/>
      </c>
      <c r="G6" s="976">
        <f>SUMIF(Data!$X12:$X511,G3,Data!$AD12:$AD511)-SUMIFS(Data!$AD$12:$AD$511,Data!$X$12:$X$511,G3,Data!$R$12:$R$511,"2017-074")</f>
        <v/>
      </c>
      <c r="H6" s="976">
        <f>SUMIF(Data!$X12:$X511,H3,Data!$AD12:$AD511)-SUMIFS(Data!$AD$12:$AD$511,Data!$X$12:$X$511,H3,Data!$R$12:$R$511,"2017-074")</f>
        <v/>
      </c>
      <c r="I6" s="976">
        <f>SUMIF(Data!$X12:$X511,I3,Data!$AD12:$AD511)-SUMIFS(Data!$AD$12:$AD$511,Data!$X$12:$X$511,I3,Data!$R$12:$R$511,"2017-074")</f>
        <v/>
      </c>
      <c r="J6" s="976">
        <f>SUMIF(Data!$X12:$X511,J3,Data!$AD12:$AD511)-SUMIFS(Data!$AD$12:$AD$511,Data!$X$12:$X$511,J3,Data!$R$12:$R$511,"2017-074")</f>
        <v/>
      </c>
      <c r="K6" s="976">
        <f>SUMIF(Data!$X12:$X511,K3,Data!$AD12:$AD511)-SUMIFS(Data!$AD$12:$AD$511,Data!$X$12:$X$511,K3,Data!$R$12:$R$511,"2017-074")</f>
        <v/>
      </c>
      <c r="L6" s="976">
        <f>SUMIF(Data!$X12:$X511,L3,Data!$AD12:$AD511)-SUMIFS(Data!$AD$12:$AD$511,Data!$X$12:$X$511,L3,Data!$R$12:$R$511,"2017-074")</f>
        <v/>
      </c>
      <c r="M6" s="976">
        <f>SUMIF(Data!$X12:$X511,M3,Data!$AD12:$AD511)-SUMIFS(Data!$AD$12:$AD$511,Data!$X$12:$X$511,M3,Data!$R$12:$R$511,"2017-074")</f>
        <v/>
      </c>
      <c r="N6" s="978">
        <f>SUMIF(Data!$X12:$X511,N3,Data!$AD12:$AD511)-SUMIFS(Data!$AD$12:$AD$511,Data!$X$12:$X$511,N3,Data!$R$12:$R$511,"2017-074")</f>
        <v/>
      </c>
      <c r="O6" s="979">
        <f>SUMIF(Data!$X12:$X511,O3,Data!$AD12:$AD511)-SUMIFS(Data!$AD$12:$AD$511,Data!$X$12:$X$511,O3,Data!$R$12:$R$511,"2017-074")</f>
        <v/>
      </c>
      <c r="P6" s="979">
        <f>SUMIF(Data!$X12:$X511,P3,Data!$AD12:$AD511)-SUMIFS(Data!$AD$12:$AD$511,Data!$X$12:$X$511,P3,Data!$R$12:$R$511,"2017-074")</f>
        <v/>
      </c>
      <c r="Q6" s="979">
        <f>SUMIF(Data!$X12:$X511,Q3,Data!$AD12:$AD511)-SUMIFS(Data!$AD$12:$AD$511,Data!$X$12:$X$511,Q3,Data!$R$12:$R$511,"2017-074")</f>
        <v/>
      </c>
      <c r="R6" s="979">
        <f>SUMIF(Data!$X12:$X511,R3,Data!$AD12:$AD511)-SUMIFS(Data!$AD$12:$AD$511,Data!$X$12:$X$511,R3,Data!$R$12:$R$511,"2017-074")</f>
        <v/>
      </c>
      <c r="S6" s="979">
        <f>SUMIF(Data!$X12:$X511,S3,Data!$AD12:$AD511)-SUMIFS(Data!$AD$12:$AD$511,Data!$X$12:$X$511,S3,Data!$R$12:$R$511,"2017-074")</f>
        <v/>
      </c>
      <c r="T6" s="979">
        <f>SUMIF(Data!$X12:$X511,T3,Data!$AD12:$AD511)-SUMIFS(Data!$AD$12:$AD$511,Data!$X$12:$X$511,T3,Data!$R$12:$R$511,"2017-074")</f>
        <v/>
      </c>
      <c r="U6" s="979">
        <f>SUMIF(Data!$X12:$X511,U3,Data!$AD12:$AD511)-SUMIFS(Data!$AD$12:$AD$511,Data!$X$12:$X$511,U3,Data!$R$12:$R$511,"2017-074")</f>
        <v/>
      </c>
      <c r="V6" s="980">
        <f>SUMIF(Data!$X12:$X1021,V3,Data!$AD12:$AD1021)-SUMIFS(Data!$AD$12:$AD$511,Data!$X$12:$X$511,V3,Data!$R$12:$R$511,"2017-074")</f>
        <v/>
      </c>
      <c r="W6" s="979">
        <f>SUMIF(Data!$X12:$X1021,W3,Data!$AD12:$AD1021)-SUMIFS(Data!$AD$12:$AD$511,Data!$X$12:$X$511,W3,Data!$R$12:$R$511,"2017-074")</f>
        <v/>
      </c>
      <c r="X6" s="979">
        <f>SUMIF(Data!$X12:$X511,X3,Data!$AD12:$AD511)-SUMIFS(Data!$AD$12:$AD$511,Data!$X$12:$X$511,X3,Data!$R$12:$R$511,"2017-074")</f>
        <v/>
      </c>
      <c r="Y6" s="981">
        <f>SUMIF(Data!$X12:$X1021,Y3,Data!$AD12:$AD1021)-SUMIFS(Data!$AD$12:$AD$511,Data!$X$12:$X$511,Y3,Data!$R$12:$R$511,"2017-074")</f>
        <v/>
      </c>
      <c r="Z6" s="981">
        <f>SUMIF(Data!$X12:$X1021,Z3,Data!$AD12:$AD1021)-SUMIFS(Data!$AD$12:$AD$511,Data!$X$12:$X$511,Z3,Data!$R$12:$R$511,"2017-074")</f>
        <v/>
      </c>
      <c r="AA6" s="981">
        <f>SUMIF(Data!$X12:$X1021,AA3,Data!$AD12:$AD1021)-SUMIFS(Data!$AD$12:$AD$511,Data!$X$12:$X$511,AA3,Data!$R$12:$R$511,"2017-074")</f>
        <v/>
      </c>
      <c r="AB6" s="981">
        <f>SUMIF(Data!$X12:$X1021,AB3,Data!$AD12:$AD1021)-SUMIFS(Data!$AD$12:$AD$511,Data!$X$12:$X$511,AB3,Data!$R$12:$R$511,"2017-074")</f>
        <v/>
      </c>
      <c r="AC6" s="981">
        <f>SUMIF(Data!$X12:$X1021,AC3,Data!$AD12:$AD1021)-SUMIFS(Data!$AD$12:$AD$511,Data!$X$12:$X$511,AC3,Data!$R$12:$R$511,"2017-074")</f>
        <v/>
      </c>
      <c r="AD6" s="981">
        <f>SUMIF(Data!$X12:$X1021,AD3,Data!$AD12:$AD1021)-SUMIFS(Data!$AD$12:$AD$511,Data!$X$12:$X$511,AD3,Data!$R$12:$R$511,"2017-074")</f>
        <v/>
      </c>
      <c r="AE6" s="982">
        <f>SUMIF(Data!$X12:$X511,AE3,Data!$AD12:$AD511)-SUMIFS(Data!$AD$12:$AD$511,Data!$X$12:$X$511,AE3,Data!$R$12:$R$511,"2017-074")</f>
        <v/>
      </c>
      <c r="AF6" s="983">
        <f>SUMIF(Data!$X12:$X511,AF3,Data!$AD12:$AD511)-SUMIFS(Data!$AD$12:$AD$511,Data!$X$12:$X$511,AF3,Data!$R$12:$R$511,"2017-074")</f>
        <v/>
      </c>
      <c r="AG6" s="983">
        <f>SUMIF(Data!$X12:$X511,AG3,Data!$AD12:$AD511)-SUMIFS(Data!$AD$12:$AD$511,Data!$X$12:$X$511,AG3,Data!$R$12:$R$511,"2017-074")</f>
        <v/>
      </c>
      <c r="AH6" s="983">
        <f>SUMIF(Data!$X12:$X511,AH3,Data!$AD12:$AD511)-SUMIFS(Data!$AD$12:$AD$511,Data!$X$12:$X$511,AH3,Data!$R$12:$R$511,"2017-074")</f>
        <v/>
      </c>
      <c r="AI6" s="984">
        <f>SUMIF(Data!$X12:$X511,AI3,Data!$AD12:$AD511)-SUMIFS(Data!$AD$12:$AD$511,Data!$X$12:$X$511,AI3,Data!$R$12:$R$511,"2017-074")</f>
        <v/>
      </c>
      <c r="AJ6" s="985">
        <f>SUMIF(Data!$X12:$X511,AJ3,Data!$AD12:$AD511)-SUMIFS(Data!$AD$12:$AD$511,Data!$X$12:$X$511,AJ3,Data!$R$12:$R$511,"2017-074")</f>
        <v/>
      </c>
      <c r="AK6" s="985">
        <f>SUMIF(Data!$X12:$X511,AK3,Data!$AD12:$AD511)-SUMIFS(Data!$AD$12:$AD$511,Data!$X$12:$X$511,AK3,Data!$R$12:$R$511,"2017-074")</f>
        <v/>
      </c>
      <c r="AL6" s="985">
        <f>SUMIF(Data!$X12:$X511,AL3,Data!$AD12:$AD511)-SUMIFS(Data!$AD$12:$AD$511,Data!$X$12:$X$511,AL3,Data!$R$12:$R$511,"2017-074")</f>
        <v/>
      </c>
      <c r="AM6" s="985">
        <f>SUMIF(Data!$X12:$X511,AM3,Data!$AD12:$AD511)-SUMIFS(Data!$AD$12:$AD$511,Data!$X$12:$X$511,AM3,Data!$R$12:$R$511,"2017-074")</f>
        <v/>
      </c>
      <c r="AN6" s="985">
        <f>SUMIF(Data!$X12:$X511,AN3,Data!$AD12:$AD511)-SUMIFS(Data!$AD$12:$AD$511,Data!$X$12:$X$511,AN3,Data!$R$12:$R$511,"2017-074")</f>
        <v/>
      </c>
      <c r="AO6" s="985">
        <f>SUMIF(Data!$X12:$X511,AO3,Data!$AD12:$AD511)-SUMIFS(Data!$AD$12:$AD$511,Data!$X$12:$X$511,AO3,Data!$R$12:$R$511,"2017-074")</f>
        <v/>
      </c>
      <c r="AP6" s="985">
        <f>SUMIF(Data!$X12:$X511,AP3,Data!$AD12:$AD511)-SUMIFS(Data!$AD$12:$AD$511,Data!$X$12:$X$511,AP3,Data!$R$12:$R$511,"2017-074")</f>
        <v/>
      </c>
      <c r="AQ6" s="985">
        <f>SUMIF(Data!$X12:$X511,AQ3,Data!$AD12:$AD511)-SUMIFS(Data!$AD$12:$AD$511,Data!$X$12:$X$511,AQ3,Data!$R$12:$R$511,"2017-074")</f>
        <v/>
      </c>
      <c r="AR6" s="985">
        <f>SUMIF(Data!$X12:$X511,AR3,Data!$AD12:$AD511)-SUMIFS(Data!$AD$12:$AD$511,Data!$X$12:$X$511,AR3,Data!$R$12:$R$511,"2017-074")</f>
        <v/>
      </c>
      <c r="AS6" s="985">
        <f>SUMIF(Data!$X12:$X511,AS3,Data!$AD12:$AD511)-SUMIFS(Data!$AD$12:$AD$511,Data!$X$12:$X$511,AS3,Data!$R$12:$R$511,"2017-074")</f>
        <v/>
      </c>
      <c r="AT6" s="985">
        <f>SUMIF(Data!$X12:$X511,AT3,Data!$AD12:$AD511)-SUMIFS(Data!$AD$12:$AD$511,Data!$X$12:$X$511,AT3,Data!$R$12:$R$511,"2017-074")</f>
        <v/>
      </c>
      <c r="AU6" s="985">
        <f>SUMIF(Data!$X12:$X511,AU3,Data!$AD12:$AD511)-SUMIFS(Data!$AD$12:$AD$511,Data!$X$12:$X$511,AU3,Data!$R$12:$R$511,"2017-074")</f>
        <v/>
      </c>
      <c r="AV6" s="985">
        <f>SUMIF(Data!$X12:$X511,AV3,Data!$AD12:$AD511)-SUMIFS(Data!$AD$12:$AD$511,Data!$X$12:$X$511,AV3,Data!$R$12:$R$511,"2017-074")</f>
        <v/>
      </c>
      <c r="AW6" s="985">
        <f>SUMIF(Data!$X12:$X511,AW3,Data!$AD12:$AD511)-SUMIFS(Data!$AD$12:$AD$511,Data!$X$12:$X$511,AW3,Data!$R$12:$R$511,"2017-074")</f>
        <v/>
      </c>
      <c r="AX6" s="985">
        <f>SUMIF(Data!$X12:$X511,AX3,Data!$AD12:$AD511)-SUMIFS(Data!$AD$12:$AD$511,Data!$X$12:$X$511,AX3,Data!$R$12:$R$511,"2017-074")</f>
        <v/>
      </c>
      <c r="AY6" s="985">
        <f>SUMIF(Data!$X12:$X511,AY3,Data!$AD12:$AD511)-SUMIFS(Data!$AD$12:$AD$511,Data!$X$12:$X$511,AY3,Data!$R$12:$R$511,"2017-074")</f>
        <v/>
      </c>
      <c r="AZ6" s="985">
        <f>SUMIF(Data!$X12:$X511,AZ3,Data!$AD12:$AD511)-SUMIFS(Data!$AD$12:$AD$511,Data!$X$12:$X$511,AZ3,Data!$R$12:$R$511,"2017-074")</f>
        <v/>
      </c>
      <c r="BA6" s="985">
        <f>SUMIF(Data!$X12:$X511,BA3,Data!$AD12:$AD511)-SUMIFS(Data!$AD$12:$AD$511,Data!$X$12:$X$511,BA3,Data!$R$12:$R$511,"2017-074")</f>
        <v/>
      </c>
      <c r="BB6" s="985">
        <f>SUMIF(Data!$X12:$X511,BB3,Data!$AD12:$AD511)-SUMIFS(Data!$AD$12:$AD$511,Data!$X$12:$X$511,BB3,Data!$R$12:$R$511,"2017-074")</f>
        <v/>
      </c>
    </row>
    <row r="7" ht="15.75" customFormat="1" customHeight="1" s="986">
      <c r="B7" s="987" t="inlineStr">
        <is>
          <t>Avge Target Cmde</t>
        </is>
      </c>
      <c r="C7" s="986">
        <f>'Weekly Data'!C5</f>
        <v/>
      </c>
      <c r="D7" s="986">
        <f>'Weekly Data'!D5</f>
        <v/>
      </c>
      <c r="E7" s="986">
        <f>'Weekly Data'!E5</f>
        <v/>
      </c>
      <c r="F7" s="986">
        <f>'Weekly Data'!F5</f>
        <v/>
      </c>
      <c r="G7" s="986">
        <f>'Weekly Data'!G5</f>
        <v/>
      </c>
      <c r="H7" s="986">
        <f>'Weekly Data'!H5</f>
        <v/>
      </c>
      <c r="I7" s="986">
        <f>'Weekly Data'!I5</f>
        <v/>
      </c>
      <c r="J7" s="986">
        <f>'Weekly Data'!J5</f>
        <v/>
      </c>
      <c r="K7" s="986">
        <f>'Weekly Data'!K5</f>
        <v/>
      </c>
      <c r="L7" s="986">
        <f>'Weekly Data'!L5</f>
        <v/>
      </c>
      <c r="M7" s="986">
        <f>'Weekly Data'!M5</f>
        <v/>
      </c>
      <c r="N7" s="986">
        <f>'Weekly Data'!N5</f>
        <v/>
      </c>
      <c r="O7" s="986">
        <f>'Weekly Data'!O5</f>
        <v/>
      </c>
      <c r="P7" s="986">
        <f>'Weekly Data'!P5</f>
        <v/>
      </c>
      <c r="Q7" s="986">
        <f>'Weekly Data'!Q5</f>
        <v/>
      </c>
      <c r="R7" s="986">
        <f>'Weekly Data'!R5</f>
        <v/>
      </c>
      <c r="S7" s="986">
        <f>'Weekly Data'!S5</f>
        <v/>
      </c>
      <c r="T7" s="986">
        <f>'Weekly Data'!T5</f>
        <v/>
      </c>
      <c r="U7" s="986">
        <f>'Weekly Data'!U5</f>
        <v/>
      </c>
      <c r="V7" s="986">
        <f>'Weekly Data'!V5</f>
        <v/>
      </c>
      <c r="W7" s="986">
        <f>'Weekly Data'!W5</f>
        <v/>
      </c>
      <c r="X7" s="986">
        <f>'Weekly Data'!X5</f>
        <v/>
      </c>
      <c r="Y7" s="986">
        <f>'Weekly Data'!Y5</f>
        <v/>
      </c>
      <c r="Z7" s="986">
        <f>'Weekly Data'!Z5</f>
        <v/>
      </c>
      <c r="AA7" s="986">
        <f>'Weekly Data'!AA5</f>
        <v/>
      </c>
      <c r="AB7" s="986">
        <f>'Weekly Data'!AB5</f>
        <v/>
      </c>
      <c r="AC7" s="986">
        <f>'Weekly Data'!AC5</f>
        <v/>
      </c>
      <c r="AD7" s="986">
        <f>'Weekly Data'!AD5</f>
        <v/>
      </c>
      <c r="AE7" s="986">
        <f>'Weekly Data'!AE5</f>
        <v/>
      </c>
      <c r="AF7" s="986">
        <f>'Weekly Data'!AF5</f>
        <v/>
      </c>
      <c r="AG7" s="986">
        <f>'Weekly Data'!AG5</f>
        <v/>
      </c>
      <c r="AH7" s="986">
        <f>'Weekly Data'!AH5</f>
        <v/>
      </c>
      <c r="AI7" s="986">
        <f>'Weekly Data'!AI5</f>
        <v/>
      </c>
      <c r="AJ7" s="986">
        <f>'Weekly Data'!AJ5</f>
        <v/>
      </c>
      <c r="AK7" s="986">
        <f>'Weekly Data'!AK5</f>
        <v/>
      </c>
      <c r="AL7" s="986">
        <f>'Weekly Data'!AL5</f>
        <v/>
      </c>
      <c r="AM7" s="986">
        <f>'Weekly Data'!AM5</f>
        <v/>
      </c>
      <c r="AN7" s="986">
        <f>'Weekly Data'!AN5</f>
        <v/>
      </c>
      <c r="AO7" s="986">
        <f>'Weekly Data'!AO5</f>
        <v/>
      </c>
      <c r="AP7" s="986">
        <f>'Weekly Data'!AP5</f>
        <v/>
      </c>
      <c r="AQ7" s="986">
        <f>'Weekly Data'!AQ5</f>
        <v/>
      </c>
      <c r="AR7" s="986">
        <f>'Weekly Data'!AR5</f>
        <v/>
      </c>
      <c r="AS7" s="986">
        <f>'Weekly Data'!AS5</f>
        <v/>
      </c>
      <c r="AT7" s="986">
        <f>'Weekly Data'!AT5</f>
        <v/>
      </c>
      <c r="AU7" s="986">
        <f>'Weekly Data'!AU5</f>
        <v/>
      </c>
      <c r="AV7" s="986">
        <f>'Weekly Data'!AV5</f>
        <v/>
      </c>
      <c r="AW7" s="986">
        <f>'Weekly Data'!AW5</f>
        <v/>
      </c>
      <c r="AX7" s="986">
        <f>'Weekly Data'!AX5</f>
        <v/>
      </c>
      <c r="AY7" s="986">
        <f>'Weekly Data'!AY5</f>
        <v/>
      </c>
      <c r="AZ7" s="986">
        <f>'Weekly Data'!AZ5</f>
        <v/>
      </c>
      <c r="BA7" s="986">
        <f>'Weekly Data'!BA5</f>
        <v/>
      </c>
      <c r="BB7" s="986">
        <f>'Weekly Data'!BB5</f>
        <v/>
      </c>
    </row>
    <row r="8" ht="15.75" customFormat="1" customHeight="1" s="66">
      <c r="B8" s="987" t="inlineStr">
        <is>
          <t>Avge. Target CA</t>
        </is>
      </c>
      <c r="C8" s="986">
        <f>'Weekly Data'!C6</f>
        <v/>
      </c>
      <c r="D8" s="986">
        <f>'Weekly Data'!D6</f>
        <v/>
      </c>
      <c r="E8" s="986">
        <f>'Weekly Data'!E6</f>
        <v/>
      </c>
      <c r="F8" s="986">
        <f>'Weekly Data'!F6</f>
        <v/>
      </c>
      <c r="G8" s="986">
        <f>'Weekly Data'!G6</f>
        <v/>
      </c>
      <c r="H8" s="986">
        <f>'Weekly Data'!H6</f>
        <v/>
      </c>
      <c r="I8" s="986">
        <f>'Weekly Data'!I6</f>
        <v/>
      </c>
      <c r="J8" s="986">
        <f>'Weekly Data'!J6</f>
        <v/>
      </c>
      <c r="K8" s="986">
        <f>'Weekly Data'!K6</f>
        <v/>
      </c>
      <c r="L8" s="986">
        <f>'Weekly Data'!L6</f>
        <v/>
      </c>
      <c r="M8" s="986">
        <f>'Weekly Data'!M6</f>
        <v/>
      </c>
      <c r="N8" s="986">
        <f>'Weekly Data'!N6</f>
        <v/>
      </c>
      <c r="O8" s="986">
        <f>'Weekly Data'!O6</f>
        <v/>
      </c>
      <c r="P8" s="986">
        <f>'Weekly Data'!P6</f>
        <v/>
      </c>
      <c r="Q8" s="986">
        <f>'Weekly Data'!Q6</f>
        <v/>
      </c>
      <c r="R8" s="986">
        <f>'Weekly Data'!R6</f>
        <v/>
      </c>
      <c r="S8" s="986">
        <f>'Weekly Data'!S6</f>
        <v/>
      </c>
      <c r="T8" s="986">
        <f>'Weekly Data'!T6</f>
        <v/>
      </c>
      <c r="U8" s="986">
        <f>'Weekly Data'!U6</f>
        <v/>
      </c>
      <c r="V8" s="986">
        <f>'Weekly Data'!V6</f>
        <v/>
      </c>
      <c r="W8" s="986">
        <f>'Weekly Data'!W6</f>
        <v/>
      </c>
      <c r="X8" s="986">
        <f>'Weekly Data'!X6</f>
        <v/>
      </c>
      <c r="Y8" s="986">
        <f>'Weekly Data'!Y6</f>
        <v/>
      </c>
      <c r="Z8" s="986">
        <f>'Weekly Data'!Z6</f>
        <v/>
      </c>
      <c r="AA8" s="986">
        <f>'Weekly Data'!AA6</f>
        <v/>
      </c>
      <c r="AB8" s="986">
        <f>'Weekly Data'!AB6</f>
        <v/>
      </c>
      <c r="AC8" s="986">
        <f>'Weekly Data'!AC6</f>
        <v/>
      </c>
      <c r="AD8" s="986">
        <f>'Weekly Data'!AD6</f>
        <v/>
      </c>
      <c r="AE8" s="986">
        <f>'Weekly Data'!AE6</f>
        <v/>
      </c>
      <c r="AF8" s="986">
        <f>'Weekly Data'!AF6</f>
        <v/>
      </c>
      <c r="AG8" s="986">
        <f>'Weekly Data'!AG6</f>
        <v/>
      </c>
      <c r="AH8" s="986">
        <f>'Weekly Data'!AH6</f>
        <v/>
      </c>
      <c r="AI8" s="986">
        <f>'Weekly Data'!AI6</f>
        <v/>
      </c>
      <c r="AJ8" s="986">
        <f>'Weekly Data'!AJ6</f>
        <v/>
      </c>
      <c r="AK8" s="986">
        <f>'Weekly Data'!AK6</f>
        <v/>
      </c>
      <c r="AL8" s="986">
        <f>'Weekly Data'!AL6</f>
        <v/>
      </c>
      <c r="AM8" s="986">
        <f>'Weekly Data'!AM6</f>
        <v/>
      </c>
      <c r="AN8" s="986">
        <f>'Weekly Data'!AN6</f>
        <v/>
      </c>
      <c r="AO8" s="986">
        <f>'Weekly Data'!AO6</f>
        <v/>
      </c>
      <c r="AP8" s="986">
        <f>'Weekly Data'!AP6</f>
        <v/>
      </c>
      <c r="AQ8" s="986">
        <f>'Weekly Data'!AQ6</f>
        <v/>
      </c>
      <c r="AR8" s="986">
        <f>'Weekly Data'!AR6</f>
        <v/>
      </c>
      <c r="AS8" s="986">
        <f>'Weekly Data'!AS6</f>
        <v/>
      </c>
      <c r="AT8" s="986">
        <f>'Weekly Data'!AT6</f>
        <v/>
      </c>
      <c r="AU8" s="986">
        <f>'Weekly Data'!AU6</f>
        <v/>
      </c>
      <c r="AV8" s="986">
        <f>'Weekly Data'!AV6</f>
        <v/>
      </c>
      <c r="AW8" s="986">
        <f>'Weekly Data'!AW6</f>
        <v/>
      </c>
      <c r="AX8" s="986">
        <f>'Weekly Data'!AX6</f>
        <v/>
      </c>
      <c r="AY8" s="986">
        <f>'Weekly Data'!AY6</f>
        <v/>
      </c>
      <c r="AZ8" s="986">
        <f>'Weekly Data'!AZ6</f>
        <v/>
      </c>
      <c r="BA8" s="986">
        <f>'Weekly Data'!BA6</f>
        <v/>
      </c>
      <c r="BB8" s="986">
        <f>'Weekly Data'!BB6</f>
        <v/>
      </c>
    </row>
    <row r="9" ht="15.75" customFormat="1" customHeight="1" s="85">
      <c r="B9" s="67" t="inlineStr">
        <is>
          <t>Diff Cmde</t>
        </is>
      </c>
      <c r="C9" s="965">
        <f>C5-C7</f>
        <v/>
      </c>
      <c r="D9" s="965">
        <f>D5-D7</f>
        <v/>
      </c>
      <c r="E9" s="965">
        <f>E5-E7</f>
        <v/>
      </c>
      <c r="F9" s="965">
        <f>F5-F7</f>
        <v/>
      </c>
      <c r="G9" s="965">
        <f>G5-G7</f>
        <v/>
      </c>
      <c r="H9" s="965">
        <f>H5-H7</f>
        <v/>
      </c>
      <c r="I9" s="965">
        <f>I5-I7</f>
        <v/>
      </c>
      <c r="J9" s="965">
        <f>J5-J7</f>
        <v/>
      </c>
      <c r="K9" s="965">
        <f>K5-K7</f>
        <v/>
      </c>
      <c r="L9" s="965">
        <f>L5-L7</f>
        <v/>
      </c>
      <c r="M9" s="965">
        <f>M5-M7</f>
        <v/>
      </c>
      <c r="N9" s="965">
        <f>N5-N7</f>
        <v/>
      </c>
      <c r="O9" s="965">
        <f>O5-O7</f>
        <v/>
      </c>
      <c r="P9" s="965">
        <f>P5-P7</f>
        <v/>
      </c>
      <c r="Q9" s="965">
        <f>Q5-Q7</f>
        <v/>
      </c>
      <c r="R9" s="965">
        <f>R5-R7</f>
        <v/>
      </c>
      <c r="S9" s="965">
        <f>S5-S7</f>
        <v/>
      </c>
      <c r="T9" s="965">
        <f>T5-T7</f>
        <v/>
      </c>
      <c r="U9" s="965">
        <f>U5-U7</f>
        <v/>
      </c>
      <c r="V9" s="965">
        <f>V5-V7</f>
        <v/>
      </c>
      <c r="W9" s="965">
        <f>W5-W7</f>
        <v/>
      </c>
      <c r="X9" s="965">
        <f>X5-X7</f>
        <v/>
      </c>
      <c r="Y9" s="965">
        <f>Y5-Y7</f>
        <v/>
      </c>
      <c r="Z9" s="965">
        <f>Z5-Z7</f>
        <v/>
      </c>
      <c r="AA9" s="965">
        <f>AA5-AA7</f>
        <v/>
      </c>
      <c r="AB9" s="965">
        <f>AB5-AB7</f>
        <v/>
      </c>
      <c r="AC9" s="965">
        <f>AC5-AC7</f>
        <v/>
      </c>
      <c r="AD9" s="988">
        <f>AD5-AD7</f>
        <v/>
      </c>
      <c r="AE9" s="965">
        <f>AE5-AE7</f>
        <v/>
      </c>
      <c r="AF9" s="965">
        <f>AF5-AF7</f>
        <v/>
      </c>
      <c r="AG9" s="965">
        <f>AG5-AG7</f>
        <v/>
      </c>
      <c r="AH9" s="965">
        <f>AH5-AH7</f>
        <v/>
      </c>
      <c r="AI9" s="965">
        <f>AI5-AI7</f>
        <v/>
      </c>
      <c r="AJ9" s="965">
        <f>AJ5-AJ7</f>
        <v/>
      </c>
      <c r="AK9" s="965">
        <f>AK5-AK7</f>
        <v/>
      </c>
      <c r="AL9" s="965">
        <f>AL5-AL7</f>
        <v/>
      </c>
      <c r="AM9" s="965">
        <f>AM5-AM7</f>
        <v/>
      </c>
      <c r="AN9" s="965">
        <f>AN5-AN7</f>
        <v/>
      </c>
      <c r="AO9" s="965">
        <f>AO5-AO7</f>
        <v/>
      </c>
      <c r="AP9" s="965">
        <f>AP5-AP7</f>
        <v/>
      </c>
      <c r="AQ9" s="965">
        <f>AQ5-AQ7</f>
        <v/>
      </c>
      <c r="AR9" s="965">
        <f>AR5-AR7</f>
        <v/>
      </c>
      <c r="AS9" s="965">
        <f>AS5-AS7</f>
        <v/>
      </c>
      <c r="AT9" s="965">
        <f>AT5-AT7</f>
        <v/>
      </c>
      <c r="AU9" s="965">
        <f>AU5-AU7</f>
        <v/>
      </c>
      <c r="AV9" s="965">
        <f>AV5-AV7</f>
        <v/>
      </c>
    </row>
    <row r="10" ht="15.75" customFormat="1" customHeight="1" s="85">
      <c r="B10" s="67" t="inlineStr">
        <is>
          <t>Cum. Devis</t>
        </is>
      </c>
      <c r="C10" s="965">
        <f>C4</f>
        <v/>
      </c>
      <c r="D10" s="965">
        <f>D4+C10</f>
        <v/>
      </c>
      <c r="E10" s="965">
        <f>E4+D10</f>
        <v/>
      </c>
      <c r="F10" s="965">
        <f>F4+E10</f>
        <v/>
      </c>
      <c r="G10" s="965">
        <f>G4+F10</f>
        <v/>
      </c>
      <c r="H10" s="965">
        <f>H4+G10</f>
        <v/>
      </c>
      <c r="I10" s="965">
        <f>I4+H10</f>
        <v/>
      </c>
      <c r="J10" s="965">
        <f>J4+I10</f>
        <v/>
      </c>
      <c r="K10" s="965">
        <f>K4+J10</f>
        <v/>
      </c>
      <c r="L10" s="965">
        <f>L4+K10</f>
        <v/>
      </c>
      <c r="M10" s="965">
        <f>M4+L10</f>
        <v/>
      </c>
      <c r="N10" s="965">
        <f>N4+M10</f>
        <v/>
      </c>
      <c r="O10" s="965">
        <f>O4+N10</f>
        <v/>
      </c>
      <c r="P10" s="965">
        <f>P4+O10</f>
        <v/>
      </c>
      <c r="Q10" s="965">
        <f>Q4+P10</f>
        <v/>
      </c>
      <c r="R10" s="965">
        <f>R4+Q10</f>
        <v/>
      </c>
      <c r="S10" s="965">
        <f>S4+R10</f>
        <v/>
      </c>
      <c r="T10" s="965">
        <f>T4+S10</f>
        <v/>
      </c>
      <c r="U10" s="965">
        <f>U4+T10</f>
        <v/>
      </c>
      <c r="V10" s="965">
        <f>V4+U10</f>
        <v/>
      </c>
      <c r="W10" s="965">
        <f>W4+V10</f>
        <v/>
      </c>
      <c r="X10" s="965">
        <f>X4+W10</f>
        <v/>
      </c>
      <c r="Y10" s="965">
        <f>Y4+X10</f>
        <v/>
      </c>
      <c r="Z10" s="965">
        <f>Z4+Y10</f>
        <v/>
      </c>
      <c r="AA10" s="965">
        <f>AA4+Z10</f>
        <v/>
      </c>
      <c r="AB10" s="965">
        <f>AB4+AA10</f>
        <v/>
      </c>
      <c r="AC10" s="965">
        <f>AC4+AB10</f>
        <v/>
      </c>
      <c r="AD10" s="988">
        <f>AD4+AC10</f>
        <v/>
      </c>
      <c r="AE10" s="965">
        <f>AE4+AD10</f>
        <v/>
      </c>
      <c r="AF10" s="965">
        <f>AF4+AE10</f>
        <v/>
      </c>
      <c r="AG10" s="965">
        <f>AG4+AF10</f>
        <v/>
      </c>
      <c r="AH10" s="965">
        <f>AH4+AG10</f>
        <v/>
      </c>
      <c r="AI10" s="965">
        <f>AI4+AH10</f>
        <v/>
      </c>
      <c r="AJ10" s="965">
        <f>AJ4+AI10</f>
        <v/>
      </c>
      <c r="AK10" s="965">
        <f>AK4+AJ10</f>
        <v/>
      </c>
      <c r="AL10" s="965">
        <f>AL4+AK10</f>
        <v/>
      </c>
      <c r="AM10" s="965">
        <f>AM4+AL10</f>
        <v/>
      </c>
      <c r="AN10" s="965">
        <f>AN4+AM10</f>
        <v/>
      </c>
      <c r="AO10" s="965">
        <f>AO4+AN10</f>
        <v/>
      </c>
      <c r="AP10" s="965">
        <f>AP4+AO10</f>
        <v/>
      </c>
      <c r="AQ10" s="965">
        <f>AQ4+AP10</f>
        <v/>
      </c>
      <c r="AR10" s="965">
        <f>AR4+AQ10</f>
        <v/>
      </c>
      <c r="AS10" s="965">
        <f>AS4+AR10</f>
        <v/>
      </c>
      <c r="AT10" s="965">
        <f>AT4+AS10</f>
        <v/>
      </c>
      <c r="AU10" s="965">
        <f>AU4+AT10</f>
        <v/>
      </c>
      <c r="AV10" s="965">
        <f>AV4+AU10</f>
        <v/>
      </c>
    </row>
    <row r="11" ht="15.75" customFormat="1" customHeight="1" s="85">
      <c r="B11" s="67" t="inlineStr">
        <is>
          <t>Cum. Cmde</t>
        </is>
      </c>
      <c r="C11" s="965">
        <f>C5</f>
        <v/>
      </c>
      <c r="D11" s="965">
        <f>D5+C11</f>
        <v/>
      </c>
      <c r="E11" s="965">
        <f>E5+D11</f>
        <v/>
      </c>
      <c r="F11" s="965">
        <f>F5+E11</f>
        <v/>
      </c>
      <c r="G11" s="965">
        <f>G5+F11</f>
        <v/>
      </c>
      <c r="H11" s="965">
        <f>H5+G11</f>
        <v/>
      </c>
      <c r="I11" s="965">
        <f>I5+H11</f>
        <v/>
      </c>
      <c r="J11" s="965">
        <f>J5+I11</f>
        <v/>
      </c>
      <c r="K11" s="965">
        <f>K5+J11</f>
        <v/>
      </c>
      <c r="L11" s="965">
        <f>L5+K11</f>
        <v/>
      </c>
      <c r="M11" s="965">
        <f>M5+L11</f>
        <v/>
      </c>
      <c r="N11" s="965">
        <f>N5+M11</f>
        <v/>
      </c>
      <c r="O11" s="965">
        <f>O5+N11</f>
        <v/>
      </c>
      <c r="P11" s="965">
        <f>P5+O11</f>
        <v/>
      </c>
      <c r="Q11" s="965">
        <f>Q5+P11</f>
        <v/>
      </c>
      <c r="R11" s="965">
        <f>R5+Q11</f>
        <v/>
      </c>
      <c r="S11" s="965">
        <f>S5+R11</f>
        <v/>
      </c>
      <c r="T11" s="965">
        <f>T5+S11</f>
        <v/>
      </c>
      <c r="U11" s="965">
        <f>U5+T11</f>
        <v/>
      </c>
      <c r="V11" s="965">
        <f>V5+U11</f>
        <v/>
      </c>
      <c r="W11" s="965">
        <f>W5+V11</f>
        <v/>
      </c>
      <c r="X11" s="965">
        <f>X5+W11</f>
        <v/>
      </c>
      <c r="Y11" s="965">
        <f>Y5+X11</f>
        <v/>
      </c>
      <c r="Z11" s="965">
        <f>Z5+Y11</f>
        <v/>
      </c>
      <c r="AA11" s="965">
        <f>AA5+Z11</f>
        <v/>
      </c>
      <c r="AB11" s="965">
        <f>AB5+AA11</f>
        <v/>
      </c>
      <c r="AC11" s="965">
        <f>AC5+AB11</f>
        <v/>
      </c>
      <c r="AD11" s="988">
        <f>AD5+AC11</f>
        <v/>
      </c>
      <c r="AE11" s="965">
        <f>AE5+AD11</f>
        <v/>
      </c>
      <c r="AF11" s="965">
        <f>AF5+AE11</f>
        <v/>
      </c>
      <c r="AG11" s="965">
        <f>AG5+AF11</f>
        <v/>
      </c>
      <c r="AH11" s="965">
        <f>AH5+AG11</f>
        <v/>
      </c>
      <c r="AI11" s="965">
        <f>AI5+AH11</f>
        <v/>
      </c>
      <c r="AJ11" s="965">
        <f>AJ5+AI11</f>
        <v/>
      </c>
      <c r="AK11" s="965">
        <f>AK5+AJ11</f>
        <v/>
      </c>
      <c r="AL11" s="965">
        <f>AL5+AK11</f>
        <v/>
      </c>
      <c r="AM11" s="965">
        <f>AM5+AL11</f>
        <v/>
      </c>
      <c r="AN11" s="965">
        <f>AN5+AM11</f>
        <v/>
      </c>
      <c r="AO11" s="965">
        <f>AO5+AN11</f>
        <v/>
      </c>
      <c r="AP11" s="965">
        <f>AP5+AO11</f>
        <v/>
      </c>
      <c r="AQ11" s="965">
        <f>AQ5+AP11</f>
        <v/>
      </c>
      <c r="AR11" s="965">
        <f>AR5+AQ11</f>
        <v/>
      </c>
      <c r="AS11" s="965">
        <f>AS5+AR11</f>
        <v/>
      </c>
      <c r="AT11" s="965">
        <f>AT5+AS11</f>
        <v/>
      </c>
      <c r="AU11" s="965">
        <f>AU5+AT11</f>
        <v/>
      </c>
      <c r="AV11" s="965">
        <f>AV5+AU11</f>
        <v/>
      </c>
    </row>
    <row r="12" ht="15.75" customFormat="1" customHeight="1" s="85">
      <c r="B12" s="989" t="inlineStr">
        <is>
          <t>Cum. CA</t>
        </is>
      </c>
      <c r="C12" s="965">
        <f>C6</f>
        <v/>
      </c>
      <c r="D12" s="965">
        <f>D6+C12</f>
        <v/>
      </c>
      <c r="E12" s="965">
        <f>E6+D12</f>
        <v/>
      </c>
      <c r="F12" s="965">
        <f>F6+E12</f>
        <v/>
      </c>
      <c r="G12" s="965">
        <f>G6+F12</f>
        <v/>
      </c>
      <c r="H12" s="965">
        <f>H6+G12</f>
        <v/>
      </c>
      <c r="I12" s="965">
        <f>I6+H12</f>
        <v/>
      </c>
      <c r="J12" s="965">
        <f>J6+I12</f>
        <v/>
      </c>
      <c r="K12" s="965">
        <f>K6+J12</f>
        <v/>
      </c>
      <c r="L12" s="965">
        <f>L6+K12</f>
        <v/>
      </c>
      <c r="M12" s="965">
        <f>M6+L12</f>
        <v/>
      </c>
      <c r="N12" s="965">
        <f>N6+M12</f>
        <v/>
      </c>
      <c r="O12" s="965">
        <f>O6+N12</f>
        <v/>
      </c>
      <c r="P12" s="965">
        <f>P6+O12</f>
        <v/>
      </c>
      <c r="Q12" s="965">
        <f>Q6+P12</f>
        <v/>
      </c>
      <c r="R12" s="965">
        <f>R6+Q12</f>
        <v/>
      </c>
      <c r="S12" s="965">
        <f>S6+R12</f>
        <v/>
      </c>
      <c r="T12" s="965">
        <f>T6+S12</f>
        <v/>
      </c>
      <c r="U12" s="965">
        <f>U6+T12</f>
        <v/>
      </c>
      <c r="V12" s="965">
        <f>V6+U12</f>
        <v/>
      </c>
      <c r="W12" s="965">
        <f>W6+V12</f>
        <v/>
      </c>
      <c r="X12" s="965">
        <f>X6+W12</f>
        <v/>
      </c>
      <c r="Y12" s="965">
        <f>Y6+X12</f>
        <v/>
      </c>
      <c r="Z12" s="965">
        <f>Z6+Y12</f>
        <v/>
      </c>
      <c r="AA12" s="965">
        <f>AA6+Z12</f>
        <v/>
      </c>
      <c r="AB12" s="965">
        <f>AB6+AA12</f>
        <v/>
      </c>
      <c r="AC12" s="965">
        <f>AC6+AB12</f>
        <v/>
      </c>
      <c r="AD12" s="988">
        <f>AD6+AC12</f>
        <v/>
      </c>
      <c r="AE12" s="965">
        <f>AE6+AD12</f>
        <v/>
      </c>
      <c r="AF12" s="965">
        <f>AF6+AE12</f>
        <v/>
      </c>
      <c r="AG12" s="965">
        <f>AG6+AF12</f>
        <v/>
      </c>
      <c r="AH12" s="965">
        <f>AH6+AG12</f>
        <v/>
      </c>
      <c r="AI12" s="965">
        <f>AI6+AH12</f>
        <v/>
      </c>
      <c r="AJ12" s="965">
        <f>AJ6+AI12</f>
        <v/>
      </c>
      <c r="AK12" s="965">
        <f>AK6+AJ12</f>
        <v/>
      </c>
      <c r="AL12" s="965">
        <f>AL6+AK12</f>
        <v/>
      </c>
      <c r="AM12" s="965">
        <f>AM6+AL12</f>
        <v/>
      </c>
      <c r="AN12" s="965">
        <f>AN6+AM12</f>
        <v/>
      </c>
      <c r="AO12" s="965">
        <f>AO6+AN12</f>
        <v/>
      </c>
      <c r="AP12" s="965">
        <f>AP6+AO12</f>
        <v/>
      </c>
      <c r="AQ12" s="965">
        <f>AQ6+AP12</f>
        <v/>
      </c>
      <c r="AR12" s="965">
        <f>AR6+AQ12</f>
        <v/>
      </c>
      <c r="AS12" s="965">
        <f>AS6+AR12</f>
        <v/>
      </c>
      <c r="AT12" s="965">
        <f>AT6+AS12</f>
        <v/>
      </c>
      <c r="AU12" s="965">
        <f>AU6+AT12</f>
        <v/>
      </c>
      <c r="AV12" s="965">
        <f>AV6+AU12</f>
        <v/>
      </c>
    </row>
    <row r="13" ht="15.75" customFormat="1" customHeight="1" s="85">
      <c r="B13" s="67" t="inlineStr">
        <is>
          <t>Backlog</t>
        </is>
      </c>
      <c r="C13" s="968">
        <f>6176.6+C5-C6</f>
        <v/>
      </c>
      <c r="D13" s="965">
        <f>C13+D5-D6</f>
        <v/>
      </c>
      <c r="E13" s="965">
        <f>D13+E5-E6</f>
        <v/>
      </c>
      <c r="F13" s="965">
        <f>E13+F5-F6</f>
        <v/>
      </c>
      <c r="G13" s="965">
        <f>F13+G5-G6</f>
        <v/>
      </c>
      <c r="H13" s="965">
        <f>G13+H5-H6</f>
        <v/>
      </c>
      <c r="I13" s="965">
        <f>H13+I5-I6</f>
        <v/>
      </c>
      <c r="J13" s="965">
        <f>I13+J5-J6</f>
        <v/>
      </c>
      <c r="K13" s="965">
        <f>J13+K5-K6</f>
        <v/>
      </c>
      <c r="L13" s="965">
        <f>K13+L5-L6</f>
        <v/>
      </c>
      <c r="M13" s="965">
        <f>L13+M5-M6</f>
        <v/>
      </c>
      <c r="N13" s="965">
        <f>M13+N5-N6</f>
        <v/>
      </c>
      <c r="O13" s="965">
        <f>N13+O5-O6</f>
        <v/>
      </c>
      <c r="P13" s="965">
        <f>O13+P5-P6</f>
        <v/>
      </c>
      <c r="Q13" s="965">
        <f>P13+Q5-Q6</f>
        <v/>
      </c>
      <c r="R13" s="965">
        <f>Q13+R5-R6</f>
        <v/>
      </c>
      <c r="S13" s="965">
        <f>R13+S5-S6</f>
        <v/>
      </c>
      <c r="T13" s="965">
        <f>S13+T5-T6</f>
        <v/>
      </c>
      <c r="U13" s="965">
        <f>T13+U5-U6</f>
        <v/>
      </c>
      <c r="V13" s="965">
        <f>U13+V5-V6</f>
        <v/>
      </c>
      <c r="W13" s="965">
        <f>V13+W5-W6</f>
        <v/>
      </c>
      <c r="X13" s="965">
        <f>W13+X5-X6</f>
        <v/>
      </c>
      <c r="Y13" s="965">
        <f>X13+Y5-Y6</f>
        <v/>
      </c>
      <c r="Z13" s="965">
        <f>Y13+Z5-Z6</f>
        <v/>
      </c>
      <c r="AA13" s="965">
        <f>Z13+AA5-AA6</f>
        <v/>
      </c>
      <c r="AB13" s="965">
        <f>AA13+AB5-AB6</f>
        <v/>
      </c>
      <c r="AC13" s="965">
        <f>AB13+AC5-AC6</f>
        <v/>
      </c>
      <c r="AD13" s="988">
        <f>AC13+AD5-AD6</f>
        <v/>
      </c>
      <c r="AE13" s="965">
        <f>AD13+AE5-AE6</f>
        <v/>
      </c>
      <c r="AF13" s="965">
        <f>AE13+AF5-AF6</f>
        <v/>
      </c>
      <c r="AG13" s="965">
        <f>AF13+AG5-AG6</f>
        <v/>
      </c>
      <c r="AH13" s="965">
        <f>AG13+AH5-AH6</f>
        <v/>
      </c>
      <c r="AI13" s="965">
        <f>AH13+AI5-AI6</f>
        <v/>
      </c>
      <c r="AJ13" s="965">
        <f>AI13+AJ5-AJ6</f>
        <v/>
      </c>
      <c r="AK13" s="965">
        <f>AJ13+AK5-AK6</f>
        <v/>
      </c>
      <c r="AL13" s="965">
        <f>AK13+AL5-AL6</f>
        <v/>
      </c>
      <c r="AM13" s="965">
        <f>AL13+AM5-AM6</f>
        <v/>
      </c>
      <c r="AN13" s="965">
        <f>AM13+AN5-AN6</f>
        <v/>
      </c>
      <c r="AO13" s="965">
        <f>AN13+AO5-AO6</f>
        <v/>
      </c>
      <c r="AP13" s="965">
        <f>AO13+AP5-AP6</f>
        <v/>
      </c>
      <c r="AQ13" s="965">
        <f>AP13+AQ5-AQ6</f>
        <v/>
      </c>
      <c r="AR13" s="965">
        <f>AQ13+AR5-AR6</f>
        <v/>
      </c>
      <c r="AS13" s="965">
        <f>AR13+AS5-AS6</f>
        <v/>
      </c>
      <c r="AT13" s="965">
        <f>AS13+AT5-AT6</f>
        <v/>
      </c>
      <c r="AU13" s="965">
        <f>AT13+AU5-AU6</f>
        <v/>
      </c>
      <c r="AV13" s="965">
        <f>AU13+AV5-AV6</f>
        <v/>
      </c>
      <c r="AW13" s="965">
        <f>AV13+AW5-AW6</f>
        <v/>
      </c>
      <c r="AX13" s="965">
        <f>AW13+AX5-AX6</f>
        <v/>
      </c>
      <c r="AY13" s="965">
        <f>AX13+AY5-AY6</f>
        <v/>
      </c>
      <c r="AZ13" s="965">
        <f>AY13+AZ5-AZ6</f>
        <v/>
      </c>
      <c r="BA13" s="965">
        <f>AZ13+BA5-BA6</f>
        <v/>
      </c>
      <c r="BB13" s="965">
        <f>BA13+BB5-BB6</f>
        <v/>
      </c>
    </row>
    <row r="14" ht="15.75" customFormat="1" customHeight="1" s="69">
      <c r="A14" s="80" t="inlineStr">
        <is>
          <t>FCP KPIs</t>
        </is>
      </c>
      <c r="B14" s="68" t="n"/>
      <c r="C14" s="981" t="n"/>
      <c r="D14" s="976" t="n"/>
      <c r="E14" s="976" t="n"/>
      <c r="F14" s="976" t="n"/>
      <c r="G14" s="976" t="n"/>
      <c r="H14" s="976" t="n"/>
      <c r="I14" s="976" t="n"/>
      <c r="J14" s="976" t="n"/>
      <c r="K14" s="976" t="n"/>
      <c r="L14" s="976" t="n"/>
      <c r="M14" s="976" t="n"/>
      <c r="N14" s="976" t="n"/>
      <c r="O14" s="976" t="n"/>
      <c r="P14" s="976" t="n"/>
      <c r="Q14" s="976" t="n"/>
      <c r="R14" s="976" t="n"/>
      <c r="S14" s="976" t="n"/>
      <c r="T14" s="976" t="n"/>
      <c r="U14" s="976" t="n"/>
      <c r="V14" s="976" t="n"/>
      <c r="W14" s="976" t="n"/>
      <c r="X14" s="976" t="n"/>
      <c r="Y14" s="976" t="n"/>
      <c r="Z14" s="976" t="n"/>
      <c r="AA14" s="976" t="n"/>
      <c r="AB14" s="976" t="n"/>
      <c r="AC14" s="976" t="n"/>
      <c r="AD14" s="990" t="n"/>
      <c r="AE14" s="976" t="n"/>
      <c r="AF14" s="991">
        <f>AF3</f>
        <v/>
      </c>
      <c r="AG14" s="991">
        <f>AG3</f>
        <v/>
      </c>
      <c r="AH14" s="991">
        <f>AH3</f>
        <v/>
      </c>
      <c r="AI14" s="991">
        <f>AI3</f>
        <v/>
      </c>
      <c r="AJ14" s="991">
        <f>AJ3</f>
        <v/>
      </c>
      <c r="AK14" s="991">
        <f>AK3</f>
        <v/>
      </c>
      <c r="AL14" s="991">
        <f>AL3</f>
        <v/>
      </c>
      <c r="AM14" s="991">
        <f>AM3</f>
        <v/>
      </c>
      <c r="AN14" s="991">
        <f>AN3</f>
        <v/>
      </c>
      <c r="AO14" s="991">
        <f>AO3</f>
        <v/>
      </c>
      <c r="AP14" s="991">
        <f>AP3</f>
        <v/>
      </c>
      <c r="AQ14" s="991">
        <f>AQ3</f>
        <v/>
      </c>
      <c r="AR14" s="991">
        <f>AR3</f>
        <v/>
      </c>
      <c r="AS14" s="991">
        <f>AS3</f>
        <v/>
      </c>
      <c r="AT14" s="991">
        <f>AT3</f>
        <v/>
      </c>
      <c r="AU14" s="991">
        <f>AU3</f>
        <v/>
      </c>
      <c r="AV14" s="991">
        <f>AV3</f>
        <v/>
      </c>
      <c r="AW14" s="991">
        <f>AW3</f>
        <v/>
      </c>
      <c r="AX14" s="991">
        <f>AX3</f>
        <v/>
      </c>
      <c r="AY14" s="991">
        <f>AY3</f>
        <v/>
      </c>
      <c r="AZ14" s="991">
        <f>AZ3</f>
        <v/>
      </c>
      <c r="BA14" s="991">
        <f>BA3</f>
        <v/>
      </c>
      <c r="BB14" s="991">
        <f>BB3</f>
        <v/>
      </c>
    </row>
    <row r="15" ht="15.75" customFormat="1" customHeight="1" s="122">
      <c r="A15" s="697" t="inlineStr">
        <is>
          <t>Reactivity 
PPU</t>
        </is>
      </c>
      <c r="B15" s="70" t="inlineStr">
        <is>
          <t>Accu. Average RfQ-Quote</t>
        </is>
      </c>
      <c r="C15" s="71" t="n"/>
      <c r="AD15" s="992" t="n"/>
      <c r="AE15" s="993" t="n"/>
      <c r="AF15" s="994" t="n"/>
      <c r="AG15" s="994" t="n"/>
      <c r="AH15" s="994" t="n"/>
      <c r="AI15" s="994" t="n"/>
      <c r="AL15" s="993" t="n"/>
      <c r="AM15" s="994" t="n"/>
      <c r="AN15" s="993" t="n"/>
      <c r="AO15" s="994" t="n"/>
      <c r="AP15" s="994" t="n"/>
      <c r="AQ15" s="993" t="n"/>
      <c r="AR15" s="994" t="n"/>
      <c r="AS15" s="994" t="n"/>
      <c r="AT15" s="994" t="n"/>
      <c r="AU15" s="994" t="n"/>
      <c r="AV15" s="994" t="n"/>
      <c r="AW15" s="994" t="n"/>
    </row>
    <row r="16" ht="15.75" customFormat="1" customHeight="1" s="698">
      <c r="B16" s="77" t="inlineStr">
        <is>
          <t>Max RfQ-Quote (days)</t>
        </is>
      </c>
      <c r="C16" s="78" t="n"/>
      <c r="AD16" s="123" t="n"/>
      <c r="AE16" s="124" t="n"/>
      <c r="AQ16" s="124" t="n"/>
    </row>
    <row r="17" ht="15.75" customFormat="1" customHeight="1" s="126">
      <c r="A17" s="696" t="n"/>
      <c r="B17" s="126" t="inlineStr">
        <is>
          <t>Délai Livraison</t>
        </is>
      </c>
      <c r="C17" s="72" t="n"/>
      <c r="AD17" s="995" t="n"/>
      <c r="AE17" s="996" t="n"/>
      <c r="AF17" s="997" t="n"/>
      <c r="AG17" s="997" t="n"/>
      <c r="AH17" s="998" t="n"/>
      <c r="AI17" s="998" t="n"/>
      <c r="AJ17" s="998" t="n"/>
      <c r="AK17" s="997" t="n"/>
      <c r="AL17" s="998" t="n"/>
      <c r="AM17" s="998" t="n"/>
      <c r="AN17" s="998" t="n"/>
      <c r="AO17" s="998" t="n"/>
      <c r="AP17" s="998" t="n"/>
      <c r="AQ17" s="997" t="n"/>
      <c r="AR17" s="998" t="n"/>
      <c r="AS17" s="998" t="n"/>
      <c r="AT17" s="998" t="n"/>
      <c r="AU17" s="998" t="n"/>
      <c r="AV17" s="998" t="n"/>
      <c r="AW17" s="998" t="n"/>
    </row>
    <row r="18" ht="15.75" customFormat="1" customHeight="1" s="695">
      <c r="A18" s="694" t="inlineStr">
        <is>
          <t>New Customers 
ABA</t>
        </is>
      </c>
      <c r="B18" s="698" t="inlineStr">
        <is>
          <t>Cold Calls</t>
        </is>
      </c>
      <c r="C18" s="73" t="n"/>
      <c r="AD18" s="123" t="n"/>
      <c r="AE18" s="698" t="n"/>
      <c r="AF18" s="698" t="n"/>
      <c r="AG18" s="124" t="n"/>
      <c r="AH18" s="87" t="n"/>
      <c r="AI18" s="994" t="n"/>
      <c r="AJ18" s="124" t="n"/>
      <c r="AK18" s="87" t="n"/>
      <c r="AL18" s="698" t="n"/>
      <c r="AM18" s="698" t="n"/>
      <c r="AN18" s="124" t="n"/>
      <c r="AO18" s="124" t="n"/>
      <c r="AP18" s="87" t="n"/>
      <c r="AQ18" s="87" t="n"/>
      <c r="AR18" s="87" t="n"/>
      <c r="AS18" s="124" t="n"/>
      <c r="AT18" s="698" t="n"/>
      <c r="AU18" s="698" t="n"/>
    </row>
    <row r="19" ht="15.75" customFormat="1" customHeight="1" s="695">
      <c r="B19" s="698" t="inlineStr">
        <is>
          <t>Visits</t>
        </is>
      </c>
      <c r="C19" s="73" t="n"/>
      <c r="AD19" s="123" t="n"/>
      <c r="AE19" s="698" t="n"/>
      <c r="AF19" s="124" t="n"/>
      <c r="AG19" s="87" t="n"/>
      <c r="AH19" s="124" t="n"/>
      <c r="AI19" s="122" t="n"/>
      <c r="AJ19" s="87" t="n"/>
      <c r="AK19" s="87" t="n"/>
      <c r="AL19" s="698" t="n"/>
      <c r="AM19" s="698" t="n"/>
      <c r="AN19" s="698" t="n"/>
      <c r="AO19" s="124" t="n"/>
      <c r="AP19" s="124" t="n"/>
      <c r="AQ19" s="87" t="n"/>
      <c r="AR19" s="124" t="n"/>
      <c r="AS19" s="698" t="n"/>
      <c r="AT19" s="124" t="n"/>
      <c r="AU19" s="87" t="n"/>
    </row>
    <row r="20" ht="15.75" customFormat="1" customHeight="1" s="127">
      <c r="A20" s="696" t="n"/>
      <c r="B20" s="126" t="inlineStr">
        <is>
          <t>Quotes</t>
        </is>
      </c>
      <c r="C20" s="74" t="n"/>
      <c r="AD20" s="125" t="n"/>
      <c r="AE20" s="126" t="n"/>
      <c r="AF20" s="88" t="n"/>
      <c r="AG20" s="91" t="n"/>
      <c r="AH20" s="88" t="n"/>
      <c r="AI20" s="998" t="n"/>
      <c r="AJ20" s="88" t="n"/>
      <c r="AK20" s="91" t="n"/>
      <c r="AL20" s="126" t="n"/>
      <c r="AM20" s="126" t="n"/>
      <c r="AN20" s="126" t="n"/>
      <c r="AO20" s="88" t="n"/>
      <c r="AP20" s="91" t="n"/>
      <c r="AQ20" s="88" t="n"/>
      <c r="AR20" s="91" t="n"/>
      <c r="AS20" s="88" t="n"/>
      <c r="AT20" s="88" t="n"/>
      <c r="AU20" s="91" t="n"/>
    </row>
    <row r="21" customFormat="1" s="57">
      <c r="B21" s="59" t="n"/>
      <c r="C21" s="60" t="n"/>
      <c r="AE21" s="61" t="n"/>
    </row>
    <row r="22" customFormat="1" s="57">
      <c r="A22" s="62" t="inlineStr">
        <is>
          <t>MISSING TO TARGET</t>
        </is>
      </c>
      <c r="B22" s="999">
        <f>450000-A6</f>
        <v/>
      </c>
      <c r="C22" s="60" t="n"/>
      <c r="AE22" s="61" t="n"/>
    </row>
    <row r="23" customFormat="1" s="57">
      <c r="A23" s="76" t="n"/>
      <c r="B23" s="1000" t="n"/>
      <c r="C23" s="60" t="n"/>
      <c r="AE23" s="61" t="n"/>
    </row>
    <row r="24" customFormat="1" s="57">
      <c r="A24" s="76" t="n"/>
      <c r="B24" s="1000" t="n"/>
      <c r="C24" s="60" t="n"/>
      <c r="AE24" s="61" t="n"/>
    </row>
    <row r="25" ht="15.75" customHeight="1" s="701">
      <c r="A25" s="75" t="inlineStr">
        <is>
          <t>Pending FCP Offers</t>
        </is>
      </c>
      <c r="AC25" s="759" t="n"/>
    </row>
    <row r="26" ht="15.75" customFormat="1" customHeight="1" s="85">
      <c r="A26" s="80" t="inlineStr">
        <is>
          <t>Client</t>
        </is>
      </c>
      <c r="B26" s="81" t="inlineStr">
        <is>
          <t>Product Description</t>
        </is>
      </c>
      <c r="D26" s="82" t="inlineStr">
        <is>
          <t>Date</t>
        </is>
      </c>
      <c r="E26" s="80" t="inlineStr">
        <is>
          <t>CW</t>
        </is>
      </c>
      <c r="F26" s="82" t="inlineStr">
        <is>
          <t>Date Devis</t>
        </is>
      </c>
      <c r="G26" s="83" t="inlineStr">
        <is>
          <t>Devis N°</t>
        </is>
      </c>
      <c r="H26" s="1001" t="inlineStr">
        <is>
          <t>D Montant € HT</t>
        </is>
      </c>
    </row>
    <row r="27" ht="15.75" customFormat="1" customHeight="1" s="85">
      <c r="A27" s="164" t="n"/>
      <c r="B27" s="164" t="n"/>
      <c r="C27" s="93" t="n"/>
      <c r="D27" s="94" t="n"/>
      <c r="E27" s="92" t="n"/>
      <c r="F27" s="95" t="n"/>
      <c r="G27" s="92" t="n"/>
      <c r="H27" s="1002" t="n"/>
      <c r="I27" s="93" t="n"/>
      <c r="J27" s="93" t="n"/>
      <c r="K27" s="93" t="n"/>
      <c r="L27" s="93" t="n"/>
      <c r="M27" s="93" t="n"/>
      <c r="N27" s="93" t="n"/>
      <c r="O27" s="93" t="n"/>
      <c r="P27" s="93" t="n"/>
      <c r="Q27" s="93" t="n"/>
      <c r="R27" s="93" t="n"/>
      <c r="S27" s="93" t="n"/>
      <c r="T27" s="93" t="n"/>
      <c r="U27" s="93" t="n"/>
      <c r="V27" s="93" t="n"/>
      <c r="W27" s="93" t="n"/>
      <c r="X27" s="93" t="n"/>
      <c r="Y27" s="93" t="n"/>
      <c r="Z27" s="93" t="n"/>
      <c r="AA27" s="93" t="n"/>
      <c r="AB27" s="93" t="n"/>
      <c r="AC27" s="93" t="n"/>
    </row>
    <row r="28" ht="15.75" customFormat="1" customHeight="1" s="85">
      <c r="A28" s="164" t="n"/>
      <c r="B28" s="164" t="n"/>
      <c r="C28" s="93" t="n"/>
      <c r="D28" s="94" t="n"/>
      <c r="E28" s="92" t="n"/>
      <c r="F28" s="95" t="n"/>
      <c r="G28" s="92" t="n"/>
      <c r="H28" s="1002" t="n"/>
      <c r="I28" s="93" t="n"/>
      <c r="J28" s="93" t="n"/>
      <c r="K28" s="93" t="n"/>
      <c r="L28" s="93" t="n"/>
      <c r="M28" s="93" t="n"/>
      <c r="N28" s="93" t="n"/>
      <c r="O28" s="93" t="n"/>
      <c r="P28" s="93" t="n"/>
      <c r="Q28" s="93" t="n"/>
      <c r="R28" s="93" t="n"/>
      <c r="S28" s="93" t="n"/>
      <c r="T28" s="93" t="n"/>
      <c r="U28" s="93" t="n"/>
      <c r="V28" s="93" t="n"/>
      <c r="W28" s="93" t="n"/>
      <c r="X28" s="93" t="n"/>
      <c r="Y28" s="93" t="n"/>
      <c r="Z28" s="93" t="n"/>
      <c r="AA28" s="93" t="n"/>
      <c r="AB28" s="93" t="n"/>
      <c r="AC28" s="93" t="n"/>
    </row>
    <row r="29" ht="15.75" customFormat="1" customHeight="1" s="85">
      <c r="A29" s="19" t="n"/>
      <c r="C29" s="98" t="n"/>
      <c r="D29" s="330" t="n"/>
      <c r="E29" s="121" t="n"/>
      <c r="F29" s="18" t="n"/>
      <c r="G29" s="19" t="n"/>
      <c r="H29" s="1003" t="n"/>
      <c r="I29" s="98" t="n"/>
      <c r="J29" s="98" t="n"/>
      <c r="K29" s="98" t="n"/>
      <c r="L29" s="98" t="n"/>
      <c r="M29" s="98" t="n"/>
      <c r="N29" s="98" t="n"/>
      <c r="O29" s="98" t="n"/>
      <c r="P29" s="98" t="n"/>
      <c r="Q29" s="98" t="n"/>
      <c r="R29" s="98" t="n"/>
      <c r="S29" s="98" t="n"/>
      <c r="T29" s="98" t="n"/>
      <c r="U29" s="98" t="n"/>
      <c r="V29" s="98" t="n"/>
      <c r="W29" s="98" t="n"/>
      <c r="X29" s="98" t="n"/>
      <c r="Y29" s="98" t="n"/>
      <c r="Z29" s="98" t="n"/>
      <c r="AA29" s="98" t="n"/>
      <c r="AB29" s="98" t="n"/>
      <c r="AC29" s="98" t="n"/>
    </row>
    <row r="30" ht="15.75" customFormat="1" customHeight="1" s="85">
      <c r="A30" s="22" t="n"/>
      <c r="C30" s="98" t="n"/>
      <c r="D30" s="330" t="n"/>
      <c r="E30" s="121" t="n"/>
      <c r="F30" s="21" t="n"/>
      <c r="G30" s="22" t="n"/>
      <c r="H30" s="1004" t="n"/>
      <c r="I30" s="98" t="n"/>
      <c r="J30" s="98" t="n"/>
      <c r="K30" s="98" t="n"/>
      <c r="L30" s="98" t="n"/>
      <c r="M30" s="98" t="n"/>
      <c r="N30" s="98" t="n"/>
      <c r="O30" s="98" t="n"/>
      <c r="P30" s="98" t="n"/>
      <c r="Q30" s="98" t="n"/>
      <c r="R30" s="98" t="n"/>
      <c r="S30" s="98" t="n"/>
      <c r="T30" s="98" t="n"/>
      <c r="U30" s="98" t="n"/>
      <c r="V30" s="98" t="n"/>
      <c r="W30" s="98" t="n"/>
      <c r="X30" s="98" t="n"/>
      <c r="Y30" s="98" t="n"/>
      <c r="Z30" s="98" t="n"/>
      <c r="AA30" s="98" t="n"/>
      <c r="AB30" s="98" t="n"/>
      <c r="AC30" s="98" t="n"/>
    </row>
    <row r="31" ht="15.75" customFormat="1" customHeight="1" s="85">
      <c r="A31" s="24" t="n"/>
      <c r="C31" s="98" t="n"/>
      <c r="D31" s="330" t="n"/>
      <c r="E31" s="121" t="n"/>
      <c r="F31" s="23" t="n"/>
      <c r="G31" s="24" t="n"/>
      <c r="H31" s="1005" t="n"/>
      <c r="I31" s="98" t="n"/>
      <c r="J31" s="98" t="n"/>
      <c r="K31" s="98" t="n"/>
      <c r="L31" s="98" t="n"/>
      <c r="M31" s="98" t="n"/>
      <c r="N31" s="98" t="n"/>
      <c r="O31" s="98" t="n"/>
      <c r="P31" s="98" t="n"/>
      <c r="Q31" s="98" t="n"/>
      <c r="R31" s="98" t="n"/>
      <c r="S31" s="98" t="n"/>
      <c r="T31" s="98" t="n"/>
      <c r="U31" s="98" t="n"/>
      <c r="V31" s="98" t="n"/>
      <c r="W31" s="98" t="n"/>
      <c r="X31" s="98" t="n"/>
      <c r="Y31" s="98" t="n"/>
      <c r="Z31" s="98" t="n"/>
      <c r="AA31" s="98" t="n"/>
      <c r="AB31" s="98" t="n"/>
      <c r="AC31" s="98" t="n"/>
    </row>
    <row r="32" ht="15.75" customFormat="1" customHeight="1" s="85">
      <c r="C32" s="98" t="n"/>
      <c r="D32" s="330" t="n"/>
      <c r="E32" s="121" t="n"/>
      <c r="F32" s="163" t="n"/>
      <c r="G32" s="57" t="n"/>
      <c r="H32" s="708" t="n"/>
      <c r="I32" s="98" t="n"/>
      <c r="J32" s="98" t="n"/>
      <c r="K32" s="98" t="n"/>
      <c r="L32" s="98" t="n"/>
      <c r="M32" s="98" t="n"/>
      <c r="N32" s="98" t="n"/>
      <c r="O32" s="98" t="n"/>
      <c r="P32" s="98" t="n"/>
      <c r="Q32" s="98" t="n"/>
      <c r="R32" s="98" t="n"/>
      <c r="S32" s="98" t="n"/>
      <c r="T32" s="98" t="n"/>
      <c r="U32" s="98" t="n"/>
      <c r="V32" s="98" t="n"/>
      <c r="W32" s="98" t="n"/>
      <c r="X32" s="98" t="n"/>
      <c r="Y32" s="98" t="n"/>
      <c r="Z32" s="98" t="n"/>
      <c r="AA32" s="98" t="n"/>
      <c r="AB32" s="98" t="n"/>
      <c r="AC32" s="98" t="n"/>
    </row>
    <row r="33" ht="15.75" customFormat="1" customHeight="1" s="85">
      <c r="C33" s="98" t="n"/>
      <c r="D33" s="330" t="n"/>
      <c r="E33" s="121" t="n"/>
      <c r="F33" s="163" t="n"/>
      <c r="G33" s="57" t="n"/>
      <c r="H33" s="708" t="n"/>
      <c r="I33" s="98" t="n"/>
      <c r="J33" s="98" t="n"/>
      <c r="K33" s="98" t="n"/>
      <c r="L33" s="98" t="n"/>
      <c r="M33" s="98" t="n"/>
      <c r="N33" s="98" t="n"/>
      <c r="O33" s="98" t="n"/>
      <c r="P33" s="98" t="n"/>
      <c r="Q33" s="98" t="n"/>
      <c r="R33" s="98" t="n"/>
      <c r="S33" s="98" t="n"/>
      <c r="T33" s="98" t="n"/>
      <c r="U33" s="98" t="n"/>
      <c r="V33" s="98" t="n"/>
      <c r="W33" s="98" t="n"/>
      <c r="X33" s="98" t="n"/>
      <c r="Y33" s="98" t="n"/>
      <c r="Z33" s="98" t="n"/>
      <c r="AA33" s="98" t="n"/>
      <c r="AB33" s="98" t="n"/>
      <c r="AC33" s="98" t="n"/>
    </row>
    <row r="34" ht="15.75" customFormat="1" customHeight="1" s="85">
      <c r="C34" s="98" t="n"/>
      <c r="D34" s="330" t="n"/>
      <c r="E34" s="121" t="n"/>
      <c r="F34" s="163" t="n"/>
      <c r="G34" s="57" t="n"/>
      <c r="H34" s="708" t="n"/>
      <c r="I34" s="98" t="n"/>
      <c r="J34" s="98" t="n"/>
      <c r="K34" s="98" t="n"/>
      <c r="L34" s="98" t="n"/>
      <c r="M34" s="98" t="n"/>
      <c r="N34" s="98" t="n"/>
      <c r="O34" s="98" t="n"/>
      <c r="P34" s="98" t="n"/>
      <c r="Q34" s="98" t="n"/>
      <c r="R34" s="98" t="n"/>
      <c r="S34" s="98" t="n"/>
      <c r="T34" s="98" t="n"/>
      <c r="U34" s="98" t="n"/>
      <c r="V34" s="98" t="n"/>
      <c r="W34" s="98" t="n"/>
      <c r="X34" s="98" t="n"/>
      <c r="Y34" s="98" t="n"/>
      <c r="Z34" s="98" t="n"/>
      <c r="AA34" s="98" t="n"/>
      <c r="AB34" s="98" t="n"/>
      <c r="AC34" s="98" t="n"/>
    </row>
    <row r="35" ht="15.75" customFormat="1" customHeight="1" s="85">
      <c r="C35" s="98" t="n"/>
      <c r="D35" s="330" t="n"/>
      <c r="E35" s="121" t="n"/>
      <c r="F35" s="163" t="n"/>
      <c r="G35" s="57" t="n"/>
      <c r="H35" s="708" t="n"/>
      <c r="I35" s="98" t="n"/>
      <c r="J35" s="98" t="n"/>
      <c r="K35" s="98" t="n"/>
      <c r="L35" s="98" t="n"/>
      <c r="M35" s="98" t="n"/>
      <c r="N35" s="98" t="n"/>
      <c r="O35" s="98" t="n"/>
      <c r="P35" s="98" t="n"/>
      <c r="Q35" s="98" t="n"/>
      <c r="R35" s="98" t="n"/>
      <c r="S35" s="98" t="n"/>
      <c r="T35" s="98" t="n"/>
      <c r="U35" s="98" t="n"/>
      <c r="V35" s="98" t="n"/>
      <c r="W35" s="98" t="n"/>
      <c r="X35" s="98" t="n"/>
      <c r="Y35" s="98" t="n"/>
      <c r="Z35" s="98" t="n"/>
      <c r="AA35" s="98" t="n"/>
      <c r="AB35" s="98" t="n"/>
      <c r="AC35" s="98" t="n"/>
    </row>
    <row r="36" ht="15.75" customFormat="1" customHeight="1" s="85">
      <c r="A36" s="17" t="n"/>
      <c r="C36" s="98" t="n"/>
      <c r="D36" s="330" t="n"/>
      <c r="E36" s="121" t="n"/>
      <c r="F36" s="84" t="n"/>
      <c r="G36" s="58" t="n"/>
      <c r="H36" s="1006" t="n"/>
      <c r="I36" s="98" t="n"/>
      <c r="J36" s="98" t="n"/>
      <c r="K36" s="98" t="n"/>
      <c r="L36" s="98" t="n"/>
      <c r="M36" s="98" t="n"/>
      <c r="N36" s="98" t="n"/>
      <c r="O36" s="98" t="n"/>
      <c r="P36" s="98" t="n"/>
      <c r="Q36" s="98" t="n"/>
      <c r="R36" s="98" t="n"/>
      <c r="S36" s="98" t="n"/>
      <c r="T36" s="98" t="n"/>
      <c r="U36" s="98" t="n"/>
      <c r="V36" s="98" t="n"/>
      <c r="W36" s="98" t="n"/>
      <c r="X36" s="98" t="n"/>
      <c r="Y36" s="98" t="n"/>
      <c r="Z36" s="98" t="n"/>
      <c r="AA36" s="98" t="n"/>
      <c r="AB36" s="98" t="n"/>
      <c r="AC36" s="98" t="n"/>
    </row>
    <row r="37" ht="15.75" customFormat="1" customHeight="1" s="85">
      <c r="C37" s="98" t="n"/>
      <c r="D37" s="330" t="n"/>
      <c r="E37" s="121" t="n"/>
      <c r="F37" s="163" t="n"/>
      <c r="G37" s="57" t="n"/>
      <c r="H37" s="708" t="n"/>
      <c r="I37" s="98" t="n"/>
      <c r="J37" s="98" t="n"/>
      <c r="K37" s="98" t="n"/>
      <c r="L37" s="98" t="n"/>
      <c r="M37" s="98" t="n"/>
      <c r="N37" s="98" t="n"/>
      <c r="O37" s="98" t="n"/>
      <c r="P37" s="98" t="n"/>
      <c r="Q37" s="98" t="n"/>
      <c r="R37" s="98" t="n"/>
      <c r="S37" s="98" t="n"/>
      <c r="T37" s="98" t="n"/>
      <c r="U37" s="98" t="n"/>
      <c r="V37" s="98" t="n"/>
      <c r="W37" s="98" t="n"/>
      <c r="X37" s="98" t="n"/>
      <c r="Y37" s="98" t="n"/>
      <c r="Z37" s="98" t="n"/>
      <c r="AA37" s="98" t="n"/>
      <c r="AB37" s="98" t="n"/>
      <c r="AC37" s="98" t="n"/>
    </row>
    <row r="38" ht="15.75" customFormat="1" customHeight="1" s="85">
      <c r="C38" s="98" t="n"/>
      <c r="D38" s="330" t="n"/>
      <c r="E38" s="121" t="n"/>
      <c r="F38" s="163" t="n"/>
      <c r="G38" s="57" t="n"/>
      <c r="H38" s="708" t="n"/>
      <c r="I38" s="98" t="n"/>
      <c r="J38" s="98" t="n"/>
      <c r="K38" s="98" t="n"/>
      <c r="L38" s="98" t="n"/>
      <c r="M38" s="98" t="n"/>
      <c r="N38" s="98" t="n"/>
      <c r="O38" s="98" t="n"/>
      <c r="P38" s="98" t="n"/>
      <c r="Q38" s="98" t="n"/>
      <c r="R38" s="98" t="n"/>
      <c r="S38" s="98" t="n"/>
      <c r="T38" s="98" t="n"/>
      <c r="U38" s="98" t="n"/>
      <c r="V38" s="98" t="n"/>
      <c r="W38" s="98" t="n"/>
      <c r="X38" s="98" t="n"/>
      <c r="Y38" s="98" t="n"/>
      <c r="Z38" s="98" t="n"/>
      <c r="AA38" s="98" t="n"/>
      <c r="AB38" s="98" t="n"/>
      <c r="AC38" s="98" t="n"/>
    </row>
    <row r="39" ht="15.75" customFormat="1" customHeight="1" s="85">
      <c r="D39" s="163" t="n"/>
      <c r="E39" s="700" t="n"/>
      <c r="F39" s="163" t="n"/>
      <c r="G39" s="57" t="n"/>
      <c r="H39" s="708" t="n"/>
    </row>
    <row r="40" ht="15.75" customFormat="1" customHeight="1" s="85">
      <c r="D40" s="163" t="n"/>
      <c r="E40" s="700" t="n"/>
      <c r="F40" s="163" t="n"/>
      <c r="G40" s="57" t="n"/>
      <c r="H40" s="708" t="n"/>
    </row>
    <row r="41" ht="15.75" customFormat="1" customHeight="1" s="85">
      <c r="D41" s="163" t="n"/>
      <c r="E41" s="700" t="n"/>
      <c r="F41" s="163" t="n"/>
      <c r="G41" s="57" t="n"/>
      <c r="H41" s="708" t="n"/>
    </row>
    <row r="42" ht="15.75" customFormat="1" customHeight="1" s="85">
      <c r="E42" s="700" t="n"/>
      <c r="F42" s="163" t="n"/>
      <c r="H42" s="708" t="n"/>
    </row>
    <row r="43">
      <c r="A43" s="696" t="n"/>
      <c r="B43" s="696" t="n"/>
      <c r="C43" s="696" t="n"/>
      <c r="D43" s="696" t="n"/>
      <c r="E43" s="86" t="n"/>
      <c r="F43" s="84" t="n"/>
      <c r="G43" s="58" t="n"/>
      <c r="H43" s="1006" t="n"/>
      <c r="I43" s="696" t="n"/>
      <c r="J43" s="696" t="n"/>
      <c r="K43" s="696" t="n"/>
      <c r="L43" s="696" t="n"/>
      <c r="M43" s="696" t="n"/>
      <c r="N43" s="696" t="n"/>
      <c r="O43" s="696" t="n"/>
      <c r="P43" s="696" t="n"/>
      <c r="Q43" s="696" t="n"/>
      <c r="R43" s="696" t="n"/>
      <c r="S43" s="696" t="n"/>
      <c r="T43" s="696" t="n"/>
      <c r="U43" s="696" t="n"/>
      <c r="V43" s="696" t="n"/>
      <c r="W43" s="696" t="n"/>
      <c r="X43" s="696" t="n"/>
      <c r="Y43" s="696" t="n"/>
      <c r="Z43" s="696" t="n"/>
      <c r="AA43" s="696" t="n"/>
      <c r="AB43" s="696" t="n"/>
      <c r="AC43" s="696" t="n"/>
    </row>
    <row r="45">
      <c r="G45" s="248" t="inlineStr">
        <is>
          <t>Sum</t>
        </is>
      </c>
      <c r="H45" s="1007">
        <f>SUM(H27:H43)</f>
        <v/>
      </c>
    </row>
    <row r="48">
      <c r="B48" s="700" t="inlineStr">
        <is>
          <t>O.I GSE (SAP)</t>
        </is>
      </c>
    </row>
    <row r="49" ht="15.75" customFormat="1" customHeight="1" s="80">
      <c r="A49" s="80" t="inlineStr">
        <is>
          <t>Total</t>
        </is>
      </c>
      <c r="B49" s="79" t="inlineStr">
        <is>
          <t>GSE/Tools</t>
        </is>
      </c>
      <c r="C49" s="80" t="inlineStr">
        <is>
          <t>S01</t>
        </is>
      </c>
      <c r="D49" s="80" t="inlineStr">
        <is>
          <t>S02</t>
        </is>
      </c>
      <c r="E49" s="80" t="inlineStr">
        <is>
          <t>S03</t>
        </is>
      </c>
      <c r="F49" s="63" t="inlineStr">
        <is>
          <t>S04</t>
        </is>
      </c>
      <c r="G49" s="63" t="inlineStr">
        <is>
          <t>S05</t>
        </is>
      </c>
      <c r="H49" s="63" t="inlineStr">
        <is>
          <t>S06</t>
        </is>
      </c>
      <c r="I49" s="80" t="inlineStr">
        <is>
          <t>S07</t>
        </is>
      </c>
      <c r="J49" s="63" t="inlineStr">
        <is>
          <t>S08</t>
        </is>
      </c>
      <c r="K49" s="80" t="inlineStr">
        <is>
          <t>S09</t>
        </is>
      </c>
      <c r="L49" s="63" t="inlineStr">
        <is>
          <t>S10</t>
        </is>
      </c>
      <c r="M49" s="63" t="inlineStr">
        <is>
          <t>S11</t>
        </is>
      </c>
      <c r="N49" s="63" t="inlineStr">
        <is>
          <t>S12</t>
        </is>
      </c>
      <c r="O49" s="63" t="inlineStr">
        <is>
          <t>S13</t>
        </is>
      </c>
      <c r="P49" s="63" t="inlineStr">
        <is>
          <t>S14</t>
        </is>
      </c>
      <c r="Q49" s="63" t="inlineStr">
        <is>
          <t>S15</t>
        </is>
      </c>
      <c r="R49" s="63" t="inlineStr">
        <is>
          <t>S16</t>
        </is>
      </c>
      <c r="S49" s="64" t="inlineStr">
        <is>
          <t>S17</t>
        </is>
      </c>
      <c r="T49" s="63" t="inlineStr">
        <is>
          <t>S18</t>
        </is>
      </c>
      <c r="U49" s="63" t="inlineStr">
        <is>
          <t>S19</t>
        </is>
      </c>
      <c r="V49" s="63" t="inlineStr">
        <is>
          <t>S20</t>
        </is>
      </c>
      <c r="W49" s="63" t="inlineStr">
        <is>
          <t>S21</t>
        </is>
      </c>
      <c r="X49" s="63" t="inlineStr">
        <is>
          <t>S22</t>
        </is>
      </c>
      <c r="Y49" s="63" t="inlineStr">
        <is>
          <t>S23</t>
        </is>
      </c>
      <c r="Z49" s="63" t="inlineStr">
        <is>
          <t>S24</t>
        </is>
      </c>
      <c r="AA49" s="63" t="inlineStr">
        <is>
          <t>S25</t>
        </is>
      </c>
      <c r="AB49" s="63" t="inlineStr">
        <is>
          <t>S26</t>
        </is>
      </c>
      <c r="AC49" s="63" t="inlineStr">
        <is>
          <t>S27</t>
        </is>
      </c>
      <c r="AD49" s="65" t="inlineStr">
        <is>
          <t>S28</t>
        </is>
      </c>
      <c r="AE49" s="63" t="inlineStr">
        <is>
          <t>S29</t>
        </is>
      </c>
      <c r="AF49" s="63" t="inlineStr">
        <is>
          <t>S30</t>
        </is>
      </c>
      <c r="AG49" s="63" t="inlineStr">
        <is>
          <t>S31</t>
        </is>
      </c>
      <c r="AH49" s="63" t="inlineStr">
        <is>
          <t>S32</t>
        </is>
      </c>
      <c r="AI49" s="89" t="inlineStr">
        <is>
          <t>S33</t>
        </is>
      </c>
      <c r="AJ49" s="63" t="inlineStr">
        <is>
          <t>S34</t>
        </is>
      </c>
      <c r="AK49" s="63" t="inlineStr">
        <is>
          <t>S35</t>
        </is>
      </c>
      <c r="AL49" s="63" t="inlineStr">
        <is>
          <t>S36</t>
        </is>
      </c>
      <c r="AM49" s="63" t="inlineStr">
        <is>
          <t>S37</t>
        </is>
      </c>
      <c r="AN49" s="63" t="inlineStr">
        <is>
          <t>S38</t>
        </is>
      </c>
      <c r="AO49" s="63" t="inlineStr">
        <is>
          <t>S39</t>
        </is>
      </c>
      <c r="AP49" s="63" t="inlineStr">
        <is>
          <t>S40</t>
        </is>
      </c>
      <c r="AQ49" s="63" t="inlineStr">
        <is>
          <t>S41</t>
        </is>
      </c>
      <c r="AR49" s="63" t="inlineStr">
        <is>
          <t>S42</t>
        </is>
      </c>
      <c r="AS49" s="63" t="inlineStr">
        <is>
          <t>S43</t>
        </is>
      </c>
      <c r="AT49" s="63" t="inlineStr">
        <is>
          <t>S44</t>
        </is>
      </c>
      <c r="AU49" s="63" t="inlineStr">
        <is>
          <t>S45</t>
        </is>
      </c>
      <c r="AV49" s="63" t="inlineStr">
        <is>
          <t>S46</t>
        </is>
      </c>
      <c r="AW49" s="63" t="inlineStr">
        <is>
          <t>S47</t>
        </is>
      </c>
      <c r="AX49" s="63" t="inlineStr">
        <is>
          <t>S48</t>
        </is>
      </c>
      <c r="AY49" s="63" t="inlineStr">
        <is>
          <t>S49</t>
        </is>
      </c>
      <c r="AZ49" s="63" t="inlineStr">
        <is>
          <t>S50</t>
        </is>
      </c>
      <c r="BA49" s="63" t="inlineStr">
        <is>
          <t>S51</t>
        </is>
      </c>
      <c r="BB49" s="63" t="inlineStr">
        <is>
          <t>S52</t>
        </is>
      </c>
    </row>
    <row r="50" ht="15.75" customFormat="1" customHeight="1" s="1008">
      <c r="A50" s="965">
        <f>SUM(C50:BB50)</f>
        <v/>
      </c>
      <c r="B50" s="966" t="inlineStr">
        <is>
          <t>Devis</t>
        </is>
      </c>
      <c r="C50" s="709" t="n">
        <v>287284</v>
      </c>
      <c r="D50" s="1008" t="n">
        <v>777640</v>
      </c>
      <c r="E50" s="1008" t="n">
        <v>1213378</v>
      </c>
      <c r="F50" s="1008" t="n">
        <v>698312</v>
      </c>
      <c r="G50" s="1008" t="n">
        <v>1776908</v>
      </c>
      <c r="H50" s="1008" t="n">
        <v>1001876</v>
      </c>
      <c r="I50" s="1008" t="n">
        <v>288332</v>
      </c>
      <c r="J50" s="1008" t="n">
        <v>614417</v>
      </c>
      <c r="K50" s="1008" t="n">
        <v>760267</v>
      </c>
      <c r="L50" s="1008" t="n">
        <v>323789</v>
      </c>
      <c r="M50" s="1008" t="n">
        <v>979795</v>
      </c>
      <c r="N50" s="1008" t="n">
        <v>701882</v>
      </c>
      <c r="O50" s="1008" t="n">
        <v>47499</v>
      </c>
      <c r="Z50" t="n"/>
      <c r="AE50" s="1009" t="n"/>
      <c r="AG50" t="n"/>
      <c r="AH50" s="1010" t="n"/>
      <c r="AK50" s="1009" t="n"/>
      <c r="AL50" t="n"/>
      <c r="AM50" s="1011" t="n"/>
      <c r="AP50" s="1012" t="n"/>
      <c r="AW50" s="1010" t="n"/>
    </row>
    <row r="51" ht="15.75" customFormat="1" customHeight="1" s="1013">
      <c r="A51" s="976">
        <f>SUM(C51:CC51)</f>
        <v/>
      </c>
      <c r="B51" s="977" t="inlineStr">
        <is>
          <t>Cmde</t>
        </is>
      </c>
      <c r="C51" s="772" t="n">
        <v>68929</v>
      </c>
      <c r="D51" s="1013" t="n">
        <v>24573</v>
      </c>
      <c r="E51" s="1013" t="n">
        <v>11899</v>
      </c>
      <c r="F51" s="1013" t="n">
        <v>63152</v>
      </c>
      <c r="G51" s="1013" t="n">
        <v>206178</v>
      </c>
      <c r="H51" s="1013" t="n">
        <v>22931</v>
      </c>
      <c r="I51" s="1013" t="n">
        <v>13438</v>
      </c>
      <c r="J51" s="1013" t="n">
        <v>11152</v>
      </c>
      <c r="K51" s="1013" t="n">
        <v>14606</v>
      </c>
      <c r="L51" s="1013" t="n">
        <v>45030</v>
      </c>
      <c r="M51" s="1013" t="n">
        <v>137720</v>
      </c>
      <c r="N51" s="1013" t="n">
        <v>115591</v>
      </c>
      <c r="O51" s="1013" t="n">
        <v>71293</v>
      </c>
      <c r="P51" s="1014" t="n">
        <v>190368</v>
      </c>
      <c r="AE51" s="1015" t="n"/>
      <c r="AH51" s="1016" t="n"/>
      <c r="AI51" t="n"/>
      <c r="AK51" s="1017" t="n"/>
      <c r="AL51" s="1016" t="n"/>
      <c r="AM51" s="1016" t="n"/>
      <c r="AO51" s="1016" t="n"/>
      <c r="AP51" s="1017" t="n"/>
      <c r="AQ51" s="1016" t="n"/>
      <c r="AR51" s="1016" t="n"/>
      <c r="AS51" s="1016" t="n"/>
      <c r="AT51" s="1016" t="n"/>
      <c r="AU51" s="1016" t="n"/>
      <c r="AV51" s="1016" t="n"/>
      <c r="AW51" s="1016" t="n"/>
    </row>
    <row r="52" ht="45.75" customHeight="1" s="701">
      <c r="A52" s="215" t="n"/>
      <c r="B52" s="1018" t="n"/>
      <c r="C52" s="168" t="inlineStr">
        <is>
          <t>Hydro France - 441</t>
        </is>
      </c>
      <c r="D52" s="168" t="inlineStr">
        <is>
          <t>INTERAPPRO - 393</t>
        </is>
      </c>
      <c r="E52" s="1019" t="inlineStr">
        <is>
          <t>Hydro France - 1 668</t>
        </is>
      </c>
      <c r="F52" s="130" t="inlineStr">
        <is>
          <t>Hydro France - 318</t>
        </is>
      </c>
      <c r="G52" s="130" t="inlineStr">
        <is>
          <t>Hydro France - 149 000</t>
        </is>
      </c>
      <c r="H52" s="168" t="inlineStr">
        <is>
          <t>REEL SAS - 5 995</t>
        </is>
      </c>
      <c r="I52" s="168" t="inlineStr">
        <is>
          <t>REEL SAS - 2 009</t>
        </is>
      </c>
      <c r="J52" s="168" t="inlineStr">
        <is>
          <t>ROYAL AIR MAROC - 546</t>
        </is>
      </c>
      <c r="K52" s="168" t="inlineStr">
        <is>
          <t>ATR - 5 111</t>
        </is>
      </c>
      <c r="L52" s="168" t="inlineStr">
        <is>
          <t>INTERAPPRO - 57</t>
        </is>
      </c>
      <c r="M52" s="168" t="inlineStr">
        <is>
          <t>INTERAPPRO - 714</t>
        </is>
      </c>
      <c r="N52" s="168" t="inlineStr">
        <is>
          <t>INTERAPPRO - 309</t>
        </is>
      </c>
      <c r="O52" s="168" t="inlineStr">
        <is>
          <t>TCR France - 346</t>
        </is>
      </c>
      <c r="P52" s="168" t="inlineStr">
        <is>
          <t>Airbus Helicopters - 24 830</t>
        </is>
      </c>
      <c r="Q52" s="168" t="n"/>
      <c r="R52" s="168" t="n"/>
      <c r="S52" s="168" t="n"/>
      <c r="T52" s="168" t="n"/>
      <c r="U52" s="168" t="n"/>
      <c r="V52" s="168" t="n"/>
      <c r="W52" s="168" t="n"/>
      <c r="X52" s="168" t="n"/>
      <c r="Y52" s="168" t="n"/>
      <c r="Z52" s="168" t="n"/>
      <c r="AA52" s="169" t="n"/>
      <c r="AB52" s="169" t="n"/>
      <c r="AC52" s="169" t="n"/>
      <c r="AD52" s="1020" t="n"/>
      <c r="AE52" s="169" t="n"/>
      <c r="AF52" s="169" t="n"/>
      <c r="AG52" s="169" t="n"/>
      <c r="AH52" s="168" t="n"/>
      <c r="AI52" s="168" t="n"/>
      <c r="AJ52" s="168" t="n"/>
      <c r="AK52" s="131" t="n"/>
      <c r="AL52" s="168" t="n"/>
      <c r="AM52" s="168" t="n"/>
      <c r="AN52" s="168" t="n"/>
      <c r="AO52" s="168" t="n"/>
      <c r="AP52" s="168" t="n"/>
      <c r="AQ52" s="132" t="n"/>
      <c r="AR52" s="132" t="n"/>
      <c r="AS52" s="132" t="n"/>
      <c r="AT52" s="132" t="n"/>
      <c r="AU52" s="132" t="n"/>
      <c r="AV52" s="132" t="n"/>
      <c r="AW52" s="132" t="n"/>
      <c r="AX52" s="132" t="n"/>
      <c r="AY52" s="132" t="n"/>
      <c r="AZ52" s="132" t="n"/>
      <c r="BA52" s="129" t="n"/>
      <c r="BB52" s="132" t="n"/>
    </row>
    <row r="53" ht="31.5" customHeight="1" s="701">
      <c r="A53" s="128" t="n"/>
      <c r="B53" s="1021" t="n"/>
      <c r="C53" s="168" t="inlineStr">
        <is>
          <t>TUNISAIR TECHNICS - 68 488</t>
        </is>
      </c>
      <c r="D53" s="168" t="inlineStr">
        <is>
          <t>ROYAL AIR MAROC - 6 952</t>
        </is>
      </c>
      <c r="E53" s="168" t="inlineStr">
        <is>
          <t>INTERAPPRO - 1 094</t>
        </is>
      </c>
      <c r="F53" s="130" t="inlineStr">
        <is>
          <t>ROYAL AIR MAROC - 6 117</t>
        </is>
      </c>
      <c r="G53" s="130" t="inlineStr">
        <is>
          <t>REEL SAS - 298</t>
        </is>
      </c>
      <c r="H53" s="168" t="inlineStr">
        <is>
          <t xml:space="preserve">Airbus Operations SAS - </t>
        </is>
      </c>
      <c r="I53" s="168" t="inlineStr">
        <is>
          <t>Egypt Air - 9 120</t>
        </is>
      </c>
      <c r="J53" s="168" t="inlineStr">
        <is>
          <t>TCR France - 38</t>
        </is>
      </c>
      <c r="K53" s="168" t="inlineStr">
        <is>
          <t>Air Austral - 642</t>
        </is>
      </c>
      <c r="L53" s="168" t="inlineStr">
        <is>
          <t>ROYAL AIR MAROC - 1 435</t>
        </is>
      </c>
      <c r="M53" s="168" t="inlineStr">
        <is>
          <t>TCR France - 33</t>
        </is>
      </c>
      <c r="N53" s="168" t="inlineStr">
        <is>
          <t>TCR France - 400</t>
        </is>
      </c>
      <c r="O53" s="168" t="inlineStr">
        <is>
          <t>ATR - 13 897</t>
        </is>
      </c>
      <c r="P53" s="168" t="inlineStr">
        <is>
          <t>REEL SAS - 1 345</t>
        </is>
      </c>
      <c r="Q53" s="168" t="n"/>
      <c r="R53" s="168" t="n"/>
      <c r="T53" s="168" t="n"/>
      <c r="U53" s="168" t="n"/>
      <c r="V53" s="168" t="n"/>
      <c r="W53" s="168" t="n"/>
      <c r="X53" s="168" t="n"/>
      <c r="Y53" s="168" t="n"/>
      <c r="Z53" s="168" t="n"/>
      <c r="AA53" s="169" t="n"/>
      <c r="AB53" s="169" t="n"/>
      <c r="AC53" s="169" t="n"/>
      <c r="AD53" s="1020" t="n"/>
      <c r="AE53" s="169" t="n"/>
      <c r="AF53" s="169" t="n"/>
      <c r="AG53" s="169" t="n"/>
      <c r="AH53" s="168" t="n"/>
      <c r="AI53" s="168" t="n"/>
      <c r="AJ53" s="130" t="n"/>
      <c r="AK53" s="133" t="n"/>
      <c r="AL53" s="168" t="n"/>
      <c r="AM53" s="168" t="n"/>
      <c r="AN53" s="168" t="n"/>
      <c r="AO53" s="168" t="n"/>
      <c r="AP53" s="134" t="n"/>
      <c r="AQ53" s="132" t="n"/>
      <c r="AR53" s="132" t="n"/>
      <c r="AS53" s="132" t="n"/>
      <c r="AT53" s="132" t="n"/>
      <c r="AU53" s="132" t="n"/>
      <c r="AV53" s="132" t="n"/>
      <c r="AW53" s="132" t="n"/>
      <c r="AX53" s="132" t="n"/>
      <c r="AY53" s="132" t="n"/>
      <c r="AZ53" s="132" t="n"/>
      <c r="BA53" s="129" t="n"/>
      <c r="BB53" s="132" t="n"/>
    </row>
    <row r="54" ht="23.25" customHeight="1" s="701">
      <c r="B54" s="1022" t="n"/>
      <c r="C54" s="168" t="n"/>
      <c r="D54" s="168" t="inlineStr">
        <is>
          <t>TCR France - 241</t>
        </is>
      </c>
      <c r="E54" s="168" t="inlineStr">
        <is>
          <t>ATR - 886</t>
        </is>
      </c>
      <c r="F54" s="130" t="inlineStr">
        <is>
          <t>REEL SAS - 2 192</t>
        </is>
      </c>
      <c r="G54" s="130" t="inlineStr">
        <is>
          <t>Airbus Operations SAS - 13 070</t>
        </is>
      </c>
      <c r="H54" s="168" t="inlineStr">
        <is>
          <t xml:space="preserve">GOODRICH AEROSPACE EUROPE - </t>
        </is>
      </c>
      <c r="I54" s="168" t="inlineStr">
        <is>
          <t>South African Airways - 2 309</t>
        </is>
      </c>
      <c r="J54" s="168" t="inlineStr">
        <is>
          <t>SIRBEM - 84</t>
        </is>
      </c>
      <c r="K54" s="168" t="inlineStr">
        <is>
          <t xml:space="preserve">Air Caraibes Atlantique - </t>
        </is>
      </c>
      <c r="L54" s="168" t="inlineStr">
        <is>
          <t>ATR - 13 815</t>
        </is>
      </c>
      <c r="M54" s="168" t="inlineStr">
        <is>
          <t xml:space="preserve">ATR - </t>
        </is>
      </c>
      <c r="N54" s="168" t="inlineStr">
        <is>
          <t>ATR - 1 624</t>
        </is>
      </c>
      <c r="O54" s="168" t="inlineStr">
        <is>
          <t>REEL SAS - 468</t>
        </is>
      </c>
      <c r="P54" s="168" t="inlineStr">
        <is>
          <t>SIRBEM - 58</t>
        </is>
      </c>
      <c r="Q54" s="168" t="n"/>
      <c r="R54" s="169" t="n"/>
      <c r="S54" s="168" t="n"/>
      <c r="T54" s="168" t="n"/>
      <c r="U54" s="168" t="n"/>
      <c r="V54" s="168" t="n"/>
      <c r="W54" s="168" t="n"/>
      <c r="X54" s="168" t="n"/>
      <c r="Y54" s="168" t="n"/>
      <c r="Z54" s="168" t="n"/>
      <c r="AA54" s="169" t="n"/>
      <c r="AB54" s="169" t="n"/>
      <c r="AC54" s="169" t="n"/>
      <c r="AD54" s="1020" t="n"/>
      <c r="AE54" s="169" t="n"/>
      <c r="AF54" s="169" t="n"/>
      <c r="AG54" s="169" t="n"/>
      <c r="AH54" s="168" t="n"/>
      <c r="AI54" s="168" t="n"/>
      <c r="AJ54" s="168" t="n"/>
      <c r="AK54" s="168" t="n"/>
      <c r="AL54" s="168" t="n"/>
      <c r="AM54" s="168" t="n"/>
      <c r="AN54" s="168" t="n"/>
      <c r="AO54" s="168" t="n"/>
      <c r="AP54" s="168" t="n"/>
      <c r="AQ54" s="168" t="n"/>
      <c r="AR54" s="168" t="n"/>
      <c r="AS54" s="168" t="n"/>
      <c r="AT54" s="99" t="n"/>
      <c r="AU54" s="700" t="n"/>
      <c r="AV54" s="99" t="n"/>
      <c r="AW54" s="99" t="n"/>
      <c r="AX54" s="99" t="n"/>
      <c r="AY54" s="99" t="n"/>
      <c r="AZ54" s="99" t="n"/>
      <c r="BA54" s="99" t="n"/>
      <c r="BB54" s="99" t="n"/>
    </row>
    <row r="55" ht="41.4" customHeight="1" s="701">
      <c r="C55" s="168" t="n"/>
      <c r="D55" s="168" t="inlineStr">
        <is>
          <t>ATR - 12 512</t>
        </is>
      </c>
      <c r="E55" s="168" t="inlineStr">
        <is>
          <t>ADF Technologies - Section TN - 403</t>
        </is>
      </c>
      <c r="F55" s="168" t="inlineStr">
        <is>
          <t>Air Austral - 51 600</t>
        </is>
      </c>
      <c r="G55" s="168" t="inlineStr">
        <is>
          <t>Safran Landing Systems - 43 810</t>
        </is>
      </c>
      <c r="H55" s="168" t="inlineStr">
        <is>
          <t>ERAS - 115</t>
        </is>
      </c>
      <c r="I55" s="168" t="n"/>
      <c r="J55" s="168" t="inlineStr">
        <is>
          <t xml:space="preserve">Airbus Operations SAS - </t>
        </is>
      </c>
      <c r="K55" s="169" t="inlineStr">
        <is>
          <t>Ethiopian Airlines S.C. - 2 138</t>
        </is>
      </c>
      <c r="L55" s="169" t="inlineStr">
        <is>
          <t>Airbus Helicopters - 3 632</t>
        </is>
      </c>
      <c r="M55" s="169" t="inlineStr">
        <is>
          <t>Airbus Helicopters - 5 292</t>
        </is>
      </c>
      <c r="N55" s="169" t="inlineStr">
        <is>
          <t>REEL SAS - 1 110</t>
        </is>
      </c>
      <c r="O55" s="168" t="inlineStr">
        <is>
          <t>TARMAC Aerosave SAS - 6 026</t>
        </is>
      </c>
      <c r="P55" s="168" t="inlineStr">
        <is>
          <t>Ethiopian Airlines S.C. - 1 120</t>
        </is>
      </c>
      <c r="Q55" s="168" t="n"/>
      <c r="R55" s="148" t="n"/>
      <c r="S55" s="148" t="n"/>
      <c r="T55" s="168" t="n"/>
      <c r="U55" s="168" t="n"/>
      <c r="V55" s="168" t="n"/>
      <c r="W55" s="168" t="n"/>
      <c r="X55" s="169" t="n"/>
      <c r="Y55" s="169" t="n"/>
      <c r="Z55" s="168" t="n"/>
      <c r="AA55" s="169" t="n"/>
      <c r="AB55" s="169" t="n"/>
      <c r="AC55" s="168" t="n"/>
      <c r="AD55" s="1020" t="n"/>
      <c r="AE55" s="169" t="n"/>
      <c r="AF55" s="169" t="n"/>
      <c r="AG55" s="169" t="n"/>
      <c r="AH55" s="168" t="n"/>
      <c r="AI55" s="168" t="n"/>
      <c r="AJ55" s="168" t="n"/>
      <c r="AK55" s="168" t="n"/>
      <c r="AL55" s="168" t="n"/>
      <c r="AM55" s="168" t="n"/>
      <c r="AN55" s="168" t="n"/>
      <c r="AO55" s="168" t="n"/>
      <c r="AP55" s="168" t="n"/>
      <c r="AQ55" s="168" t="n"/>
      <c r="AR55" s="168" t="n"/>
      <c r="AS55" s="168" t="n"/>
      <c r="AT55" s="99" t="n"/>
      <c r="AU55" s="700" t="n"/>
      <c r="AV55" s="99" t="n"/>
      <c r="AW55" s="99" t="n"/>
      <c r="AX55" s="99" t="n"/>
      <c r="AY55" s="99" t="n"/>
      <c r="AZ55" s="99" t="n"/>
      <c r="BA55" s="99" t="n"/>
      <c r="BB55" s="99" t="n"/>
    </row>
    <row r="56" ht="41.4" customHeight="1" s="701">
      <c r="C56" s="168" t="n"/>
      <c r="D56" s="168" t="inlineStr">
        <is>
          <t>Airbus Helicopters - 1 750</t>
        </is>
      </c>
      <c r="E56" s="168" t="inlineStr">
        <is>
          <t>REEL SAS - 2 251</t>
        </is>
      </c>
      <c r="F56" s="168" t="inlineStr">
        <is>
          <t>TARMAC Aerosave SAS - 775</t>
        </is>
      </c>
      <c r="G56" s="168" t="n"/>
      <c r="H56" s="168" t="inlineStr">
        <is>
          <t>Air Caraibes Atlantique - 16 821</t>
        </is>
      </c>
      <c r="I56" s="168" t="n"/>
      <c r="J56" s="168" t="inlineStr">
        <is>
          <t>TARMAC Aerosave SAS - 10 386</t>
        </is>
      </c>
      <c r="K56" s="169" t="inlineStr">
        <is>
          <t xml:space="preserve">Air France Industries - </t>
        </is>
      </c>
      <c r="L56" s="169" t="inlineStr">
        <is>
          <t>REEL SAS - 1 451</t>
        </is>
      </c>
      <c r="M56" s="169" t="inlineStr">
        <is>
          <t>REEL SAS - 1 637</t>
        </is>
      </c>
      <c r="N56" s="169" t="inlineStr">
        <is>
          <t>HYDRO SYSTEMS France - 4 386</t>
        </is>
      </c>
      <c r="O56" s="168" t="inlineStr">
        <is>
          <t>Ethiopian Airlines S.C. - 699</t>
        </is>
      </c>
      <c r="P56" s="168" t="inlineStr">
        <is>
          <t>THALES SIX GTS FRANCE S.S.S. - 1 397</t>
        </is>
      </c>
      <c r="Q56" s="168" t="n"/>
      <c r="R56" s="148" t="n"/>
      <c r="S56" s="168" t="n"/>
      <c r="T56" s="168" t="n"/>
      <c r="U56" s="168" t="n"/>
      <c r="V56" s="168" t="n"/>
      <c r="W56" s="148" t="n"/>
      <c r="X56" s="168" t="n"/>
      <c r="Y56" s="168" t="n"/>
      <c r="Z56" s="169" t="n"/>
      <c r="AA56" s="169" t="n"/>
      <c r="AB56" s="169" t="n"/>
      <c r="AC56" s="168" t="n"/>
      <c r="AD56" s="1020" t="n"/>
      <c r="AE56" s="169" t="n"/>
      <c r="AF56" s="169" t="n"/>
      <c r="AG56" s="169" t="n"/>
      <c r="AH56" s="168" t="n"/>
      <c r="AI56" s="168" t="n"/>
      <c r="AJ56" s="168" t="n"/>
      <c r="AK56" s="168" t="n"/>
      <c r="AL56" s="168" t="n"/>
      <c r="AM56" s="168" t="n"/>
      <c r="AN56" s="168" t="n"/>
      <c r="AO56" s="168" t="n"/>
      <c r="AP56" s="168" t="n"/>
      <c r="AQ56" s="168" t="n"/>
      <c r="AR56" s="168" t="n"/>
      <c r="AS56" s="168" t="n"/>
      <c r="AT56" s="99" t="n"/>
      <c r="AU56" s="700" t="n"/>
      <c r="AV56" s="99" t="n"/>
      <c r="AW56" s="99" t="n"/>
      <c r="AX56" s="99" t="n"/>
      <c r="AY56" s="99" t="n"/>
      <c r="AZ56" s="99" t="n"/>
      <c r="BA56" s="99" t="n"/>
      <c r="BB56" s="99" t="n"/>
    </row>
    <row r="57" ht="31.5" customHeight="1" s="701">
      <c r="C57" s="168" t="n"/>
      <c r="D57" s="168" t="inlineStr">
        <is>
          <t>Aviapartner Services Lyon - 2 665</t>
        </is>
      </c>
      <c r="E57" s="168" t="inlineStr">
        <is>
          <t>SIRBEM - 1 280</t>
        </is>
      </c>
      <c r="F57" s="169" t="inlineStr">
        <is>
          <t xml:space="preserve">Egypt Air - </t>
        </is>
      </c>
      <c r="G57" s="168" t="n"/>
      <c r="H57" s="168" t="inlineStr">
        <is>
          <t xml:space="preserve">South African Airways - </t>
        </is>
      </c>
      <c r="I57" s="168" t="n"/>
      <c r="J57" s="168" t="inlineStr">
        <is>
          <t xml:space="preserve">Safran Landing Systems - </t>
        </is>
      </c>
      <c r="K57" s="169" t="inlineStr">
        <is>
          <t>Air Tanzania Company Ltd. - 6 715</t>
        </is>
      </c>
      <c r="L57" s="169" t="inlineStr">
        <is>
          <t xml:space="preserve">Airbus Operations SAS - </t>
        </is>
      </c>
      <c r="M57" s="169" t="inlineStr">
        <is>
          <t>TARMAC Aerosave SAS - 2 006</t>
        </is>
      </c>
      <c r="N57" s="169" t="inlineStr">
        <is>
          <t>DESHONS HYDRAULIQUE - 28 050</t>
        </is>
      </c>
      <c r="O57" s="168" t="inlineStr">
        <is>
          <t>Air France Industries - 1 958</t>
        </is>
      </c>
      <c r="P57" s="148" t="inlineStr">
        <is>
          <t>Egyptair - 97 000</t>
        </is>
      </c>
      <c r="Q57" s="168" t="n"/>
      <c r="R57" s="168" t="n"/>
      <c r="S57" s="168" t="n"/>
      <c r="T57" s="168" t="n"/>
      <c r="U57" s="148" t="n"/>
      <c r="V57" s="168" t="n"/>
      <c r="W57" s="168" t="n"/>
      <c r="X57" s="169" t="n"/>
      <c r="Y57" s="148" t="n"/>
      <c r="Z57" s="169" t="n"/>
      <c r="AA57" s="169" t="n"/>
      <c r="AB57" s="169" t="n"/>
      <c r="AD57" s="1019" t="n"/>
      <c r="AE57" s="169" t="n"/>
      <c r="AF57" s="168" t="n"/>
      <c r="AG57" s="169" t="n"/>
      <c r="AH57" s="168" t="n"/>
      <c r="AI57" s="168" t="n"/>
      <c r="AJ57" s="168" t="n"/>
      <c r="AK57" s="168" t="n"/>
      <c r="AL57" s="169" t="n"/>
      <c r="AM57" s="168" t="n"/>
      <c r="AN57" s="168" t="n"/>
      <c r="AO57" s="168" t="n"/>
      <c r="AP57" s="168" t="n"/>
      <c r="AQ57" s="168" t="n"/>
      <c r="AR57" s="168" t="n"/>
      <c r="AS57" s="168" t="n"/>
      <c r="AT57" s="99" t="n"/>
      <c r="AU57" s="700" t="n"/>
      <c r="AV57" s="99" t="n"/>
      <c r="AW57" s="99" t="n"/>
      <c r="AX57" s="99" t="n"/>
      <c r="AY57" s="99" t="n"/>
      <c r="AZ57" s="99" t="n"/>
      <c r="BA57" s="99" t="n"/>
      <c r="BB57" s="99" t="n"/>
    </row>
    <row r="58" ht="31.5" customHeight="1" s="701">
      <c r="C58" s="168" t="n"/>
      <c r="D58" s="168" t="inlineStr">
        <is>
          <t>HYDRO SYSTEMS France - 60</t>
        </is>
      </c>
      <c r="E58" s="168" t="inlineStr">
        <is>
          <t>ACTEMIUM - 660</t>
        </is>
      </c>
      <c r="F58" s="169" t="inlineStr">
        <is>
          <t>Air Mauritius Ltd. - 445</t>
        </is>
      </c>
      <c r="H58" s="168" t="inlineStr">
        <is>
          <t xml:space="preserve"> - 22 931</t>
        </is>
      </c>
      <c r="I58" s="168" t="n"/>
      <c r="J58" s="168" t="inlineStr">
        <is>
          <t>THALES SIX GTS FRANCE S.S.S. - 99</t>
        </is>
      </c>
      <c r="K58" s="169" t="inlineStr">
        <is>
          <t xml:space="preserve">HYDRO SYSTEMS France - </t>
        </is>
      </c>
      <c r="L58" s="169" t="inlineStr">
        <is>
          <t>TARMAC Aerosave SAS - 14 922</t>
        </is>
      </c>
      <c r="M58" s="169" t="inlineStr">
        <is>
          <t>Ethiopian Airlines S.C. - 600</t>
        </is>
      </c>
      <c r="N58" s="169" t="inlineStr">
        <is>
          <t>Corsair International - 80 071</t>
        </is>
      </c>
      <c r="O58" s="168" t="inlineStr">
        <is>
          <t>THALES SIX GTS FRANCE S.S.S. - 1 280</t>
        </is>
      </c>
      <c r="P58" s="148" t="inlineStr">
        <is>
          <t>Garnet Aviation Systems - 41 356</t>
        </is>
      </c>
      <c r="Q58" s="168" t="n"/>
      <c r="R58" s="168" t="n"/>
      <c r="S58" s="168" t="n"/>
      <c r="T58" s="168" t="n"/>
      <c r="U58" s="168" t="n"/>
      <c r="V58" s="168" t="n"/>
      <c r="W58" s="168" t="n"/>
      <c r="X58" s="148" t="n"/>
      <c r="Y58" s="168" t="n"/>
      <c r="Z58" s="148" t="n"/>
      <c r="AA58" s="169" t="n"/>
      <c r="AB58" s="148" t="n"/>
      <c r="AC58" s="168" t="n"/>
      <c r="AD58" s="1019" t="n"/>
      <c r="AE58" s="148" t="n"/>
      <c r="AF58" s="168" t="n"/>
      <c r="AG58" s="169" t="n"/>
      <c r="AH58" s="148" t="n"/>
      <c r="AI58" s="168" t="n"/>
      <c r="AJ58" s="168" t="n"/>
      <c r="AK58" s="168" t="n"/>
      <c r="AL58" s="168" t="n"/>
      <c r="AM58" s="168" t="n"/>
      <c r="AN58" s="168" t="n"/>
      <c r="AO58" s="168" t="n"/>
      <c r="AP58" s="168" t="n"/>
      <c r="AQ58" s="168" t="n"/>
      <c r="AR58" s="168" t="n"/>
      <c r="AS58" s="168" t="n"/>
      <c r="AT58" s="99" t="n"/>
      <c r="AU58" s="700" t="n"/>
      <c r="AV58" s="99" t="n"/>
      <c r="AW58" s="99" t="n"/>
      <c r="AX58" s="99" t="n"/>
      <c r="AY58" s="99" t="n"/>
      <c r="AZ58" s="99" t="n"/>
      <c r="BA58" s="99" t="n"/>
      <c r="BB58" s="99" t="n"/>
    </row>
    <row r="59" ht="21.6" customHeight="1" s="701">
      <c r="E59" s="168" t="inlineStr">
        <is>
          <t xml:space="preserve">Airbus Operations SAS - </t>
        </is>
      </c>
      <c r="F59" s="169" t="inlineStr">
        <is>
          <t>Sabena Technics MIR - 1 725</t>
        </is>
      </c>
      <c r="H59" s="168" t="n"/>
      <c r="I59" s="168" t="n"/>
      <c r="J59" s="168" t="inlineStr">
        <is>
          <t>THALES SIX GTS FRANCE S.S.S. - 99</t>
        </is>
      </c>
      <c r="K59" s="169" t="n"/>
      <c r="L59" s="169" t="inlineStr">
        <is>
          <t>Air France Industries - 9 324</t>
        </is>
      </c>
      <c r="M59" s="169" t="inlineStr">
        <is>
          <t>Air France Industries - 53 267</t>
        </is>
      </c>
      <c r="N59" s="169" t="inlineStr">
        <is>
          <t>Corsair International - 80 071</t>
        </is>
      </c>
      <c r="O59" s="168" t="inlineStr">
        <is>
          <t>Air Algerie - 43 238</t>
        </is>
      </c>
      <c r="P59" s="168" t="inlineStr">
        <is>
          <t>Samsic Assistance - 23 262</t>
        </is>
      </c>
      <c r="Q59" s="168" t="n"/>
      <c r="R59" s="168" t="n"/>
      <c r="S59" s="168" t="n"/>
      <c r="T59" s="168" t="n"/>
      <c r="U59" s="168" t="n"/>
      <c r="V59" s="168" t="n"/>
      <c r="W59" s="148" t="n"/>
      <c r="X59" s="168" t="n"/>
      <c r="Y59" s="168" t="n"/>
      <c r="Z59" s="169" t="n"/>
      <c r="AA59" s="169" t="n"/>
      <c r="AB59" s="168" t="n"/>
      <c r="AC59" s="168" t="n"/>
      <c r="AD59" s="168" t="n"/>
      <c r="AE59" s="168" t="n"/>
      <c r="AF59" s="168" t="n"/>
      <c r="AG59" s="168" t="n"/>
      <c r="AH59" s="168" t="n"/>
      <c r="AI59" s="168" t="n"/>
      <c r="AJ59" s="168" t="n"/>
      <c r="AK59" s="168" t="n"/>
      <c r="AL59" s="168" t="n"/>
      <c r="AM59" s="168" t="n"/>
      <c r="AN59" s="168" t="n"/>
      <c r="AO59" s="168" t="n"/>
      <c r="AP59" s="168" t="n"/>
      <c r="AQ59" s="168" t="n"/>
      <c r="AR59" s="168" t="n"/>
      <c r="AS59" s="168" t="n"/>
      <c r="AT59" s="99" t="n"/>
      <c r="AU59" s="700" t="n"/>
      <c r="AV59" s="99" t="n"/>
      <c r="AW59" s="99" t="n"/>
      <c r="AX59" s="99" t="n"/>
      <c r="AY59" s="99" t="n"/>
      <c r="AZ59" s="99" t="n"/>
      <c r="BA59" s="99" t="n"/>
      <c r="BB59" s="99" t="n"/>
    </row>
    <row r="60" ht="34.5" customHeight="1" s="701">
      <c r="E60" s="168" t="inlineStr">
        <is>
          <t>TARMAC Aerosave SAS - 3 657</t>
        </is>
      </c>
      <c r="F60" s="169" t="n"/>
      <c r="H60" s="168" t="n"/>
      <c r="I60" s="168" t="n"/>
      <c r="J60" s="168" t="n"/>
      <c r="K60" s="169" t="n"/>
      <c r="L60" s="112" t="inlineStr">
        <is>
          <t xml:space="preserve">AIRBUS Gron Saint-Nazaire - </t>
        </is>
      </c>
      <c r="M60" s="169" t="inlineStr">
        <is>
          <t>HYDRO SYSTEMS France - 20 785</t>
        </is>
      </c>
      <c r="N60" s="169" t="n"/>
      <c r="O60" s="168" t="inlineStr">
        <is>
          <t>Kenya Airways - 3 380</t>
        </is>
      </c>
      <c r="P60" s="168" t="n"/>
      <c r="Q60" s="168" t="n"/>
      <c r="R60" s="168" t="n"/>
      <c r="S60" s="168" t="n"/>
      <c r="T60" s="168" t="n"/>
      <c r="U60" s="168" t="n"/>
      <c r="V60" s="168" t="n"/>
      <c r="W60" s="168" t="n"/>
      <c r="X60" s="168" t="n"/>
      <c r="Y60" s="168" t="n"/>
      <c r="Z60" s="168" t="n"/>
      <c r="AA60" s="169" t="n"/>
      <c r="AB60" s="168" t="n"/>
      <c r="AC60" s="148" t="n"/>
      <c r="AD60" s="168" t="n"/>
      <c r="AE60" s="168" t="n"/>
      <c r="AF60" s="168" t="n"/>
      <c r="AG60" s="168" t="n"/>
      <c r="AH60" s="168" t="n"/>
      <c r="AI60" s="168" t="n"/>
      <c r="AJ60" s="168" t="n"/>
      <c r="AK60" s="168" t="n"/>
      <c r="AL60" s="168" t="n"/>
      <c r="AM60" s="168" t="n"/>
      <c r="AN60" s="168" t="n"/>
      <c r="AO60" s="168" t="n"/>
      <c r="AP60" s="168" t="n"/>
      <c r="AQ60" s="168" t="n"/>
      <c r="AR60" s="168" t="n"/>
      <c r="AS60" s="168" t="n"/>
      <c r="AT60" s="99" t="n"/>
      <c r="AU60" s="700" t="n"/>
      <c r="AV60" s="99" t="n"/>
      <c r="AW60" s="99" t="n"/>
      <c r="AX60" s="99" t="n"/>
      <c r="AY60" s="99" t="n"/>
      <c r="AZ60" s="99" t="n"/>
      <c r="BA60" s="99" t="n"/>
      <c r="BB60" s="99" t="n"/>
    </row>
    <row r="61" ht="31.5" customHeight="1" s="701">
      <c r="F61" s="169" t="n"/>
      <c r="H61" s="168" t="n"/>
      <c r="I61" s="168" t="n"/>
      <c r="J61" s="168" t="n"/>
      <c r="K61" s="169" t="n"/>
      <c r="L61" s="169" t="inlineStr">
        <is>
          <t>Egyptair - 394</t>
        </is>
      </c>
      <c r="M61" s="169" t="inlineStr">
        <is>
          <t>MAZERES AERO - 46 058</t>
        </is>
      </c>
      <c r="N61" s="169" t="n"/>
      <c r="O61" s="168" t="n"/>
      <c r="P61" s="168" t="n"/>
      <c r="Q61" s="168" t="n"/>
      <c r="R61" s="168" t="n"/>
      <c r="S61" s="168" t="n"/>
      <c r="T61" s="168" t="n"/>
      <c r="U61" s="168" t="n"/>
      <c r="V61" s="168" t="n"/>
      <c r="W61" s="168" t="n"/>
      <c r="X61" s="168" t="n"/>
      <c r="Y61" s="168" t="n"/>
      <c r="Z61" s="168" t="n"/>
      <c r="AA61" s="168" t="n"/>
      <c r="AB61" s="168" t="n"/>
      <c r="AC61" s="168" t="n"/>
      <c r="AD61" s="168" t="n"/>
      <c r="AE61" s="168" t="n"/>
      <c r="AF61" s="168" t="n"/>
      <c r="AG61" s="168" t="n"/>
      <c r="AI61" s="168" t="n"/>
      <c r="AJ61" s="168" t="n"/>
      <c r="AK61" s="168" t="n"/>
      <c r="AL61" s="168" t="n"/>
      <c r="AM61" s="148" t="n"/>
      <c r="AN61" s="168" t="n"/>
      <c r="AO61" s="168" t="n"/>
      <c r="AP61" s="168" t="n"/>
      <c r="AQ61" s="168" t="n"/>
      <c r="AR61" s="168" t="n"/>
      <c r="AS61" s="168" t="n"/>
      <c r="AT61" s="99" t="n"/>
      <c r="AU61" s="700" t="n"/>
      <c r="AV61" s="99" t="n"/>
      <c r="AW61" s="99" t="n"/>
      <c r="AX61" s="99" t="n"/>
      <c r="AY61" s="99" t="n"/>
      <c r="AZ61" s="99" t="n"/>
      <c r="BA61" s="99" t="n"/>
      <c r="BB61" s="99" t="n"/>
    </row>
    <row r="62" ht="21.6" customHeight="1" s="701">
      <c r="F62" s="169" t="n"/>
      <c r="G62" s="97" t="n"/>
      <c r="I62" s="168" t="n"/>
      <c r="J62" s="168" t="n"/>
      <c r="K62" s="168" t="n"/>
      <c r="L62" s="90" t="n"/>
      <c r="M62" s="168" t="inlineStr">
        <is>
          <t>Aéroport Paris-Vatry - 455</t>
        </is>
      </c>
      <c r="N62" s="168" t="n"/>
      <c r="O62" s="168" t="n"/>
      <c r="P62" s="168" t="n"/>
      <c r="Q62" s="168" t="n"/>
      <c r="R62" s="168" t="n"/>
      <c r="S62" s="168" t="n"/>
      <c r="T62" s="168" t="n"/>
      <c r="U62" s="168" t="n"/>
      <c r="V62" s="168" t="n"/>
      <c r="W62" s="168" t="n"/>
      <c r="X62" s="168" t="n"/>
      <c r="Y62" s="168" t="n"/>
      <c r="Z62" s="168" t="n"/>
      <c r="AA62" s="168" t="n"/>
      <c r="AB62" s="168" t="n"/>
      <c r="AC62" s="168" t="n"/>
      <c r="AD62" s="168" t="n"/>
      <c r="AE62" s="168" t="n"/>
      <c r="AF62" s="168" t="n"/>
      <c r="AG62" s="168" t="n"/>
      <c r="AI62" s="168" t="n"/>
      <c r="AJ62" s="168" t="n"/>
      <c r="AK62" s="168" t="n"/>
      <c r="AL62" s="168" t="n"/>
      <c r="AM62" s="168" t="n"/>
      <c r="AN62" s="168" t="n"/>
      <c r="AO62" s="168" t="n"/>
      <c r="AP62" s="168" t="n"/>
      <c r="AQ62" s="168" t="n"/>
      <c r="AR62" s="168" t="n"/>
      <c r="AS62" s="168" t="n"/>
      <c r="AT62" s="99" t="n"/>
      <c r="AU62" s="700" t="n"/>
      <c r="AV62" s="99" t="n"/>
      <c r="AW62" s="99" t="n"/>
      <c r="AX62" s="99" t="n"/>
      <c r="AY62" s="99" t="n"/>
      <c r="AZ62" s="99" t="n"/>
      <c r="BA62" s="99" t="n"/>
      <c r="BB62" s="99" t="n"/>
    </row>
    <row r="63" ht="31.5" customHeight="1" s="701">
      <c r="A63" s="699" t="inlineStr">
        <is>
          <t>TOP 10 INVOICED CUSTOMERS</t>
        </is>
      </c>
      <c r="H63" s="168" t="n"/>
      <c r="I63" s="168" t="n"/>
      <c r="M63" s="168" t="inlineStr">
        <is>
          <t>Air Algerie - 6 873</t>
        </is>
      </c>
      <c r="N63" s="168" t="n"/>
      <c r="O63" s="168" t="n"/>
      <c r="P63" s="168" t="n"/>
      <c r="Q63" s="168" t="n"/>
      <c r="R63" s="168" t="n"/>
      <c r="S63" s="168" t="n"/>
      <c r="T63" s="168" t="n"/>
      <c r="U63" s="168" t="n"/>
      <c r="V63" s="168" t="n"/>
      <c r="W63" s="168" t="n"/>
      <c r="X63" s="168" t="n"/>
      <c r="Y63" s="168" t="n"/>
      <c r="Z63" s="168" t="n"/>
      <c r="AA63" s="168" t="n"/>
      <c r="AB63" s="168" t="n"/>
      <c r="AD63" s="148" t="n"/>
      <c r="AE63" s="168" t="n"/>
      <c r="AF63" s="168" t="n"/>
      <c r="AG63" s="168" t="n"/>
      <c r="AI63" s="168" t="n"/>
      <c r="AJ63" s="168" t="n"/>
      <c r="AK63" s="168" t="n"/>
      <c r="AL63" s="168" t="n"/>
      <c r="AM63" s="148" t="n"/>
      <c r="AN63" s="168" t="n"/>
      <c r="AO63" s="168" t="n"/>
      <c r="AP63" s="168" t="n"/>
      <c r="AQ63" s="168" t="n"/>
      <c r="AR63" s="168" t="n"/>
      <c r="AS63" s="168" t="n"/>
      <c r="AT63" s="99" t="n"/>
      <c r="AV63" s="99" t="n"/>
      <c r="AW63" s="99" t="n"/>
      <c r="AX63" s="99" t="n"/>
      <c r="AY63" s="99" t="n"/>
      <c r="AZ63" s="99" t="n"/>
      <c r="BA63" s="99" t="n"/>
      <c r="BB63" s="99" t="n"/>
    </row>
    <row r="64">
      <c r="A64" s="240" t="inlineStr">
        <is>
          <t>Sum of Net value in €</t>
        </is>
      </c>
      <c r="B64" s="1023" t="inlineStr">
        <is>
          <t>Column Labels</t>
        </is>
      </c>
      <c r="C64" s="774" t="n"/>
      <c r="K64" s="1023" t="n"/>
      <c r="M64" s="168" t="n"/>
      <c r="N64" s="168" t="n"/>
      <c r="O64" s="168" t="n"/>
      <c r="P64" s="168" t="n"/>
      <c r="Q64" s="168" t="n"/>
      <c r="R64" s="168" t="n"/>
      <c r="S64" s="168" t="n"/>
      <c r="T64" s="168" t="n"/>
      <c r="U64" s="168" t="n"/>
      <c r="V64" s="168" t="n"/>
      <c r="W64" s="168" t="n"/>
      <c r="X64" s="168" t="n"/>
      <c r="Y64" s="168" t="n"/>
      <c r="Z64" s="168" t="n"/>
      <c r="AA64" s="168" t="n"/>
      <c r="AB64" s="168" t="n"/>
      <c r="AD64" s="168" t="n"/>
      <c r="AE64" s="168" t="n"/>
      <c r="AF64" s="168" t="n"/>
      <c r="AG64" s="168" t="n"/>
      <c r="AI64" s="168" t="n"/>
      <c r="AJ64" s="168" t="n"/>
      <c r="AK64" s="168" t="n"/>
      <c r="AL64" s="168" t="n"/>
      <c r="AM64" s="168" t="n"/>
      <c r="AN64" s="168" t="n"/>
      <c r="AO64" s="168" t="n"/>
      <c r="AP64" s="168" t="n"/>
      <c r="AQ64" s="168" t="n"/>
      <c r="AR64" s="168" t="n"/>
      <c r="AS64" s="168" t="n"/>
      <c r="AT64" s="99" t="n"/>
      <c r="AV64" s="99" t="n"/>
      <c r="AW64" s="99" t="n"/>
      <c r="AX64" s="99" t="n"/>
      <c r="AY64" s="99" t="n"/>
      <c r="AZ64" s="99" t="n"/>
      <c r="BA64" s="99" t="n"/>
      <c r="BB64" s="99" t="n"/>
    </row>
    <row r="65">
      <c r="A65" s="240" t="inlineStr">
        <is>
          <t>Row Labels</t>
        </is>
      </c>
      <c r="B65" s="774" t="inlineStr">
        <is>
          <t>Mrz</t>
        </is>
      </c>
      <c r="C65" s="774" t="inlineStr">
        <is>
          <t>Apr</t>
        </is>
      </c>
      <c r="E65" s="1023" t="n"/>
      <c r="F65" s="1023" t="n"/>
      <c r="G65" s="1023" t="n"/>
      <c r="H65" s="1023" t="n"/>
      <c r="I65" s="1023" t="n"/>
      <c r="J65" s="1023" t="n"/>
      <c r="K65" s="1023" t="n"/>
      <c r="L65" s="240" t="n"/>
      <c r="M65" s="241" t="n"/>
      <c r="N65" s="241" t="n"/>
      <c r="O65" s="241" t="n"/>
      <c r="P65" s="241" t="n"/>
      <c r="Q65" s="241" t="n"/>
      <c r="R65" s="241" t="n"/>
      <c r="S65" s="241" t="n"/>
      <c r="T65" s="241" t="n"/>
      <c r="U65" s="241" t="n"/>
      <c r="V65" s="241" t="n"/>
      <c r="W65" s="241" t="n"/>
      <c r="X65" s="241" t="n"/>
      <c r="Y65" s="241" t="n"/>
      <c r="Z65" s="241" t="n"/>
      <c r="AA65" s="241" t="n"/>
      <c r="AB65" s="241" t="n"/>
      <c r="AC65" s="242" t="n"/>
      <c r="AD65" s="241" t="n"/>
      <c r="AE65" s="241" t="n"/>
      <c r="AF65" s="241" t="n"/>
      <c r="AG65" s="241" t="n"/>
      <c r="AH65" s="240" t="n"/>
      <c r="AI65" s="241" t="n"/>
      <c r="AJ65" s="241" t="n"/>
      <c r="AK65" s="241" t="n"/>
      <c r="AL65" s="241" t="n"/>
      <c r="AM65" s="241" t="n"/>
      <c r="AN65" s="241" t="n"/>
      <c r="AO65" s="241" t="n"/>
      <c r="AP65" s="241" t="n"/>
      <c r="AQ65" s="241" t="n"/>
      <c r="AR65" s="241" t="n"/>
      <c r="AS65" s="241" t="n"/>
      <c r="AT65" s="243" t="n"/>
      <c r="AU65" s="240" t="n"/>
      <c r="AV65" s="243" t="n"/>
      <c r="AW65" s="243" t="n"/>
      <c r="AX65" s="243" t="n"/>
      <c r="AY65" s="243" t="n"/>
      <c r="AZ65" s="243" t="n"/>
      <c r="BA65" s="243" t="n"/>
      <c r="BB65" s="243" t="n"/>
    </row>
    <row r="66" customFormat="1" s="97">
      <c r="A66" s="247" t="inlineStr">
        <is>
          <t>100048 / REEL SAS</t>
        </is>
      </c>
      <c r="B66" s="774" t="n">
        <v>6841.650000000001</v>
      </c>
      <c r="C66" s="774" t="n">
        <v>5701.800000000001</v>
      </c>
      <c r="E66" s="774" t="n"/>
      <c r="F66" s="774" t="n"/>
      <c r="G66" s="774" t="n"/>
      <c r="H66" s="774" t="n"/>
      <c r="I66" s="774" t="n"/>
      <c r="J66" s="774" t="n"/>
      <c r="K66" s="774" t="n"/>
      <c r="R66" s="148" t="n"/>
      <c r="S66" s="148" t="n"/>
      <c r="T66" s="148" t="n"/>
      <c r="U66" s="148" t="n"/>
      <c r="V66" s="148" t="n"/>
      <c r="W66" s="148" t="n"/>
      <c r="X66" s="148" t="n"/>
      <c r="Y66" s="148" t="n"/>
      <c r="Z66" s="148" t="n"/>
      <c r="AA66" s="148" t="n"/>
      <c r="AB66" s="148" t="n"/>
      <c r="AD66" s="148" t="n"/>
      <c r="AE66" s="148" t="n"/>
      <c r="AF66" s="148" t="n"/>
      <c r="AG66" s="148" t="n"/>
      <c r="AI66" s="148" t="n"/>
      <c r="AJ66" s="148" t="n"/>
      <c r="AK66" s="148" t="n"/>
      <c r="AL66" s="148" t="n"/>
      <c r="AM66" s="148" t="n"/>
      <c r="AN66" s="148" t="n"/>
      <c r="AO66" s="148" t="n"/>
      <c r="AP66" s="148" t="n"/>
      <c r="AQ66" s="148" t="n"/>
      <c r="AR66" s="148" t="n"/>
      <c r="AS66" s="148" t="n"/>
      <c r="AT66" s="149" t="n"/>
      <c r="AV66" s="149" t="n"/>
      <c r="AW66" s="149" t="n"/>
      <c r="AX66" s="149" t="n"/>
      <c r="AY66" s="149" t="n"/>
      <c r="AZ66" s="149" t="n"/>
      <c r="BA66" s="149" t="n"/>
      <c r="BB66" s="149" t="n"/>
    </row>
    <row r="67">
      <c r="A67" s="247" t="inlineStr">
        <is>
          <t>100028 / Airbus Operations SAS</t>
        </is>
      </c>
      <c r="B67" s="774" t="n">
        <v>7725</v>
      </c>
      <c r="C67" s="774" t="n">
        <v>3190</v>
      </c>
      <c r="E67" s="774" t="n"/>
      <c r="F67" s="774" t="n"/>
      <c r="G67" s="774" t="n"/>
      <c r="H67" s="774" t="n"/>
      <c r="I67" s="774" t="n"/>
      <c r="J67" s="774" t="n"/>
      <c r="K67" s="774" t="n"/>
      <c r="M67" s="168" t="n"/>
      <c r="N67" s="168" t="n"/>
      <c r="O67" s="168" t="n"/>
      <c r="P67" s="168" t="n"/>
      <c r="Q67" s="168" t="n"/>
      <c r="R67" s="168" t="n"/>
      <c r="S67" s="168" t="n"/>
      <c r="T67" s="168" t="n"/>
      <c r="U67" s="168" t="n"/>
      <c r="V67" s="168" t="n"/>
      <c r="W67" s="168" t="n"/>
      <c r="X67" s="168" t="n"/>
      <c r="Y67" s="168" t="n"/>
      <c r="Z67" s="168" t="n"/>
      <c r="AA67" s="168" t="n"/>
      <c r="AB67" s="168" t="n"/>
      <c r="AD67" s="168" t="n"/>
      <c r="AE67" s="168" t="n"/>
      <c r="AF67" s="168" t="n"/>
      <c r="AG67" s="168" t="n"/>
      <c r="AI67" s="168" t="n"/>
      <c r="AJ67" s="168" t="n"/>
      <c r="AK67" s="168" t="n"/>
      <c r="AL67" s="168" t="n"/>
      <c r="AM67" s="168" t="n"/>
      <c r="AN67" s="168" t="n"/>
      <c r="AO67" s="168" t="n"/>
      <c r="AP67" s="168" t="n"/>
      <c r="AQ67" s="168" t="n"/>
      <c r="AR67" s="168" t="n"/>
      <c r="AS67" s="168" t="n"/>
      <c r="AT67" s="99" t="n"/>
      <c r="AV67" s="99" t="n"/>
      <c r="AW67" s="99" t="n"/>
      <c r="AX67" s="99" t="n"/>
      <c r="AY67" s="99" t="n"/>
      <c r="AZ67" s="99" t="n"/>
      <c r="BA67" s="99" t="n"/>
      <c r="BB67" s="99" t="n"/>
    </row>
    <row r="68">
      <c r="A68" s="247" t="inlineStr">
        <is>
          <t>101022 / TARMAC Aerosave SAS</t>
        </is>
      </c>
      <c r="B68" s="774" t="n">
        <v>7080</v>
      </c>
      <c r="C68" s="774" t="n">
        <v>20947.6</v>
      </c>
      <c r="E68" s="774" t="n"/>
      <c r="F68" s="774" t="n"/>
      <c r="G68" s="774" t="n"/>
      <c r="H68" s="774" t="n"/>
      <c r="I68" s="774" t="n"/>
      <c r="J68" s="774" t="n"/>
      <c r="K68" s="774" t="n"/>
      <c r="M68" s="168" t="n"/>
      <c r="N68" s="168" t="n"/>
      <c r="O68" s="168" t="n"/>
      <c r="P68" s="168" t="n"/>
      <c r="Q68" s="168" t="n"/>
      <c r="R68" s="168" t="n"/>
      <c r="S68" s="168" t="n"/>
      <c r="T68" s="168" t="n"/>
      <c r="U68" s="168" t="n"/>
      <c r="V68" s="168" t="n"/>
      <c r="W68" s="168" t="n"/>
      <c r="X68" s="168" t="n"/>
      <c r="Y68" s="168" t="n"/>
      <c r="Z68" s="168" t="n"/>
      <c r="AA68" s="168" t="n"/>
      <c r="AB68" s="168" t="n"/>
      <c r="AD68" s="168" t="n"/>
      <c r="AE68" s="168" t="n"/>
      <c r="AF68" s="168" t="n"/>
      <c r="AG68" s="168" t="n"/>
      <c r="AI68" s="168" t="n"/>
      <c r="AJ68" s="168" t="n"/>
      <c r="AK68" s="168" t="n"/>
      <c r="AL68" s="168" t="n"/>
      <c r="AM68" s="168" t="n"/>
      <c r="AN68" s="168" t="n"/>
      <c r="AO68" s="168" t="n"/>
      <c r="AP68" s="168" t="n"/>
      <c r="AQ68" s="168" t="n"/>
      <c r="AR68" s="168" t="n"/>
      <c r="AS68" s="168" t="n"/>
      <c r="AT68" s="99" t="n"/>
    </row>
    <row r="69">
      <c r="A69" s="247" t="inlineStr">
        <is>
          <t>100483 / ROYAL AIR MAROC</t>
        </is>
      </c>
      <c r="B69" s="774" t="n">
        <v>10972</v>
      </c>
      <c r="C69" s="774" t="n">
        <v>4179</v>
      </c>
      <c r="E69" s="774" t="n"/>
      <c r="F69" s="774" t="n"/>
      <c r="G69" s="774" t="n"/>
      <c r="H69" s="774" t="n"/>
      <c r="I69" s="774" t="n"/>
      <c r="J69" s="774" t="n"/>
      <c r="K69" s="774" t="n"/>
      <c r="AT69" s="99" t="n"/>
    </row>
    <row r="70">
      <c r="A70" s="247" t="inlineStr">
        <is>
          <t>100403 / Airbus Helicopters</t>
        </is>
      </c>
      <c r="B70" s="774" t="n">
        <v>437</v>
      </c>
      <c r="C70" s="774" t="n">
        <v>8941.549999999999</v>
      </c>
      <c r="E70" s="774" t="n"/>
      <c r="F70" s="774" t="n"/>
      <c r="G70" s="774" t="n"/>
      <c r="H70" s="774" t="n"/>
      <c r="I70" s="774" t="n"/>
      <c r="J70" s="774" t="n"/>
      <c r="K70" s="774" t="n"/>
      <c r="AT70" s="99" t="n"/>
    </row>
    <row r="71">
      <c r="A71" s="247" t="inlineStr">
        <is>
          <t>101949 / Sabena Technics BOD</t>
        </is>
      </c>
      <c r="B71" s="774" t="n"/>
      <c r="C71" s="774" t="n">
        <v>62251</v>
      </c>
      <c r="E71" s="774" t="n"/>
      <c r="F71" s="774" t="n"/>
      <c r="G71" s="774" t="n"/>
      <c r="H71" s="774" t="n"/>
      <c r="I71" s="774" t="n"/>
      <c r="J71" s="774" t="n"/>
      <c r="K71" s="774" t="n"/>
      <c r="AT71" s="99" t="n"/>
    </row>
    <row r="72">
      <c r="A72" s="247" t="inlineStr">
        <is>
          <t>100021 / Air France Industries</t>
        </is>
      </c>
      <c r="B72" s="774" t="n">
        <v>18241</v>
      </c>
      <c r="C72" s="774" t="n"/>
      <c r="E72" s="774" t="n"/>
      <c r="F72" s="774" t="n"/>
      <c r="G72" s="774" t="n"/>
      <c r="H72" s="774" t="n"/>
      <c r="I72" s="774" t="n"/>
      <c r="J72" s="774" t="n"/>
      <c r="K72" s="774" t="n"/>
      <c r="AT72" s="99" t="n"/>
    </row>
    <row r="73">
      <c r="A73" s="247" t="inlineStr">
        <is>
          <t>100238 / Egyptair</t>
        </is>
      </c>
      <c r="B73" s="774" t="n">
        <v>0</v>
      </c>
      <c r="C73" s="774" t="n">
        <v>32943</v>
      </c>
      <c r="E73" s="774" t="n"/>
      <c r="F73" s="774" t="n"/>
      <c r="G73" s="774" t="n"/>
      <c r="H73" s="774" t="n"/>
      <c r="I73" s="774" t="n"/>
      <c r="J73" s="774" t="n"/>
      <c r="K73" s="774" t="n"/>
      <c r="AT73" s="99" t="n"/>
    </row>
    <row r="74">
      <c r="A74" s="247" t="inlineStr">
        <is>
          <t>100043 / Air Austral</t>
        </is>
      </c>
      <c r="B74" s="774" t="n">
        <v>642</v>
      </c>
      <c r="C74" s="774" t="n">
        <v>51600</v>
      </c>
      <c r="E74" s="774" t="n"/>
      <c r="F74" s="774" t="n"/>
      <c r="G74" s="774" t="n"/>
      <c r="H74" s="774" t="n"/>
      <c r="I74" s="774" t="n"/>
      <c r="J74" s="774" t="n"/>
      <c r="K74" s="774" t="n"/>
      <c r="AT74" s="99" t="n"/>
    </row>
    <row r="75">
      <c r="A75" s="247" t="inlineStr">
        <is>
          <t>107996 / MAZERES AERO</t>
        </is>
      </c>
      <c r="B75" s="774" t="n"/>
      <c r="C75" s="774" t="n">
        <v>9211.68</v>
      </c>
      <c r="E75" s="774" t="n"/>
      <c r="F75" s="774" t="n"/>
      <c r="G75" s="774" t="n"/>
      <c r="H75" s="774" t="n"/>
      <c r="I75" s="774" t="n"/>
      <c r="J75" s="774" t="n"/>
      <c r="K75" s="774" t="n"/>
    </row>
    <row r="76">
      <c r="A76" s="247" t="n"/>
      <c r="B76" s="774" t="n"/>
      <c r="C76" s="774" t="n"/>
      <c r="D76" s="774" t="n"/>
      <c r="E76" s="774" t="n"/>
      <c r="F76" s="774" t="n"/>
      <c r="G76" s="774" t="n"/>
      <c r="H76" s="774" t="n"/>
      <c r="I76" s="774" t="n"/>
      <c r="J76" s="774" t="n"/>
    </row>
    <row r="101">
      <c r="E101" s="86" t="inlineStr">
        <is>
          <t>weekly</t>
        </is>
      </c>
    </row>
    <row r="102">
      <c r="C102" s="696" t="n"/>
      <c r="D102" s="696" t="n">
        <v>2020</v>
      </c>
      <c r="E102" s="774">
        <f>D103/12</f>
        <v/>
      </c>
    </row>
    <row r="103">
      <c r="C103" t="inlineStr">
        <is>
          <t>ASI</t>
        </is>
      </c>
      <c r="D103" s="709" t="n">
        <v>3451699</v>
      </c>
      <c r="E103" s="822">
        <f>D104/12</f>
        <v/>
      </c>
    </row>
    <row r="104">
      <c r="C104" s="696" t="inlineStr">
        <is>
          <t>ABA</t>
        </is>
      </c>
      <c r="D104" s="772" t="n">
        <v>1302616</v>
      </c>
      <c r="E104" s="774">
        <f>D105/12</f>
        <v/>
      </c>
    </row>
    <row r="105">
      <c r="C105" t="inlineStr">
        <is>
          <t>Total</t>
        </is>
      </c>
      <c r="D105" s="709">
        <f>D103+D104</f>
        <v/>
      </c>
      <c r="G105" t="inlineStr">
        <is>
          <t>Apr</t>
        </is>
      </c>
    </row>
    <row r="106">
      <c r="G106" s="1008">
        <f>SUM(P51:S51)</f>
        <v/>
      </c>
    </row>
    <row r="107">
      <c r="G107" s="1008">
        <f>SUM(P66:S66)</f>
        <v/>
      </c>
    </row>
    <row r="108">
      <c r="E108" t="inlineStr">
        <is>
          <t>Feb</t>
        </is>
      </c>
      <c r="G108" s="774">
        <f>$E$104</f>
        <v/>
      </c>
      <c r="K108" t="inlineStr">
        <is>
          <t>Aug</t>
        </is>
      </c>
    </row>
    <row r="109">
      <c r="D109" t="inlineStr">
        <is>
          <t>Jan</t>
        </is>
      </c>
      <c r="E109" s="1008">
        <f>SUM(H51:K51)</f>
        <v/>
      </c>
      <c r="F109" t="inlineStr">
        <is>
          <t>Mrz</t>
        </is>
      </c>
      <c r="H109" t="inlineStr">
        <is>
          <t>Mai</t>
        </is>
      </c>
      <c r="I109" t="inlineStr">
        <is>
          <t>Jun</t>
        </is>
      </c>
      <c r="J109" t="inlineStr">
        <is>
          <t>Jul</t>
        </is>
      </c>
      <c r="K109" s="1008">
        <f>SUM(AH51:AK51)</f>
        <v/>
      </c>
      <c r="L109" t="inlineStr">
        <is>
          <t>Sep</t>
        </is>
      </c>
      <c r="M109" t="inlineStr">
        <is>
          <t>Okt</t>
        </is>
      </c>
      <c r="N109" t="inlineStr">
        <is>
          <t>Nov</t>
        </is>
      </c>
      <c r="O109" t="inlineStr">
        <is>
          <t>Dez</t>
        </is>
      </c>
    </row>
    <row r="110">
      <c r="C110" s="700" t="inlineStr">
        <is>
          <t>O.I GSE</t>
        </is>
      </c>
      <c r="D110" s="774">
        <f>SUM(C51:G51)</f>
        <v/>
      </c>
      <c r="E110" s="1008">
        <f>SUM(H66:K66)</f>
        <v/>
      </c>
      <c r="F110" s="1008">
        <f>SUM(L51:O51)</f>
        <v/>
      </c>
      <c r="H110" s="1008">
        <f>SUM(T51:X51)</f>
        <v/>
      </c>
      <c r="I110" s="1008">
        <f>SUM(Y51:AB51)</f>
        <v/>
      </c>
      <c r="J110" s="1008">
        <f>SUM(AC51:AG51)</f>
        <v/>
      </c>
      <c r="K110" s="1008">
        <f>SUM(AH66:AK66)</f>
        <v/>
      </c>
    </row>
    <row r="111">
      <c r="C111" s="155" t="inlineStr">
        <is>
          <t>O.I. New Customers GSE</t>
        </is>
      </c>
      <c r="D111" s="774">
        <f>SUM(C66:G66)</f>
        <v/>
      </c>
      <c r="E111" s="774">
        <f>$E$104</f>
        <v/>
      </c>
      <c r="F111" s="1008">
        <f>SUM(L66:O66)</f>
        <v/>
      </c>
      <c r="G111" s="1008">
        <f>G106+F115</f>
        <v/>
      </c>
      <c r="H111" s="1008">
        <f>SUM(T66:X66)</f>
        <v/>
      </c>
      <c r="I111" s="1008">
        <f>SUM(Y66:AB66)</f>
        <v/>
      </c>
      <c r="J111" s="1008">
        <f>SUM(AC66:AG66)</f>
        <v/>
      </c>
      <c r="K111" s="774">
        <f>$E$104</f>
        <v/>
      </c>
    </row>
    <row r="112">
      <c r="C112" t="inlineStr">
        <is>
          <t>Planned O.I</t>
        </is>
      </c>
      <c r="D112" s="774">
        <f>$E$104</f>
        <v/>
      </c>
      <c r="F112" s="774">
        <f>$E$104</f>
        <v/>
      </c>
      <c r="G112" s="1008">
        <f>G107+F116</f>
        <v/>
      </c>
      <c r="H112" s="774">
        <f>$E$104</f>
        <v/>
      </c>
      <c r="I112" s="774">
        <f>$E$104</f>
        <v/>
      </c>
      <c r="J112" s="774">
        <f>$E$104</f>
        <v/>
      </c>
      <c r="L112" s="774">
        <f>$E$104</f>
        <v/>
      </c>
      <c r="M112" s="774">
        <f>$E$104</f>
        <v/>
      </c>
      <c r="N112" s="774">
        <f>$E$104</f>
        <v/>
      </c>
      <c r="O112" s="774">
        <f>$E$104</f>
        <v/>
      </c>
    </row>
    <row r="113">
      <c r="G113" s="1008">
        <f>G108+F117</f>
        <v/>
      </c>
    </row>
    <row r="114">
      <c r="C114" s="343" t="inlineStr">
        <is>
          <t>O.I. Forecast</t>
        </is>
      </c>
      <c r="E114" s="1008">
        <f>E109+D115</f>
        <v/>
      </c>
      <c r="K114" s="1008">
        <f>K109+J115</f>
        <v/>
      </c>
      <c r="L114" s="709" t="n">
        <v>482000</v>
      </c>
      <c r="M114" s="709" t="n">
        <v>714000</v>
      </c>
      <c r="N114" s="709" t="n">
        <v>754000</v>
      </c>
      <c r="O114" s="709" t="n"/>
    </row>
    <row r="115">
      <c r="C115" s="343" t="inlineStr">
        <is>
          <t>GSE/Tools O.I. Cum</t>
        </is>
      </c>
      <c r="D115" s="774">
        <f>D110</f>
        <v/>
      </c>
      <c r="E115" s="1008">
        <f>E110+D116</f>
        <v/>
      </c>
      <c r="F115" s="1008">
        <f>F110+E114</f>
        <v/>
      </c>
      <c r="H115" s="1008">
        <f>H110+G111</f>
        <v/>
      </c>
      <c r="I115" s="1008">
        <f>I110+H115</f>
        <v/>
      </c>
      <c r="J115" s="1008">
        <f>J110+I115</f>
        <v/>
      </c>
      <c r="K115" s="1008">
        <f>K110+J116</f>
        <v/>
      </c>
      <c r="L115" s="1008">
        <f>L110+K114+L114</f>
        <v/>
      </c>
      <c r="M115" s="1008">
        <f>M110+L115+M114</f>
        <v/>
      </c>
      <c r="N115" s="1008">
        <f>N110+M115+N114</f>
        <v/>
      </c>
      <c r="O115" s="1008">
        <f>O110+N115+O114</f>
        <v/>
      </c>
    </row>
    <row r="116">
      <c r="C116" s="343" t="inlineStr">
        <is>
          <t>O.I. Cum New Cust</t>
        </is>
      </c>
      <c r="D116" s="774">
        <f>D111</f>
        <v/>
      </c>
      <c r="E116" s="1008">
        <f>E111+D117</f>
        <v/>
      </c>
      <c r="F116" s="1008">
        <f>F111+E115</f>
        <v/>
      </c>
      <c r="H116" s="1008">
        <f>H111+G112</f>
        <v/>
      </c>
      <c r="I116" s="1008">
        <f>I111+H116</f>
        <v/>
      </c>
      <c r="J116" s="1008">
        <f>J111+I116</f>
        <v/>
      </c>
      <c r="K116" s="1008">
        <f>K111+J117</f>
        <v/>
      </c>
      <c r="L116" s="1008">
        <f>L111+K115</f>
        <v/>
      </c>
      <c r="M116" s="1008">
        <f>M111+L116</f>
        <v/>
      </c>
      <c r="N116" s="1008">
        <f>N111+M116</f>
        <v/>
      </c>
      <c r="O116" s="1008">
        <f>O111+N116</f>
        <v/>
      </c>
    </row>
    <row r="117">
      <c r="C117" s="343" t="inlineStr">
        <is>
          <t>Plan GSE/Tools O.I</t>
        </is>
      </c>
      <c r="D117" s="774">
        <f>D112</f>
        <v/>
      </c>
      <c r="F117" s="1008">
        <f>F112+E116</f>
        <v/>
      </c>
      <c r="H117" s="1008">
        <f>H112+G113</f>
        <v/>
      </c>
      <c r="I117" s="1008">
        <f>I112+H117</f>
        <v/>
      </c>
      <c r="J117" s="1008">
        <f>J112+I117</f>
        <v/>
      </c>
      <c r="L117" s="1008">
        <f>L112+K116</f>
        <v/>
      </c>
      <c r="M117" s="1008">
        <f>M112+L117</f>
        <v/>
      </c>
      <c r="N117" s="1008">
        <f>N112+M117</f>
        <v/>
      </c>
      <c r="O117" s="1008">
        <f>O112+N117</f>
        <v/>
      </c>
    </row>
    <row r="121">
      <c r="A121" s="158" t="inlineStr">
        <is>
          <t>Business Area</t>
        </is>
      </c>
      <c r="B121" s="159" t="inlineStr">
        <is>
          <t>Planning Group Text</t>
        </is>
      </c>
      <c r="C121" s="158" t="inlineStr">
        <is>
          <t>Value</t>
        </is>
      </c>
      <c r="E121" t="inlineStr">
        <is>
          <t>EngSol</t>
        </is>
      </c>
    </row>
    <row r="122">
      <c r="A122" s="160" t="inlineStr">
        <is>
          <t>EH</t>
        </is>
      </c>
      <c r="B122" s="700" t="inlineStr">
        <is>
          <t>Hardware EngSol</t>
        </is>
      </c>
      <c r="C122" s="1024" t="n">
        <v>805418</v>
      </c>
      <c r="E122" t="inlineStr">
        <is>
          <t>GSE</t>
        </is>
      </c>
      <c r="F122" s="1025">
        <f>C122+C123</f>
        <v/>
      </c>
    </row>
    <row r="123">
      <c r="A123" s="160" t="inlineStr">
        <is>
          <t>EN</t>
        </is>
      </c>
      <c r="B123" s="700" t="inlineStr">
        <is>
          <t>Engineering EngSol</t>
        </is>
      </c>
      <c r="C123" s="1024" t="n">
        <v>18205</v>
      </c>
      <c r="E123" t="inlineStr">
        <is>
          <t>Others</t>
        </is>
      </c>
      <c r="F123" s="1025">
        <f>C132</f>
        <v/>
      </c>
    </row>
    <row r="124">
      <c r="A124" s="157" t="inlineStr">
        <is>
          <t>GS</t>
        </is>
      </c>
      <c r="B124" s="156" t="inlineStr">
        <is>
          <t>Axle Jacks Other</t>
        </is>
      </c>
      <c r="C124" s="1026" t="n">
        <v>190261</v>
      </c>
      <c r="E124" t="inlineStr">
        <is>
          <t>Service (Repair+Spares)</t>
        </is>
      </c>
      <c r="F124" s="1025">
        <f>C133</f>
        <v/>
      </c>
    </row>
    <row r="125">
      <c r="A125" s="8" t="n"/>
      <c r="B125" s="156" t="inlineStr">
        <is>
          <t>Axle Jacks RT</t>
        </is>
      </c>
      <c r="C125" s="1026" t="n">
        <v>199752</v>
      </c>
      <c r="E125" t="inlineStr">
        <is>
          <t>TA</t>
        </is>
      </c>
      <c r="F125" s="1025">
        <f>C136</f>
        <v/>
      </c>
    </row>
    <row r="126">
      <c r="A126" s="8" t="n"/>
      <c r="B126" s="156" t="inlineStr">
        <is>
          <t>COBRA</t>
        </is>
      </c>
      <c r="C126" s="1026" t="n">
        <v>1441235</v>
      </c>
      <c r="E126" t="inlineStr">
        <is>
          <t>TE (RR-Aftermarket)</t>
        </is>
      </c>
      <c r="F126" s="1025">
        <f>C140</f>
        <v/>
      </c>
    </row>
    <row r="127">
      <c r="A127" s="8" t="n"/>
      <c r="B127" s="156" t="inlineStr">
        <is>
          <t>GSE Others (Büter)</t>
        </is>
      </c>
      <c r="C127" s="1026" t="n">
        <v>1216830</v>
      </c>
      <c r="E127" t="inlineStr">
        <is>
          <t>TR (RR-Trsp AfterMkt)</t>
        </is>
      </c>
      <c r="F127" s="1025">
        <f>C141</f>
        <v/>
      </c>
    </row>
    <row r="128">
      <c r="A128" s="8" t="n"/>
      <c r="B128" s="156" t="inlineStr">
        <is>
          <t>Newbow Aerospace</t>
        </is>
      </c>
      <c r="C128" s="1026" t="n">
        <v>466</v>
      </c>
      <c r="F128" s="1025">
        <f>C144</f>
        <v/>
      </c>
    </row>
    <row r="129">
      <c r="A129" s="8" t="n"/>
      <c r="B129" s="156" t="inlineStr">
        <is>
          <t>Tow Bars HG</t>
        </is>
      </c>
      <c r="C129" s="1026" t="n">
        <v>158077</v>
      </c>
    </row>
    <row r="130">
      <c r="A130" s="8" t="n"/>
      <c r="B130" s="156" t="inlineStr">
        <is>
          <t>Tripod SET Narrow Bo</t>
        </is>
      </c>
      <c r="C130" s="1026" t="n">
        <v>344920</v>
      </c>
    </row>
    <row r="131">
      <c r="A131" s="8" t="n"/>
      <c r="B131" s="156" t="inlineStr">
        <is>
          <t>Others</t>
        </is>
      </c>
      <c r="C131" s="1026" t="n">
        <v>50962</v>
      </c>
    </row>
    <row r="132">
      <c r="A132" s="160" t="inlineStr">
        <is>
          <t>GS</t>
        </is>
      </c>
      <c r="B132" s="700" t="inlineStr">
        <is>
          <t>TOTAL</t>
        </is>
      </c>
      <c r="C132" s="1027" t="n">
        <v>3602505</v>
      </c>
    </row>
    <row r="133">
      <c r="A133" s="160" t="inlineStr">
        <is>
          <t>OT</t>
        </is>
      </c>
      <c r="B133" s="700" t="inlineStr">
        <is>
          <t>Others</t>
        </is>
      </c>
      <c r="C133" s="1024" t="n">
        <v>64424</v>
      </c>
    </row>
    <row r="134">
      <c r="A134" s="157" t="inlineStr">
        <is>
          <t>SE</t>
        </is>
      </c>
      <c r="B134" s="156" t="inlineStr">
        <is>
          <t>Repair/Recert/Service</t>
        </is>
      </c>
      <c r="C134" s="1026" t="n">
        <v>284988</v>
      </c>
    </row>
    <row r="135">
      <c r="A135" s="8" t="n"/>
      <c r="B135" s="156" t="inlineStr">
        <is>
          <t>Spares</t>
        </is>
      </c>
      <c r="C135" s="1026" t="n">
        <v>420812</v>
      </c>
    </row>
    <row r="136">
      <c r="A136" s="160" t="inlineStr">
        <is>
          <t>SE</t>
        </is>
      </c>
      <c r="C136" s="1027" t="n">
        <v>705800</v>
      </c>
    </row>
    <row r="137">
      <c r="A137" s="157" t="inlineStr">
        <is>
          <t>TA</t>
        </is>
      </c>
      <c r="B137" s="27" t="inlineStr">
        <is>
          <t>Airbus</t>
        </is>
      </c>
      <c r="C137" s="1026" t="n">
        <v>5635</v>
      </c>
    </row>
    <row r="138">
      <c r="A138" s="8" t="n"/>
      <c r="B138" s="27" t="inlineStr">
        <is>
          <t>Boeing</t>
        </is>
      </c>
      <c r="C138" s="1026" t="n">
        <v>3486</v>
      </c>
    </row>
    <row r="139">
      <c r="A139" s="8" t="n"/>
      <c r="B139" s="27" t="inlineStr">
        <is>
          <t>Tools A - Other</t>
        </is>
      </c>
      <c r="C139" s="1026" t="n">
        <v>51717</v>
      </c>
    </row>
    <row r="140">
      <c r="A140" s="160" t="inlineStr">
        <is>
          <t>TA</t>
        </is>
      </c>
      <c r="B140" s="700" t="inlineStr">
        <is>
          <t>TOTAL</t>
        </is>
      </c>
      <c r="C140" s="1024" t="n">
        <v>60838</v>
      </c>
    </row>
    <row r="141">
      <c r="A141" s="160" t="inlineStr">
        <is>
          <t>TE</t>
        </is>
      </c>
      <c r="B141" s="700" t="inlineStr">
        <is>
          <t>RR-Aftermarket</t>
        </is>
      </c>
      <c r="C141" s="1027" t="n">
        <v>319161</v>
      </c>
    </row>
    <row r="142">
      <c r="A142" s="157" t="inlineStr">
        <is>
          <t>TR</t>
        </is>
      </c>
      <c r="B142" s="156" t="inlineStr">
        <is>
          <t>RR-Trsp AfterMkt T1000</t>
        </is>
      </c>
      <c r="C142" s="1026" t="n">
        <v>282642</v>
      </c>
    </row>
    <row r="143">
      <c r="A143" s="8" t="n"/>
      <c r="B143" s="156" t="inlineStr">
        <is>
          <t>RR-Trsp AfterMkt XWB</t>
        </is>
      </c>
      <c r="C143" s="1026" t="n">
        <v>267677</v>
      </c>
    </row>
    <row r="144">
      <c r="A144" s="81" t="inlineStr">
        <is>
          <t>TR</t>
        </is>
      </c>
      <c r="B144" s="86" t="inlineStr">
        <is>
          <t>TOTAL</t>
        </is>
      </c>
      <c r="C144" s="1028" t="n">
        <v>550320</v>
      </c>
    </row>
    <row r="145">
      <c r="A145" s="160" t="inlineStr">
        <is>
          <t>Grand Total</t>
        </is>
      </c>
      <c r="C145" s="1024" t="n">
        <v>6126675</v>
      </c>
    </row>
  </sheetData>
  <mergeCells count="3">
    <mergeCell ref="A18:A20"/>
    <mergeCell ref="A15:A17"/>
    <mergeCell ref="A63:E63"/>
  </mergeCells>
  <conditionalFormatting sqref="C3:BB3">
    <cfRule type="expression" priority="255" dxfId="265">
      <formula>VALUE(RIGHT(C$3,2))=VALUE(WEEKNUM(TODAY(),21))</formula>
    </cfRule>
  </conditionalFormatting>
  <conditionalFormatting sqref="F27:F28 A43 F43">
    <cfRule type="expression" priority="210" dxfId="78">
      <formula>AND(YEAR(#REF!)=YEAR(TODAY()),MONTH(#REF!)=MONTH(245))</formula>
    </cfRule>
    <cfRule type="expression" priority="207" dxfId="81">
      <formula>AND(YEAR(#REF!)=YEAR(TODAY()),MONTH(#REF!)=MONTH(336))</formula>
    </cfRule>
    <cfRule type="expression" priority="208" dxfId="80">
      <formula>AND(YEAR(#REF!)=YEAR(TODAY()),MONTH(#REF!)=MONTH(306))</formula>
    </cfRule>
    <cfRule type="expression" priority="209" dxfId="79">
      <formula>AND(YEAR(#REF!)=YEAR(TODAY()),MONTH(#REF!)=MONTH(275))</formula>
    </cfRule>
    <cfRule type="expression" priority="211" dxfId="77">
      <formula>AND(YEAR(#REF!)=YEAR(TODAY()),MONTH(#REF!)=MONTH(214))</formula>
    </cfRule>
    <cfRule type="expression" priority="212" dxfId="76">
      <formula>AND(YEAR(#REF!)=YEAR(TODAY()),MONTH(#REF!)=MONTH(183))</formula>
    </cfRule>
    <cfRule type="expression" priority="213" dxfId="75">
      <formula>AND(YEAR(#REF!)=YEAR(TODAY()),MONTH(#REF!)=MONTH(180))</formula>
    </cfRule>
    <cfRule type="expression" priority="214" dxfId="73">
      <formula>AND(YEAR(#REF!)=YEAR(TODAY()),MONTH(#REF!)=MONTH(98))</formula>
    </cfRule>
    <cfRule type="expression" priority="215" dxfId="74">
      <formula>AND(YEAR(#REF!)=YEAR(TODAY()),MONTH(#REF!)=MONTH(150))</formula>
    </cfRule>
    <cfRule type="expression" priority="216" dxfId="70">
      <formula>AND(YEAR(#REF!)=YEAR(TODAY()),MONTH(#REF!)=MONTH(25))</formula>
    </cfRule>
    <cfRule type="expression" priority="217" dxfId="71">
      <formula>AND(YEAR(#REF!)=YEAR(TODAY()),MONTH(#REF!)=MONTH(43145))</formula>
    </cfRule>
    <cfRule type="expression" priority="218" dxfId="72">
      <formula>AND(YEAR(#REF!)=YEAR(TODAY()),MONTH(#REF!)=MONTH(43185))</formula>
    </cfRule>
  </conditionalFormatting>
  <conditionalFormatting sqref="G43">
    <cfRule type="expression" priority="198" dxfId="78">
      <formula>AND(YEAR(#REF!)=YEAR(TODAY()),MONTH(#REF!)=MONTH(245))</formula>
    </cfRule>
    <cfRule type="expression" priority="195" dxfId="81">
      <formula>AND(YEAR(#REF!)=YEAR(TODAY()),MONTH(#REF!)=MONTH(336))</formula>
    </cfRule>
    <cfRule type="expression" priority="196" dxfId="80">
      <formula>AND(YEAR(#REF!)=YEAR(TODAY()),MONTH(#REF!)=MONTH(306))</formula>
    </cfRule>
    <cfRule type="expression" priority="197" dxfId="79">
      <formula>AND(YEAR(#REF!)=YEAR(TODAY()),MONTH(#REF!)=MONTH(275))</formula>
    </cfRule>
    <cfRule type="expression" priority="199" dxfId="77">
      <formula>AND(YEAR(#REF!)=YEAR(TODAY()),MONTH(#REF!)=MONTH(214))</formula>
    </cfRule>
    <cfRule type="expression" priority="200" dxfId="76">
      <formula>AND(YEAR(#REF!)=YEAR(TODAY()),MONTH(#REF!)=MONTH(183))</formula>
    </cfRule>
    <cfRule type="expression" priority="201" dxfId="75">
      <formula>AND(YEAR(#REF!)=YEAR(TODAY()),MONTH(#REF!)=MONTH(180))</formula>
    </cfRule>
    <cfRule type="expression" priority="202" dxfId="73">
      <formula>AND(YEAR(#REF!)=YEAR(TODAY()),MONTH(#REF!)=MONTH(98))</formula>
    </cfRule>
    <cfRule type="expression" priority="203" dxfId="74">
      <formula>AND(YEAR(#REF!)=YEAR(TODAY()),MONTH(#REF!)=MONTH(150))</formula>
    </cfRule>
    <cfRule type="expression" priority="204" dxfId="70">
      <formula>AND(YEAR(#REF!)=YEAR(TODAY()),MONTH(#REF!)=MONTH(25))</formula>
    </cfRule>
    <cfRule type="expression" priority="205" dxfId="71">
      <formula>AND(YEAR(#REF!)=YEAR(TODAY()),MONTH(#REF!)=MONTH(43145))</formula>
    </cfRule>
    <cfRule type="expression" priority="206" dxfId="72">
      <formula>AND(YEAR(#REF!)=YEAR(TODAY()),MONTH(#REF!)=MONTH(43185))</formula>
    </cfRule>
  </conditionalFormatting>
  <conditionalFormatting sqref="H43">
    <cfRule type="expression" priority="186" dxfId="78">
      <formula>AND(YEAR(#REF!)=YEAR(TODAY()),MONTH(#REF!)=MONTH(245))</formula>
    </cfRule>
    <cfRule type="expression" priority="183" dxfId="81">
      <formula>AND(YEAR(#REF!)=YEAR(TODAY()),MONTH(#REF!)=MONTH(336))</formula>
    </cfRule>
    <cfRule type="expression" priority="184" dxfId="80">
      <formula>AND(YEAR(#REF!)=YEAR(TODAY()),MONTH(#REF!)=MONTH(306))</formula>
    </cfRule>
    <cfRule type="expression" priority="185" dxfId="79">
      <formula>AND(YEAR(#REF!)=YEAR(TODAY()),MONTH(#REF!)=MONTH(275))</formula>
    </cfRule>
    <cfRule type="expression" priority="187" dxfId="77">
      <formula>AND(YEAR(#REF!)=YEAR(TODAY()),MONTH(#REF!)=MONTH(214))</formula>
    </cfRule>
    <cfRule type="expression" priority="188" dxfId="76">
      <formula>AND(YEAR(#REF!)=YEAR(TODAY()),MONTH(#REF!)=MONTH(183))</formula>
    </cfRule>
    <cfRule type="expression" priority="189" dxfId="75">
      <formula>AND(YEAR(#REF!)=YEAR(TODAY()),MONTH(#REF!)=MONTH(180))</formula>
    </cfRule>
    <cfRule type="expression" priority="190" dxfId="73">
      <formula>AND(YEAR(#REF!)=YEAR(TODAY()),MONTH(#REF!)=MONTH(98))</formula>
    </cfRule>
    <cfRule type="expression" priority="191" dxfId="74">
      <formula>AND(YEAR(#REF!)=YEAR(TODAY()),MONTH(#REF!)=MONTH(150))</formula>
    </cfRule>
    <cfRule type="expression" priority="192" dxfId="70">
      <formula>AND(YEAR(#REF!)=YEAR(TODAY()),MONTH(#REF!)=MONTH(25))</formula>
    </cfRule>
    <cfRule type="expression" priority="193" dxfId="71">
      <formula>AND(YEAR(#REF!)=YEAR(TODAY()),MONTH(#REF!)=MONTH(43145))</formula>
    </cfRule>
    <cfRule type="expression" priority="194" dxfId="72">
      <formula>AND(YEAR(#REF!)=YEAR(TODAY()),MONTH(#REF!)=MONTH(43185))</formula>
    </cfRule>
  </conditionalFormatting>
  <conditionalFormatting sqref="E42:E43">
    <cfRule type="expression" priority="173" dxfId="78">
      <formula>AND(YEAR(#REF!)=YEAR(TODAY()),MONTH(#REF!)=MONTH(245))</formula>
    </cfRule>
    <cfRule type="expression" priority="170" dxfId="81">
      <formula>AND(YEAR(#REF!)=YEAR(TODAY()),MONTH(#REF!)=MONTH(336))</formula>
    </cfRule>
    <cfRule type="expression" priority="171" dxfId="80">
      <formula>AND(YEAR(#REF!)=YEAR(TODAY()),MONTH(#REF!)=MONTH(306))</formula>
    </cfRule>
    <cfRule type="expression" priority="172" dxfId="79">
      <formula>AND(YEAR(#REF!)=YEAR(TODAY()),MONTH(#REF!)=MONTH(275))</formula>
    </cfRule>
    <cfRule type="expression" priority="174" dxfId="77">
      <formula>AND(YEAR(#REF!)=YEAR(TODAY()),MONTH(#REF!)=MONTH(214))</formula>
    </cfRule>
    <cfRule type="expression" priority="175" dxfId="76">
      <formula>AND(YEAR(#REF!)=YEAR(TODAY()),MONTH(#REF!)=MONTH(183))</formula>
    </cfRule>
    <cfRule type="expression" priority="176" dxfId="75">
      <formula>AND(YEAR(#REF!)=YEAR(TODAY()),MONTH(#REF!)=MONTH(180))</formula>
    </cfRule>
    <cfRule type="expression" priority="177" dxfId="73">
      <formula>AND(YEAR(#REF!)=YEAR(TODAY()),MONTH(#REF!)=MONTH(98))</formula>
    </cfRule>
    <cfRule type="expression" priority="178" dxfId="74">
      <formula>AND(YEAR(#REF!)=YEAR(TODAY()),MONTH(#REF!)=MONTH(150))</formula>
    </cfRule>
    <cfRule type="expression" priority="179" dxfId="70">
      <formula>AND(YEAR(#REF!)=YEAR(TODAY()),MONTH(#REF!)=MONTH(25))</formula>
    </cfRule>
    <cfRule type="expression" priority="180" dxfId="71">
      <formula>AND(YEAR(#REF!)=YEAR(TODAY()),MONTH(#REF!)=MONTH(43145))</formula>
    </cfRule>
    <cfRule type="expression" priority="181" dxfId="72">
      <formula>AND(YEAR(#REF!)=YEAR(TODAY()),MONTH(#REF!)=MONTH(43185))</formula>
    </cfRule>
  </conditionalFormatting>
  <conditionalFormatting sqref="E27:E28 E39:E41 A27:A42">
    <cfRule type="expression" priority="134" dxfId="81">
      <formula>AND(YEAR(#REF!)=YEAR(TODAY()),MONTH(#REF!)=MONTH(336))</formula>
    </cfRule>
    <cfRule type="expression" priority="135" dxfId="80">
      <formula>AND(YEAR(#REF!)=YEAR(TODAY()),MONTH(#REF!)=MONTH(306))</formula>
    </cfRule>
    <cfRule type="expression" priority="136" dxfId="79">
      <formula>AND(YEAR(#REF!)=YEAR(TODAY()),MONTH(#REF!)=MONTH(275))</formula>
    </cfRule>
    <cfRule type="expression" priority="137" dxfId="78">
      <formula>AND(YEAR(#REF!)=YEAR(TODAY()),MONTH(#REF!)=MONTH(245))</formula>
    </cfRule>
    <cfRule type="expression" priority="138" dxfId="77">
      <formula>AND(YEAR(#REF!)=YEAR(TODAY()),MONTH(#REF!)=MONTH(214))</formula>
    </cfRule>
    <cfRule type="expression" priority="139" dxfId="76">
      <formula>AND(YEAR(#REF!)=YEAR(TODAY()),MONTH(#REF!)=MONTH(183))</formula>
    </cfRule>
    <cfRule type="expression" priority="140" dxfId="75">
      <formula>AND(YEAR(#REF!)=YEAR(TODAY()),MONTH(#REF!)=MONTH(180))</formula>
    </cfRule>
    <cfRule type="expression" priority="141" dxfId="73">
      <formula>AND(YEAR(#REF!)=YEAR(TODAY()),MONTH(#REF!)=MONTH(98))</formula>
    </cfRule>
    <cfRule type="expression" priority="142" dxfId="74">
      <formula>AND(YEAR(#REF!)=YEAR(TODAY()),MONTH(#REF!)=MONTH(150))</formula>
    </cfRule>
    <cfRule type="expression" priority="143" dxfId="70">
      <formula>AND(YEAR(#REF!)=YEAR(TODAY()),MONTH(#REF!)=MONTH(25))</formula>
    </cfRule>
    <cfRule type="expression" priority="144" dxfId="71">
      <formula>AND(YEAR(#REF!)=YEAR(TODAY()),MONTH(#REF!)=MONTH(43145))</formula>
    </cfRule>
    <cfRule type="expression" priority="145" dxfId="72">
      <formula>AND(YEAR(#REF!)=YEAR(TODAY()),MONTH(#REF!)=MONTH(43185))</formula>
    </cfRule>
  </conditionalFormatting>
  <conditionalFormatting sqref="G27:G28">
    <cfRule type="expression" priority="122" dxfId="81">
      <formula>AND(YEAR(#REF!)=YEAR(TODAY()),MONTH(#REF!)=MONTH(336))</formula>
    </cfRule>
    <cfRule type="expression" priority="123" dxfId="80">
      <formula>AND(YEAR(#REF!)=YEAR(TODAY()),MONTH(#REF!)=MONTH(306))</formula>
    </cfRule>
    <cfRule type="expression" priority="124" dxfId="79">
      <formula>AND(YEAR(#REF!)=YEAR(TODAY()),MONTH(#REF!)=MONTH(275))</formula>
    </cfRule>
    <cfRule type="expression" priority="125" dxfId="78">
      <formula>AND(YEAR(#REF!)=YEAR(TODAY()),MONTH(#REF!)=MONTH(245))</formula>
    </cfRule>
    <cfRule type="expression" priority="126" dxfId="77">
      <formula>AND(YEAR(#REF!)=YEAR(TODAY()),MONTH(#REF!)=MONTH(214))</formula>
    </cfRule>
    <cfRule type="expression" priority="127" dxfId="76">
      <formula>AND(YEAR(#REF!)=YEAR(TODAY()),MONTH(#REF!)=MONTH(183))</formula>
    </cfRule>
    <cfRule type="expression" priority="128" dxfId="75">
      <formula>AND(YEAR(#REF!)=YEAR(TODAY()),MONTH(#REF!)=MONTH(180))</formula>
    </cfRule>
    <cfRule type="expression" priority="129" dxfId="73">
      <formula>AND(YEAR(#REF!)=YEAR(TODAY()),MONTH(#REF!)=MONTH(98))</formula>
    </cfRule>
    <cfRule type="expression" priority="130" dxfId="74">
      <formula>AND(YEAR(#REF!)=YEAR(TODAY()),MONTH(#REF!)=MONTH(150))</formula>
    </cfRule>
    <cfRule type="expression" priority="131" dxfId="70">
      <formula>AND(YEAR(#REF!)=YEAR(TODAY()),MONTH(#REF!)=MONTH(25))</formula>
    </cfRule>
    <cfRule type="expression" priority="132" dxfId="71">
      <formula>AND(YEAR(#REF!)=YEAR(TODAY()),MONTH(#REF!)=MONTH(43145))</formula>
    </cfRule>
    <cfRule type="expression" priority="133" dxfId="72">
      <formula>AND(YEAR(#REF!)=YEAR(TODAY()),MONTH(#REF!)=MONTH(43185))</formula>
    </cfRule>
  </conditionalFormatting>
  <conditionalFormatting sqref="H27:H28">
    <cfRule type="expression" priority="110" dxfId="81">
      <formula>AND(YEAR(#REF!)=YEAR(TODAY()),MONTH(#REF!)=MONTH(336))</formula>
    </cfRule>
    <cfRule type="expression" priority="111" dxfId="80">
      <formula>AND(YEAR(#REF!)=YEAR(TODAY()),MONTH(#REF!)=MONTH(306))</formula>
    </cfRule>
    <cfRule type="expression" priority="112" dxfId="79">
      <formula>AND(YEAR(#REF!)=YEAR(TODAY()),MONTH(#REF!)=MONTH(275))</formula>
    </cfRule>
    <cfRule type="expression" priority="113" dxfId="78">
      <formula>AND(YEAR(#REF!)=YEAR(TODAY()),MONTH(#REF!)=MONTH(245))</formula>
    </cfRule>
    <cfRule type="expression" priority="114" dxfId="77">
      <formula>AND(YEAR(#REF!)=YEAR(TODAY()),MONTH(#REF!)=MONTH(214))</formula>
    </cfRule>
    <cfRule type="expression" priority="115" dxfId="76">
      <formula>AND(YEAR(#REF!)=YEAR(TODAY()),MONTH(#REF!)=MONTH(183))</formula>
    </cfRule>
    <cfRule type="expression" priority="116" dxfId="75">
      <formula>AND(YEAR(#REF!)=YEAR(TODAY()),MONTH(#REF!)=MONTH(180))</formula>
    </cfRule>
    <cfRule type="expression" priority="117" dxfId="73">
      <formula>AND(YEAR(#REF!)=YEAR(TODAY()),MONTH(#REF!)=MONTH(98))</formula>
    </cfRule>
    <cfRule type="expression" priority="118" dxfId="74">
      <formula>AND(YEAR(#REF!)=YEAR(TODAY()),MONTH(#REF!)=MONTH(150))</formula>
    </cfRule>
    <cfRule type="expression" priority="119" dxfId="70">
      <formula>AND(YEAR(#REF!)=YEAR(TODAY()),MONTH(#REF!)=MONTH(25))</formula>
    </cfRule>
    <cfRule type="expression" priority="120" dxfId="71">
      <formula>AND(YEAR(#REF!)=YEAR(TODAY()),MONTH(#REF!)=MONTH(43145))</formula>
    </cfRule>
    <cfRule type="expression" priority="121" dxfId="72">
      <formula>AND(YEAR(#REF!)=YEAR(TODAY()),MONTH(#REF!)=MONTH(43185))</formula>
    </cfRule>
  </conditionalFormatting>
  <conditionalFormatting sqref="E29:E38">
    <cfRule type="expression" priority="74" dxfId="81">
      <formula>AND(YEAR(#REF!)=YEAR(TODAY()),MONTH(#REF!)=MONTH(336))</formula>
    </cfRule>
    <cfRule type="expression" priority="75" dxfId="80">
      <formula>AND(YEAR(#REF!)=YEAR(TODAY()),MONTH(#REF!)=MONTH(306))</formula>
    </cfRule>
    <cfRule type="expression" priority="76" dxfId="79">
      <formula>AND(YEAR(#REF!)=YEAR(TODAY()),MONTH(#REF!)=MONTH(275))</formula>
    </cfRule>
    <cfRule type="expression" priority="77" dxfId="78">
      <formula>AND(YEAR(#REF!)=YEAR(TODAY()),MONTH(#REF!)=MONTH(245))</formula>
    </cfRule>
    <cfRule type="expression" priority="78" dxfId="77">
      <formula>AND(YEAR(#REF!)=YEAR(TODAY()),MONTH(#REF!)=MONTH(214))</formula>
    </cfRule>
    <cfRule type="expression" priority="79" dxfId="76">
      <formula>AND(YEAR(#REF!)=YEAR(TODAY()),MONTH(#REF!)=MONTH(183))</formula>
    </cfRule>
    <cfRule type="expression" priority="80" dxfId="75">
      <formula>AND(YEAR(#REF!)=YEAR(TODAY()),MONTH(#REF!)=MONTH(180))</formula>
    </cfRule>
    <cfRule type="expression" priority="81" dxfId="73">
      <formula>AND(YEAR(#REF!)=YEAR(TODAY()),MONTH(#REF!)=MONTH(98))</formula>
    </cfRule>
    <cfRule type="expression" priority="82" dxfId="74">
      <formula>AND(YEAR(#REF!)=YEAR(TODAY()),MONTH(#REF!)=MONTH(150))</formula>
    </cfRule>
    <cfRule type="expression" priority="83" dxfId="70">
      <formula>AND(YEAR(#REF!)=YEAR(TODAY()),MONTH(#REF!)=MONTH(25))</formula>
    </cfRule>
    <cfRule type="expression" priority="84" dxfId="71">
      <formula>AND(YEAR(#REF!)=YEAR(TODAY()),MONTH(#REF!)=MONTH(43145))</formula>
    </cfRule>
    <cfRule type="expression" priority="85" dxfId="72">
      <formula>AND(YEAR(#REF!)=YEAR(TODAY()),MONTH(#REF!)=MONTH(43185))</formula>
    </cfRule>
  </conditionalFormatting>
  <conditionalFormatting sqref="G29:G42">
    <cfRule type="expression" priority="14" dxfId="81">
      <formula>AND(YEAR(#REF!)=YEAR(TODAY()),MONTH(#REF!)=MONTH(336))</formula>
    </cfRule>
    <cfRule type="expression" priority="15" dxfId="80">
      <formula>AND(YEAR(#REF!)=YEAR(TODAY()),MONTH(#REF!)=MONTH(306))</formula>
    </cfRule>
    <cfRule type="expression" priority="16" dxfId="79">
      <formula>AND(YEAR(#REF!)=YEAR(TODAY()),MONTH(#REF!)=MONTH(275))</formula>
    </cfRule>
    <cfRule type="expression" priority="17" dxfId="78">
      <formula>AND(YEAR(#REF!)=YEAR(TODAY()),MONTH(#REF!)=MONTH(245))</formula>
    </cfRule>
    <cfRule type="expression" priority="18" dxfId="77">
      <formula>AND(YEAR(#REF!)=YEAR(TODAY()),MONTH(#REF!)=MONTH(214))</formula>
    </cfRule>
    <cfRule type="expression" priority="19" dxfId="76">
      <formula>AND(YEAR(#REF!)=YEAR(TODAY()),MONTH(#REF!)=MONTH(183))</formula>
    </cfRule>
    <cfRule type="expression" priority="20" dxfId="75">
      <formula>AND(YEAR(#REF!)=YEAR(TODAY()),MONTH(#REF!)=MONTH(180))</formula>
    </cfRule>
    <cfRule type="expression" priority="21" dxfId="73">
      <formula>AND(YEAR(#REF!)=YEAR(TODAY()),MONTH(#REF!)=MONTH(98))</formula>
    </cfRule>
    <cfRule type="expression" priority="22" dxfId="74">
      <formula>AND(YEAR(#REF!)=YEAR(TODAY()),MONTH(#REF!)=MONTH(150))</formula>
    </cfRule>
    <cfRule type="expression" priority="23" dxfId="70">
      <formula>AND(YEAR(#REF!)=YEAR(TODAY()),MONTH(#REF!)=MONTH(25))</formula>
    </cfRule>
    <cfRule type="expression" priority="24" dxfId="71">
      <formula>AND(YEAR(#REF!)=YEAR(TODAY()),MONTH(#REF!)=MONTH(43145))</formula>
    </cfRule>
    <cfRule type="expression" priority="25" dxfId="72">
      <formula>AND(YEAR(#REF!)=YEAR(TODAY()),MONTH(#REF!)=MONTH(43185))</formula>
    </cfRule>
  </conditionalFormatting>
  <conditionalFormatting sqref="H29:H42">
    <cfRule type="expression" priority="2" dxfId="81">
      <formula>AND(YEAR(#REF!)=YEAR(TODAY()),MONTH(#REF!)=MONTH(336))</formula>
    </cfRule>
    <cfRule type="expression" priority="3" dxfId="80">
      <formula>AND(YEAR(#REF!)=YEAR(TODAY()),MONTH(#REF!)=MONTH(306))</formula>
    </cfRule>
    <cfRule type="expression" priority="4" dxfId="79">
      <formula>AND(YEAR(#REF!)=YEAR(TODAY()),MONTH(#REF!)=MONTH(275))</formula>
    </cfRule>
    <cfRule type="expression" priority="5" dxfId="78">
      <formula>AND(YEAR(#REF!)=YEAR(TODAY()),MONTH(#REF!)=MONTH(245))</formula>
    </cfRule>
    <cfRule type="expression" priority="6" dxfId="77">
      <formula>AND(YEAR(#REF!)=YEAR(TODAY()),MONTH(#REF!)=MONTH(214))</formula>
    </cfRule>
    <cfRule type="expression" priority="7" dxfId="76">
      <formula>AND(YEAR(#REF!)=YEAR(TODAY()),MONTH(#REF!)=MONTH(183))</formula>
    </cfRule>
    <cfRule type="expression" priority="8" dxfId="75">
      <formula>AND(YEAR(#REF!)=YEAR(TODAY()),MONTH(#REF!)=MONTH(180))</formula>
    </cfRule>
    <cfRule type="expression" priority="9" dxfId="73">
      <formula>AND(YEAR(#REF!)=YEAR(TODAY()),MONTH(#REF!)=MONTH(98))</formula>
    </cfRule>
    <cfRule type="expression" priority="10" dxfId="74">
      <formula>AND(YEAR(#REF!)=YEAR(TODAY()),MONTH(#REF!)=MONTH(150))</formula>
    </cfRule>
    <cfRule type="expression" priority="11" dxfId="70">
      <formula>AND(YEAR(#REF!)=YEAR(TODAY()),MONTH(#REF!)=MONTH(25))</formula>
    </cfRule>
    <cfRule type="expression" priority="12" dxfId="71">
      <formula>AND(YEAR(#REF!)=YEAR(TODAY()),MONTH(#REF!)=MONTH(43145))</formula>
    </cfRule>
    <cfRule type="expression" priority="13" dxfId="72">
      <formula>AND(YEAR(#REF!)=YEAR(TODAY()),MONTH(#REF!)=MONTH(43185))</formula>
    </cfRule>
  </conditionalFormatting>
  <conditionalFormatting sqref="C49:BB49">
    <cfRule type="expression" priority="1" dxfId="265">
      <formula>VALUE(RIGHT(C$3,2))=VALUE(WEEKNUM(TODAY(),21))</formula>
    </cfRule>
  </conditionalFormatting>
  <pageMargins left="0.25" right="0.25" top="0.75" bottom="0.75" header="0.3" footer="0.3"/>
  <pageSetup orientation="landscape" paperSize="8" scale="30" fitToWidth="0"/>
  <drawing r:id="rId1"/>
  <legacyDrawing r:id="anysvml"/>
</worksheet>
</file>

<file path=xl/worksheets/sheet13.xml><?xml version="1.0" encoding="utf-8"?>
<worksheet xmlns="http://schemas.openxmlformats.org/spreadsheetml/2006/main">
  <sheetPr codeName="Sheet11" filterMode="1">
    <outlinePr summaryBelow="1" summaryRight="1"/>
    <pageSetUpPr fitToPage="1"/>
  </sheetPr>
  <dimension ref="A1:N561"/>
  <sheetViews>
    <sheetView zoomScale="70" zoomScaleNormal="70" workbookViewId="0">
      <pane ySplit="3" topLeftCell="A4" activePane="bottomLeft" state="frozenSplit"/>
      <selection activeCell="C1" sqref="C1:F1"/>
      <selection pane="bottomLeft" activeCell="K3" sqref="J3:K3"/>
    </sheetView>
  </sheetViews>
  <sheetFormatPr baseColWidth="10" defaultColWidth="8.88671875" defaultRowHeight="14.4"/>
  <cols>
    <col width="35.109375" bestFit="1" customWidth="1" style="701" min="1" max="1"/>
    <col width="10.88671875" bestFit="1" customWidth="1" style="701" min="2" max="2"/>
    <col width="8.44140625" bestFit="1" customWidth="1" style="701" min="3" max="3"/>
    <col width="15" bestFit="1" customWidth="1" style="701" min="4" max="4"/>
    <col width="13" bestFit="1" customWidth="1" style="701" min="5" max="5"/>
    <col width="13" customWidth="1" style="709" min="6" max="6"/>
    <col width="15.109375" bestFit="1" customWidth="1" style="1029" min="7" max="7"/>
    <col width="1.5546875" customWidth="1" style="701" min="8" max="8"/>
    <col width="8.44140625" bestFit="1" customWidth="1" style="701" min="9" max="9"/>
    <col width="12.88671875" bestFit="1" customWidth="1" style="701" min="10" max="10"/>
    <col width="12.88671875" bestFit="1" customWidth="1" style="707" min="11" max="11"/>
    <col width="9.88671875" bestFit="1" customWidth="1" style="1030" min="12" max="12"/>
    <col width="65.109375" bestFit="1" customWidth="1" style="1030" min="13" max="13"/>
    <col width="19.109375" bestFit="1" customWidth="1" style="701" min="14" max="14"/>
  </cols>
  <sheetData>
    <row r="1">
      <c r="F1" s="709">
        <f>SUBTOTAL(9,F4:F600)</f>
        <v/>
      </c>
    </row>
    <row r="2">
      <c r="A2" s="146" t="n"/>
      <c r="B2" s="146" t="n"/>
      <c r="C2" s="702" t="inlineStr">
        <is>
          <t>C O M M A N D E S / O R D E R S</t>
        </is>
      </c>
      <c r="H2" s="327" t="n"/>
      <c r="I2" s="705" t="inlineStr">
        <is>
          <t>L I V R A S O N S</t>
        </is>
      </c>
      <c r="L2" s="1031" t="inlineStr">
        <is>
          <t>Nb. of</t>
        </is>
      </c>
      <c r="M2" s="1032" t="n"/>
      <c r="N2" s="1032" t="n"/>
    </row>
    <row r="3" ht="30" customFormat="1" customHeight="1" s="103">
      <c r="A3" s="100" t="inlineStr">
        <is>
          <t>Client</t>
        </is>
      </c>
      <c r="B3" s="100" t="inlineStr">
        <is>
          <t>Status</t>
        </is>
      </c>
      <c r="C3" s="104" t="inlineStr">
        <is>
          <t>CW</t>
        </is>
      </c>
      <c r="D3" s="105" t="inlineStr">
        <is>
          <t>Date Cmde</t>
        </is>
      </c>
      <c r="E3" s="104" t="inlineStr">
        <is>
          <t>Cmde N°</t>
        </is>
      </c>
      <c r="F3" s="1033" t="inlineStr">
        <is>
          <t>C Montant € HT</t>
        </is>
      </c>
      <c r="G3" s="1034" t="inlineStr">
        <is>
          <t>Délai (semaines)</t>
        </is>
      </c>
      <c r="H3" s="101" t="n"/>
      <c r="I3" s="102" t="inlineStr">
        <is>
          <t>CW</t>
        </is>
      </c>
      <c r="J3" s="107" t="inlineStr">
        <is>
          <t>Date Liv. Réelle</t>
        </is>
      </c>
      <c r="K3" s="1035" t="inlineStr">
        <is>
          <t>Date Liv. Prévue</t>
        </is>
      </c>
      <c r="L3" s="1036" t="inlineStr">
        <is>
          <t>parts</t>
        </is>
      </c>
      <c r="M3" s="1036" t="inlineStr">
        <is>
          <t>Product Description</t>
        </is>
      </c>
      <c r="N3" s="1036" t="inlineStr">
        <is>
          <t>Status</t>
        </is>
      </c>
    </row>
    <row r="4" ht="15" customHeight="1" s="701">
      <c r="A4" s="164">
        <f>IF(AND(Data!R3&lt;&gt;"",Data!L3="Accepté"),Data!G3,"")</f>
        <v/>
      </c>
      <c r="B4" s="164">
        <f>IF(AND(Data!R3&lt;&gt;"",Data!L3="Accepté"),Data!L3,"")</f>
        <v/>
      </c>
      <c r="C4" s="329">
        <f>IF(D4&lt;&gt;"","S"&amp;TEXT(WEEKNUM(D4),"00"),"")</f>
        <v/>
      </c>
      <c r="D4" s="330">
        <f>IF(AND(Data!Q3&lt;&gt;"",Data!L3="Accepté"),Data!Q3,"")</f>
        <v/>
      </c>
      <c r="E4" s="106">
        <f>IF(AND(Data!R3&lt;&gt;"",Data!L3="Accepté"),Data!R3,"")</f>
        <v/>
      </c>
      <c r="F4" s="1037">
        <f>IF(AND(Data!R3&lt;&gt;"",Data!L3="Accepté"),Data!S3,"")</f>
        <v/>
      </c>
      <c r="G4" s="1038">
        <f>IF(Data!R3='Delivery Plan'!E4,Data!U3,"")</f>
        <v/>
      </c>
      <c r="H4" s="327" t="n"/>
      <c r="I4" s="329">
        <f>IF(J4&lt;&gt;"","S"&amp;TEXT(WEEKNUM(J4),"00"),"")</f>
        <v/>
      </c>
      <c r="J4" s="330">
        <f>IF(AND(E4=Data!R3,Data!AA3&lt;&gt;""),Data!AA3,"")</f>
        <v/>
      </c>
      <c r="K4" s="751">
        <f>IF(AND(E4=Data!R3,Data!AE3&lt;&gt;""),Data!AE3,"")</f>
        <v/>
      </c>
      <c r="L4" s="1039">
        <f>IF(E4=Data!R3,Data!AI3,"")</f>
        <v/>
      </c>
      <c r="M4" s="1039">
        <f>IF(E4=Data!R3,Data!AJ3,"")</f>
        <v/>
      </c>
      <c r="N4">
        <f>IF(AND(Data!R3&lt;&gt;"",Data!L3="Accepté"),Data!K3,"")</f>
        <v/>
      </c>
    </row>
    <row r="5" hidden="1" ht="15" customHeight="1" s="701">
      <c r="A5" s="164">
        <f>IF(AND(Data!R4&lt;&gt;"",Data!L4="Accepté"),Data!G4,"")</f>
        <v/>
      </c>
      <c r="B5" s="164">
        <f>IF(AND(Data!R4&lt;&gt;"",Data!L4="Accepté"),Data!L4,"")</f>
        <v/>
      </c>
      <c r="C5" s="329">
        <f>IF(D5&lt;&gt;"","S"&amp;TEXT(WEEKNUM(D5),"00"),"")</f>
        <v/>
      </c>
      <c r="D5" s="330">
        <f>IF(AND(Data!Q4&lt;&gt;"",Data!L4="Accepté"),Data!Q4,"")</f>
        <v/>
      </c>
      <c r="E5" s="106">
        <f>IF(AND(Data!R4&lt;&gt;"",Data!L4="Accepté"),Data!R4,"")</f>
        <v/>
      </c>
      <c r="F5" s="1037">
        <f>IF(AND(Data!R4&lt;&gt;"",Data!L4="Accepté"),Data!S4,"")</f>
        <v/>
      </c>
      <c r="G5" s="1038">
        <f>IF(Data!R4='Delivery Plan'!E5,Data!U4,"")</f>
        <v/>
      </c>
      <c r="H5" s="327" t="n"/>
      <c r="I5" s="329">
        <f>IF(J5&lt;&gt;"","S"&amp;TEXT(WEEKNUM(J5),"00"),"")</f>
        <v/>
      </c>
      <c r="J5" s="330">
        <f>IF(AND(E5=Data!R4,Data!AA4&lt;&gt;""),Data!AA4,"")</f>
        <v/>
      </c>
      <c r="K5" s="751">
        <f>IF(AND(E5=Data!R4,Data!AE4&lt;&gt;""),Data!AE4,"")</f>
        <v/>
      </c>
      <c r="L5" s="1039">
        <f>IF(E5=Data!R4,Data!AI4,"")</f>
        <v/>
      </c>
      <c r="M5" s="1039">
        <f>IF(E5=Data!R4,Data!AJ4,"")</f>
        <v/>
      </c>
      <c r="N5">
        <f>IF(AND(Data!R4&lt;&gt;"",Data!L4="Accepté"),Data!K4,"")</f>
        <v/>
      </c>
    </row>
    <row r="6" hidden="1" ht="15" customHeight="1" s="701">
      <c r="A6" s="164">
        <f>IF(AND(Data!R5&lt;&gt;"",Data!L5="Accepté"),Data!G5,"")</f>
        <v/>
      </c>
      <c r="B6" s="164">
        <f>IF(AND(Data!R5&lt;&gt;"",Data!L5="Accepté"),Data!L5,"")</f>
        <v/>
      </c>
      <c r="C6" s="329">
        <f>IF(D6&lt;&gt;"","S"&amp;TEXT(WEEKNUM(D6),"00"),"")</f>
        <v/>
      </c>
      <c r="D6" s="330">
        <f>IF(AND(Data!Q5&lt;&gt;"",Data!L5="Accepté"),Data!Q5,"")</f>
        <v/>
      </c>
      <c r="E6" s="106">
        <f>IF(AND(Data!R5&lt;&gt;"",Data!L5="Accepté"),Data!R5,"")</f>
        <v/>
      </c>
      <c r="F6" s="1037">
        <f>IF(AND(Data!R5&lt;&gt;"",Data!L5="Accepté"),Data!S5,"")</f>
        <v/>
      </c>
      <c r="G6" s="1038">
        <f>IF(Data!R5='Delivery Plan'!E6,Data!U5,"")</f>
        <v/>
      </c>
      <c r="H6" s="327" t="n"/>
      <c r="I6" s="329">
        <f>IF(J6&lt;&gt;"","S"&amp;TEXT(WEEKNUM(J6),"00"),"")</f>
        <v/>
      </c>
      <c r="J6" s="330">
        <f>IF(AND(E6=Data!R5,Data!AA5&lt;&gt;""),Data!AA5,"")</f>
        <v/>
      </c>
      <c r="K6" s="751">
        <f>IF(AND(E6=Data!R5,Data!AE5&lt;&gt;""),Data!AE5,"")</f>
        <v/>
      </c>
      <c r="L6" s="1039">
        <f>IF(E6=Data!R5,Data!AI5,"")</f>
        <v/>
      </c>
      <c r="M6" s="1039">
        <f>IF(E6=Data!R5,Data!AJ5,"")</f>
        <v/>
      </c>
      <c r="N6">
        <f>IF(AND(Data!R5&lt;&gt;"",Data!L5="Accepté"),Data!K5,"")</f>
        <v/>
      </c>
    </row>
    <row r="7" hidden="1" ht="15" customHeight="1" s="701">
      <c r="A7" s="164">
        <f>IF(AND(Data!R6&lt;&gt;"",Data!L6="Accepté"),Data!G6,"")</f>
        <v/>
      </c>
      <c r="B7" s="164">
        <f>IF(AND(Data!R6&lt;&gt;"",Data!L6="Accepté"),Data!L6,"")</f>
        <v/>
      </c>
      <c r="C7" s="329">
        <f>IF(D7&lt;&gt;"","S"&amp;TEXT(WEEKNUM(D7),"00"),"")</f>
        <v/>
      </c>
      <c r="D7" s="330">
        <f>IF(AND(Data!Q6&lt;&gt;"",Data!L6="Accepté"),Data!Q6,"")</f>
        <v/>
      </c>
      <c r="E7" s="106">
        <f>IF(AND(Data!R6&lt;&gt;"",Data!L6="Accepté"),Data!R6,"")</f>
        <v/>
      </c>
      <c r="F7" s="1037">
        <f>IF(AND(Data!R6&lt;&gt;"",Data!L6="Accepté"),Data!S6,"")</f>
        <v/>
      </c>
      <c r="G7" s="1038">
        <f>IF(Data!R6='Delivery Plan'!E7,Data!U6,"")</f>
        <v/>
      </c>
      <c r="H7" s="327" t="n"/>
      <c r="I7" s="329">
        <f>IF(J7&lt;&gt;"","S"&amp;TEXT(WEEKNUM(J7),"00"),"")</f>
        <v/>
      </c>
      <c r="J7" s="330">
        <f>IF(AND(E7=Data!R6,Data!AA6&lt;&gt;""),Data!AA6,"")</f>
        <v/>
      </c>
      <c r="K7" s="751">
        <f>IF(AND(E7=Data!R6,Data!AE6&lt;&gt;""),Data!AE6,"")</f>
        <v/>
      </c>
      <c r="L7" s="1039">
        <f>IF(E7=Data!R6,Data!AI6,"")</f>
        <v/>
      </c>
      <c r="M7" s="1039">
        <f>IF(E7=Data!R6,Data!AJ6,"")</f>
        <v/>
      </c>
      <c r="N7">
        <f>IF(AND(Data!R6&lt;&gt;"",Data!L6="Accepté"),Data!K6,"")</f>
        <v/>
      </c>
    </row>
    <row r="8" ht="15" customHeight="1" s="701">
      <c r="A8" s="164">
        <f>IF(AND(Data!R7&lt;&gt;"",Data!L7="Accepté"),Data!G7,"")</f>
        <v/>
      </c>
      <c r="B8" s="164">
        <f>IF(AND(Data!R7&lt;&gt;"",Data!L7="Accepté"),Data!L7,"")</f>
        <v/>
      </c>
      <c r="C8" s="329">
        <f>IF(D8&lt;&gt;"","S"&amp;TEXT(WEEKNUM(D8),"00"),"")</f>
        <v/>
      </c>
      <c r="D8" s="330">
        <f>IF(AND(Data!Q7&lt;&gt;"",Data!L7="Accepté"),Data!Q7,"")</f>
        <v/>
      </c>
      <c r="E8" s="106">
        <f>IF(AND(Data!R7&lt;&gt;"",Data!L7="Accepté"),Data!R7,"")</f>
        <v/>
      </c>
      <c r="F8" s="1037">
        <f>IF(AND(Data!R7&lt;&gt;"",Data!L7="Accepté"),Data!S7,"")</f>
        <v/>
      </c>
      <c r="G8" s="1038">
        <f>IF(Data!R7='Delivery Plan'!E8,Data!U7,"")</f>
        <v/>
      </c>
      <c r="H8" s="327" t="n"/>
      <c r="I8" s="329">
        <f>IF(J8&lt;&gt;"","S"&amp;TEXT(WEEKNUM(J8),"00"),"")</f>
        <v/>
      </c>
      <c r="J8" s="330">
        <f>IF(AND(E8=Data!R7,Data!AA7&lt;&gt;""),Data!AA7,"")</f>
        <v/>
      </c>
      <c r="K8" s="751">
        <f>IF(AND(E8=Data!R7,Data!AE7&lt;&gt;""),Data!AE7,"")</f>
        <v/>
      </c>
      <c r="L8" s="1039">
        <f>IF(E8=Data!R7,Data!AI7,"")</f>
        <v/>
      </c>
      <c r="M8" s="1039">
        <f>IF(E8=Data!R7,Data!AJ7,"")</f>
        <v/>
      </c>
      <c r="N8">
        <f>IF(AND(Data!R7&lt;&gt;"",Data!L7="Accepté"),Data!K7,"")</f>
        <v/>
      </c>
    </row>
    <row r="9" hidden="1" ht="15" customHeight="1" s="701">
      <c r="A9" s="164">
        <f>IF(AND(Data!R8&lt;&gt;"",Data!L8="Accepté"),Data!G8,"")</f>
        <v/>
      </c>
      <c r="B9" s="164">
        <f>IF(AND(Data!R8&lt;&gt;"",Data!L8="Accepté"),Data!L8,"")</f>
        <v/>
      </c>
      <c r="C9" s="329">
        <f>IF(D9&lt;&gt;"","S"&amp;TEXT(WEEKNUM(D9),"00"),"")</f>
        <v/>
      </c>
      <c r="D9" s="330">
        <f>IF(AND(Data!Q8&lt;&gt;"",Data!L8="Accepté"),Data!Q8,"")</f>
        <v/>
      </c>
      <c r="E9" s="106">
        <f>IF(AND(Data!R8&lt;&gt;"",Data!L8="Accepté"),Data!R8,"")</f>
        <v/>
      </c>
      <c r="F9" s="1037">
        <f>IF(AND(Data!R8&lt;&gt;"",Data!L8="Accepté"),Data!S8,"")</f>
        <v/>
      </c>
      <c r="G9" s="1038">
        <f>IF(Data!R8='Delivery Plan'!E9,Data!U8,"")</f>
        <v/>
      </c>
      <c r="H9" s="327" t="n"/>
      <c r="I9" s="329">
        <f>IF(J9&lt;&gt;"","S"&amp;TEXT(WEEKNUM(J9),"00"),"")</f>
        <v/>
      </c>
      <c r="J9" s="330">
        <f>IF(AND(E9=Data!R8,Data!AA8&lt;&gt;""),Data!AA8,"")</f>
        <v/>
      </c>
      <c r="K9" s="751">
        <f>IF(AND(E9=Data!R8,Data!AE8&lt;&gt;""),Data!AE8,"")</f>
        <v/>
      </c>
      <c r="L9" s="1039">
        <f>IF(E9=Data!R8,Data!AI8,"")</f>
        <v/>
      </c>
      <c r="M9" s="1039">
        <f>IF(E9=Data!R8,Data!AJ8,"")</f>
        <v/>
      </c>
      <c r="N9">
        <f>IF(AND(Data!R8&lt;&gt;"",Data!L8="Accepté"),Data!K8,"")</f>
        <v/>
      </c>
    </row>
    <row r="10" hidden="1" ht="15" customHeight="1" s="701">
      <c r="A10" s="164">
        <f>IF(AND(Data!R9&lt;&gt;"",Data!L9="Accepté"),Data!G9,"")</f>
        <v/>
      </c>
      <c r="B10" s="164">
        <f>IF(AND(Data!R9&lt;&gt;"",Data!L9="Accepté"),Data!L9,"")</f>
        <v/>
      </c>
      <c r="C10" s="329">
        <f>IF(D10&lt;&gt;"","S"&amp;TEXT(WEEKNUM(D10),"00"),"")</f>
        <v/>
      </c>
      <c r="D10" s="330">
        <f>IF(AND(Data!Q9&lt;&gt;"",Data!L9="Accepté"),Data!Q9,"")</f>
        <v/>
      </c>
      <c r="E10" s="106">
        <f>IF(AND(Data!R9&lt;&gt;"",Data!L9="Accepté"),Data!R9,"")</f>
        <v/>
      </c>
      <c r="F10" s="1037">
        <f>IF(AND(Data!R9&lt;&gt;"",Data!L9="Accepté"),Data!S9,"")</f>
        <v/>
      </c>
      <c r="G10" s="1038">
        <f>IF(Data!R9='Delivery Plan'!E10,Data!U9,"")</f>
        <v/>
      </c>
      <c r="H10" s="327" t="n"/>
      <c r="I10" s="329">
        <f>IF(J10&lt;&gt;"","S"&amp;TEXT(WEEKNUM(J10),"00"),"")</f>
        <v/>
      </c>
      <c r="J10" s="330">
        <f>IF(AND(E10=Data!R9,Data!AA9&lt;&gt;""),Data!AA9,"")</f>
        <v/>
      </c>
      <c r="K10" s="751">
        <f>IF(AND(E10=Data!R9,Data!AE9&lt;&gt;""),Data!AE9,"")</f>
        <v/>
      </c>
      <c r="L10" s="1039">
        <f>IF(E10=Data!R9,Data!AI9,"")</f>
        <v/>
      </c>
      <c r="M10" s="1039">
        <f>IF(E10=Data!R9,Data!AJ9,"")</f>
        <v/>
      </c>
      <c r="N10">
        <f>IF(AND(Data!R9&lt;&gt;"",Data!L9="Accepté"),Data!K9,"")</f>
        <v/>
      </c>
    </row>
    <row r="11" hidden="1" ht="15" customHeight="1" s="701">
      <c r="A11" s="164">
        <f>IF(AND(Data!R10&lt;&gt;"",Data!L10="Accepté"),Data!G10,"")</f>
        <v/>
      </c>
      <c r="B11" s="164">
        <f>IF(AND(Data!R10&lt;&gt;"",Data!L10="Accepté"),Data!L10,"")</f>
        <v/>
      </c>
      <c r="C11" s="329">
        <f>IF(D11&lt;&gt;"","S"&amp;TEXT(WEEKNUM(D11),"00"),"")</f>
        <v/>
      </c>
      <c r="D11" s="330">
        <f>IF(AND(Data!Q10&lt;&gt;"",Data!L10="Accepté"),Data!Q10,"")</f>
        <v/>
      </c>
      <c r="E11" s="106">
        <f>IF(AND(Data!R10&lt;&gt;"",Data!L10="Accepté"),Data!R10,"")</f>
        <v/>
      </c>
      <c r="F11" s="1037">
        <f>IF(AND(Data!R10&lt;&gt;"",Data!L10="Accepté"),Data!S10,"")</f>
        <v/>
      </c>
      <c r="G11" s="1038">
        <f>IF(Data!R10='Delivery Plan'!E11,Data!U10,"")</f>
        <v/>
      </c>
      <c r="H11" s="327" t="n"/>
      <c r="I11" s="329">
        <f>IF(J11&lt;&gt;"","S"&amp;TEXT(WEEKNUM(J11),"00"),"")</f>
        <v/>
      </c>
      <c r="J11" s="330">
        <f>IF(AND(E11=Data!R10,Data!AA10&lt;&gt;""),Data!AA10,"")</f>
        <v/>
      </c>
      <c r="K11" s="751">
        <f>IF(AND(E11=Data!R10,Data!AE10&lt;&gt;""),Data!AE10,"")</f>
        <v/>
      </c>
      <c r="L11" s="1039">
        <f>IF(E11=Data!R10,Data!AI10,"")</f>
        <v/>
      </c>
      <c r="M11" s="1039">
        <f>IF(E11=Data!R10,Data!AJ10,"")</f>
        <v/>
      </c>
      <c r="N11">
        <f>IF(AND(Data!R10&lt;&gt;"",Data!L10="Accepté"),Data!K10,"")</f>
        <v/>
      </c>
    </row>
    <row r="12" hidden="1" ht="15" customHeight="1" s="701">
      <c r="A12" s="164">
        <f>IF(AND(Data!R11&lt;&gt;"",Data!L11="Accepté"),Data!G11,"")</f>
        <v/>
      </c>
      <c r="B12" s="164">
        <f>IF(AND(Data!R11&lt;&gt;"",Data!L11="Accepté"),Data!L11,"")</f>
        <v/>
      </c>
      <c r="C12" s="329">
        <f>IF(D12&lt;&gt;"","S"&amp;TEXT(WEEKNUM(D12),"00"),"")</f>
        <v/>
      </c>
      <c r="D12" s="330">
        <f>IF(AND(Data!Q11&lt;&gt;"",Data!L11="Accepté"),Data!Q11,"")</f>
        <v/>
      </c>
      <c r="E12" s="106">
        <f>IF(AND(Data!R11&lt;&gt;"",Data!L11="Accepté"),Data!R11,"")</f>
        <v/>
      </c>
      <c r="F12" s="1037">
        <f>IF(AND(Data!R11&lt;&gt;"",Data!L11="Accepté"),Data!S11,"")</f>
        <v/>
      </c>
      <c r="G12" s="1038">
        <f>IF(Data!R11='Delivery Plan'!E12,Data!U11,"")</f>
        <v/>
      </c>
      <c r="H12" s="327" t="n"/>
      <c r="I12" s="329">
        <f>IF(J12&lt;&gt;"","S"&amp;TEXT(WEEKNUM(J12),"00"),"")</f>
        <v/>
      </c>
      <c r="J12" s="330">
        <f>IF(AND(E12=Data!R11,Data!AA11&lt;&gt;""),Data!AA11,"")</f>
        <v/>
      </c>
      <c r="K12" s="751">
        <f>IF(AND(E12=Data!R11,Data!AE11&lt;&gt;""),Data!AE11,"")</f>
        <v/>
      </c>
      <c r="L12" s="1039">
        <f>IF(E12=Data!R11,Data!AI11,"")</f>
        <v/>
      </c>
      <c r="M12" s="1039">
        <f>IF(E12=Data!R11,Data!AJ11,"")</f>
        <v/>
      </c>
      <c r="N12">
        <f>IF(AND(Data!R11&lt;&gt;"",Data!L11="Accepté"),Data!K11,"")</f>
        <v/>
      </c>
    </row>
    <row r="13" hidden="1" ht="15" customHeight="1" s="701">
      <c r="A13" s="164">
        <f>IF(AND(Data!R12&lt;&gt;"",Data!L12="Accepté"),Data!G12,"")</f>
        <v/>
      </c>
      <c r="B13" s="164">
        <f>IF(AND(Data!R12&lt;&gt;"",Data!L12="Accepté"),Data!L12,"")</f>
        <v/>
      </c>
      <c r="C13" s="329">
        <f>IF(D13&lt;&gt;"","S"&amp;TEXT(WEEKNUM(D13),"00"),"")</f>
        <v/>
      </c>
      <c r="D13" s="330">
        <f>IF(AND(Data!Q12&lt;&gt;"",Data!L12="Accepté"),Data!Q12,"")</f>
        <v/>
      </c>
      <c r="E13" s="106">
        <f>IF(AND(Data!R12&lt;&gt;"",Data!L12="Accepté"),Data!R12,"")</f>
        <v/>
      </c>
      <c r="F13" s="1037">
        <f>IF(AND(Data!R12&lt;&gt;"",Data!L12="Accepté"),Data!S12,"")</f>
        <v/>
      </c>
      <c r="G13" s="1038">
        <f>IF(Data!R12='Delivery Plan'!E13,Data!U12,"")</f>
        <v/>
      </c>
      <c r="H13" s="327" t="n"/>
      <c r="I13" s="329">
        <f>IF(J13&lt;&gt;"","S"&amp;TEXT(WEEKNUM(J13),"00"),"")</f>
        <v/>
      </c>
      <c r="J13" s="330">
        <f>IF(AND(E13=Data!R12,Data!AA12&lt;&gt;""),Data!AA12,"")</f>
        <v/>
      </c>
      <c r="K13" s="751">
        <f>IF(AND(E13=Data!R12,Data!AE12&lt;&gt;""),Data!AE12,"")</f>
        <v/>
      </c>
      <c r="L13" s="1039">
        <f>IF(E13=Data!R12,Data!AI12,"")</f>
        <v/>
      </c>
      <c r="M13" s="1039">
        <f>IF(E13=Data!R12,Data!AJ12,"")</f>
        <v/>
      </c>
      <c r="N13">
        <f>IF(AND(Data!R12&lt;&gt;"",Data!L12="Accepté"),Data!K12,"")</f>
        <v/>
      </c>
    </row>
    <row r="14" hidden="1" ht="15" customHeight="1" s="701">
      <c r="A14" s="164">
        <f>IF(AND(Data!R13&lt;&gt;"",Data!L13="Accepté"),Data!G13,"")</f>
        <v/>
      </c>
      <c r="B14" s="164">
        <f>IF(AND(Data!R13&lt;&gt;"",Data!L13="Accepté"),Data!L13,"")</f>
        <v/>
      </c>
      <c r="C14" s="329">
        <f>IF(D14&lt;&gt;"","S"&amp;TEXT(WEEKNUM(D14),"00"),"")</f>
        <v/>
      </c>
      <c r="D14" s="330">
        <f>IF(AND(Data!Q13&lt;&gt;"",Data!L13="Accepté"),Data!Q13,"")</f>
        <v/>
      </c>
      <c r="E14" s="106">
        <f>IF(AND(Data!R13&lt;&gt;"",Data!L13="Accepté"),Data!R13,"")</f>
        <v/>
      </c>
      <c r="F14" s="1037">
        <f>IF(AND(Data!R13&lt;&gt;"",Data!L13="Accepté"),Data!S13,"")</f>
        <v/>
      </c>
      <c r="G14" s="1038">
        <f>IF(Data!R13='Delivery Plan'!E14,Data!U13,"")</f>
        <v/>
      </c>
      <c r="H14" s="327" t="n"/>
      <c r="I14" s="329">
        <f>IF(J14&lt;&gt;"","S"&amp;TEXT(WEEKNUM(J14),"00"),"")</f>
        <v/>
      </c>
      <c r="J14" s="330">
        <f>IF(AND(E14=Data!R13,Data!AA13&lt;&gt;""),Data!AA13,"")</f>
        <v/>
      </c>
      <c r="K14" s="751">
        <f>IF(AND(E14=Data!R13,Data!AE13&lt;&gt;""),Data!AE13,"")</f>
        <v/>
      </c>
      <c r="L14" s="1039">
        <f>IF(E14=Data!R13,Data!AI13,"")</f>
        <v/>
      </c>
      <c r="M14" s="1039">
        <f>IF(E14=Data!R13,Data!AJ13,"")</f>
        <v/>
      </c>
      <c r="N14">
        <f>IF(AND(Data!R13&lt;&gt;"",Data!L13="Accepté"),Data!K13,"")</f>
        <v/>
      </c>
    </row>
    <row r="15" ht="15" customHeight="1" s="701">
      <c r="A15" s="164">
        <f>IF(AND(Data!R14&lt;&gt;"",Data!L14="Accepté"),Data!G14,"")</f>
        <v/>
      </c>
      <c r="B15" s="164">
        <f>IF(AND(Data!R14&lt;&gt;"",Data!L14="Accepté"),Data!L14,"")</f>
        <v/>
      </c>
      <c r="C15" s="329">
        <f>IF(D15&lt;&gt;"","S"&amp;TEXT(WEEKNUM(D15),"00"),"")</f>
        <v/>
      </c>
      <c r="D15" s="330">
        <f>IF(AND(Data!Q14&lt;&gt;"",Data!L14="Accepté"),Data!Q14,"")</f>
        <v/>
      </c>
      <c r="E15" s="106">
        <f>IF(AND(Data!R14&lt;&gt;"",Data!L14="Accepté"),Data!R14,"")</f>
        <v/>
      </c>
      <c r="F15" s="1037">
        <f>IF(AND(Data!R14&lt;&gt;"",Data!L14="Accepté"),Data!S14,"")</f>
        <v/>
      </c>
      <c r="G15" s="1038">
        <f>IF(Data!R14='Delivery Plan'!E15,Data!U14,"")</f>
        <v/>
      </c>
      <c r="H15" s="327" t="n"/>
      <c r="I15" s="329">
        <f>IF(J15&lt;&gt;"","S"&amp;TEXT(WEEKNUM(J15),"00"),"")</f>
        <v/>
      </c>
      <c r="J15" s="330">
        <f>IF(AND(E15=Data!R14,Data!AA14&lt;&gt;""),Data!AA14,"")</f>
        <v/>
      </c>
      <c r="K15" s="751">
        <f>IF(AND(E15=Data!R14,Data!AE14&lt;&gt;""),Data!AE14,"")</f>
        <v/>
      </c>
      <c r="L15" s="1039">
        <f>IF(E15=Data!R14,Data!AI14,"")</f>
        <v/>
      </c>
      <c r="M15" s="1039">
        <f>IF(E15=Data!R14,Data!AJ14,"")</f>
        <v/>
      </c>
      <c r="N15">
        <f>IF(AND(Data!R14&lt;&gt;"",Data!L14="Accepté"),Data!K14,"")</f>
        <v/>
      </c>
    </row>
    <row r="16" ht="15" customHeight="1" s="701">
      <c r="A16" s="164">
        <f>IF(AND(Data!R15&lt;&gt;"",Data!L15="Accepté"),Data!G15,"")</f>
        <v/>
      </c>
      <c r="B16" s="164">
        <f>IF(AND(Data!R15&lt;&gt;"",Data!L15="Accepté"),Data!L15,"")</f>
        <v/>
      </c>
      <c r="C16" s="329">
        <f>IF(D16&lt;&gt;"","S"&amp;TEXT(WEEKNUM(D16),"00"),"")</f>
        <v/>
      </c>
      <c r="D16" s="330">
        <f>IF(AND(Data!Q15&lt;&gt;"",Data!L15="Accepté"),Data!Q15,"")</f>
        <v/>
      </c>
      <c r="E16" s="106">
        <f>IF(AND(Data!R15&lt;&gt;"",Data!L15="Accepté"),Data!R15,"")</f>
        <v/>
      </c>
      <c r="F16" s="1037">
        <f>IF(AND(Data!R15&lt;&gt;"",Data!L15="Accepté"),Data!S15,"")</f>
        <v/>
      </c>
      <c r="G16" s="1038">
        <f>IF(Data!R15='Delivery Plan'!E16,Data!U15,"")</f>
        <v/>
      </c>
      <c r="H16" s="327" t="n"/>
      <c r="I16" s="329">
        <f>IF(J16&lt;&gt;"","S"&amp;TEXT(WEEKNUM(J16),"00"),"")</f>
        <v/>
      </c>
      <c r="J16" s="330">
        <f>IF(AND(E16=Data!R15,Data!AA15&lt;&gt;""),Data!AA15,"")</f>
        <v/>
      </c>
      <c r="K16" s="751">
        <f>IF(AND(E16=Data!R15,Data!AE15&lt;&gt;""),Data!AE15,"")</f>
        <v/>
      </c>
      <c r="L16" s="1039">
        <f>IF(E16=Data!R15,Data!AI15,"")</f>
        <v/>
      </c>
      <c r="M16" s="1039">
        <f>IF(E16=Data!R15,Data!AJ15,"")</f>
        <v/>
      </c>
      <c r="N16">
        <f>IF(AND(Data!R15&lt;&gt;"",Data!L15="Accepté"),Data!K15,"")</f>
        <v/>
      </c>
    </row>
    <row r="17" hidden="1" ht="15" customHeight="1" s="701">
      <c r="A17" s="164">
        <f>IF(AND(Data!R16&lt;&gt;"",Data!L16="Accepté"),Data!G16,"")</f>
        <v/>
      </c>
      <c r="B17" s="164">
        <f>IF(AND(Data!R16&lt;&gt;"",Data!L16="Accepté"),Data!L16,"")</f>
        <v/>
      </c>
      <c r="C17" s="329">
        <f>IF(D17&lt;&gt;"","S"&amp;TEXT(WEEKNUM(D17),"00"),"")</f>
        <v/>
      </c>
      <c r="D17" s="330">
        <f>IF(AND(Data!Q16&lt;&gt;"",Data!L16="Accepté"),Data!Q16,"")</f>
        <v/>
      </c>
      <c r="E17" s="106">
        <f>IF(AND(Data!R16&lt;&gt;"",Data!L16="Accepté"),Data!R16,"")</f>
        <v/>
      </c>
      <c r="F17" s="1037">
        <f>IF(AND(Data!R16&lt;&gt;"",Data!L16="Accepté"),Data!S16,"")</f>
        <v/>
      </c>
      <c r="G17" s="1038">
        <f>IF(Data!R16='Delivery Plan'!E17,Data!U16,"")</f>
        <v/>
      </c>
      <c r="H17" s="327" t="n"/>
      <c r="I17" s="329">
        <f>IF(J17&lt;&gt;"","S"&amp;TEXT(WEEKNUM(J17),"00"),"")</f>
        <v/>
      </c>
      <c r="J17" s="330">
        <f>IF(AND(E17=Data!R16,Data!AA16&lt;&gt;""),Data!AA16,"")</f>
        <v/>
      </c>
      <c r="K17" s="751">
        <f>IF(AND(E17=Data!R16,Data!AE16&lt;&gt;""),Data!AE16,"")</f>
        <v/>
      </c>
      <c r="L17" s="1039">
        <f>IF(E17=Data!R16,Data!AI16,"")</f>
        <v/>
      </c>
      <c r="M17" s="1039">
        <f>IF(E17=Data!R16,Data!AJ16,"")</f>
        <v/>
      </c>
      <c r="N17">
        <f>IF(AND(Data!R16&lt;&gt;"",Data!L16="Accepté"),Data!K16,"")</f>
        <v/>
      </c>
    </row>
    <row r="18" hidden="1" s="701">
      <c r="A18" s="164">
        <f>IF(AND(Data!R17&lt;&gt;"",Data!L17="Accepté"),Data!G17,"")</f>
        <v/>
      </c>
      <c r="B18" s="164">
        <f>IF(AND(Data!R17&lt;&gt;"",Data!L17="Accepté"),Data!L17,"")</f>
        <v/>
      </c>
      <c r="C18" s="329">
        <f>IF(D18&lt;&gt;"","S"&amp;TEXT(WEEKNUM(D18),"00"),"")</f>
        <v/>
      </c>
      <c r="D18" s="330">
        <f>IF(AND(Data!Q17&lt;&gt;"",Data!L17="Accepté"),Data!Q17,"")</f>
        <v/>
      </c>
      <c r="E18" s="106">
        <f>IF(AND(Data!R17&lt;&gt;"",Data!L17="Accepté"),Data!R17,"")</f>
        <v/>
      </c>
      <c r="F18" s="1037">
        <f>IF(AND(Data!R17&lt;&gt;"",Data!L17="Accepté"),Data!S17,"")</f>
        <v/>
      </c>
      <c r="G18" s="1038">
        <f>IF(Data!R17='Delivery Plan'!E18,Data!U17,"")</f>
        <v/>
      </c>
      <c r="H18" s="327" t="n"/>
      <c r="I18" s="329">
        <f>IF(J18&lt;&gt;"","S"&amp;TEXT(WEEKNUM(J18),"00"),"")</f>
        <v/>
      </c>
      <c r="J18" s="330">
        <f>IF(AND(E18=Data!R17,Data!AA17&lt;&gt;""),Data!AA17,"")</f>
        <v/>
      </c>
      <c r="K18" s="751">
        <f>IF(AND(E18=Data!R17,Data!AE17&lt;&gt;""),Data!AE17,"")</f>
        <v/>
      </c>
      <c r="L18" s="1039">
        <f>IF(E18=Data!R17,Data!AI17,"")</f>
        <v/>
      </c>
      <c r="M18" s="1039">
        <f>IF(E18=Data!R17,Data!AJ17,"")</f>
        <v/>
      </c>
      <c r="N18">
        <f>IF(AND(Data!R17&lt;&gt;"",Data!L17="Accepté"),Data!K17,"")</f>
        <v/>
      </c>
    </row>
    <row r="19" hidden="1" ht="15" customHeight="1" s="701">
      <c r="A19" s="164">
        <f>IF(AND(Data!R18&lt;&gt;"",Data!L18="Accepté"),Data!G18,"")</f>
        <v/>
      </c>
      <c r="B19" s="164">
        <f>IF(AND(Data!R18&lt;&gt;"",Data!L18="Accepté"),Data!L18,"")</f>
        <v/>
      </c>
      <c r="C19" s="329">
        <f>IF(D19&lt;&gt;"","S"&amp;TEXT(WEEKNUM(D19),"00"),"")</f>
        <v/>
      </c>
      <c r="D19" s="330">
        <f>IF(AND(Data!Q18&lt;&gt;"",Data!L18="Accepté"),Data!Q18,"")</f>
        <v/>
      </c>
      <c r="E19" s="106">
        <f>IF(AND(Data!R18&lt;&gt;"",Data!L18="Accepté"),Data!R18,"")</f>
        <v/>
      </c>
      <c r="F19" s="1037">
        <f>IF(AND(Data!R18&lt;&gt;"",Data!L18="Accepté"),Data!S18,"")</f>
        <v/>
      </c>
      <c r="G19" s="1038">
        <f>IF(Data!R18='Delivery Plan'!E19,Data!U18,"")</f>
        <v/>
      </c>
      <c r="H19" s="327" t="n"/>
      <c r="I19" s="329">
        <f>IF(J19&lt;&gt;"","S"&amp;TEXT(WEEKNUM(J19),"00"),"")</f>
        <v/>
      </c>
      <c r="J19" s="330">
        <f>IF(AND(E19=Data!R18,Data!AA18&lt;&gt;""),Data!AA18,"")</f>
        <v/>
      </c>
      <c r="K19" s="751">
        <f>IF(AND(E19=Data!R18,Data!AE18&lt;&gt;""),Data!AE18,"")</f>
        <v/>
      </c>
      <c r="L19" s="1039">
        <f>IF(E19=Data!R18,Data!AI18,"")</f>
        <v/>
      </c>
      <c r="M19" s="1039">
        <f>IF(E19=Data!R18,Data!AJ18,"")</f>
        <v/>
      </c>
      <c r="N19">
        <f>IF(AND(Data!R18&lt;&gt;"",Data!L18="Accepté"),Data!K18,"")</f>
        <v/>
      </c>
    </row>
    <row r="20" hidden="1" ht="15" customHeight="1" s="701">
      <c r="A20" s="164">
        <f>IF(AND(Data!R19&lt;&gt;"",Data!L19="Accepté"),Data!G19,"")</f>
        <v/>
      </c>
      <c r="B20" s="164">
        <f>IF(AND(Data!R19&lt;&gt;"",Data!L19="Accepté"),Data!L19,"")</f>
        <v/>
      </c>
      <c r="C20" s="329">
        <f>IF(D20&lt;&gt;"","S"&amp;TEXT(WEEKNUM(D20),"00"),"")</f>
        <v/>
      </c>
      <c r="D20" s="330">
        <f>IF(AND(Data!Q19&lt;&gt;"",Data!L19="Accepté"),Data!Q19,"")</f>
        <v/>
      </c>
      <c r="E20" s="106">
        <f>IF(AND(Data!R19&lt;&gt;"",Data!L19="Accepté"),Data!R19,"")</f>
        <v/>
      </c>
      <c r="F20" s="1037">
        <f>IF(AND(Data!R19&lt;&gt;"",Data!L19="Accepté"),Data!S19,"")</f>
        <v/>
      </c>
      <c r="G20" s="1038">
        <f>IF(Data!R19='Delivery Plan'!E20,Data!U19,"")</f>
        <v/>
      </c>
      <c r="H20" s="327" t="n"/>
      <c r="I20" s="329">
        <f>IF(J20&lt;&gt;"","S"&amp;TEXT(WEEKNUM(J20),"00"),"")</f>
        <v/>
      </c>
      <c r="J20" s="330">
        <f>IF(AND(E20=Data!R19,Data!AA19&lt;&gt;""),Data!AA19,"")</f>
        <v/>
      </c>
      <c r="K20" s="751">
        <f>IF(AND(E20=Data!R19,Data!AE19&lt;&gt;""),Data!AE19,"")</f>
        <v/>
      </c>
      <c r="L20" s="1039">
        <f>IF(E20=Data!R19,Data!AI19,"")</f>
        <v/>
      </c>
      <c r="M20" s="1039">
        <f>IF(E20=Data!R19,Data!AJ19,"")</f>
        <v/>
      </c>
      <c r="N20">
        <f>IF(AND(Data!R19&lt;&gt;"",Data!L19="Accepté"),Data!K19,"")</f>
        <v/>
      </c>
    </row>
    <row r="21" hidden="1" ht="15" customHeight="1" s="701">
      <c r="A21" s="164">
        <f>IF(AND(Data!R20&lt;&gt;"",Data!L20="Accepté"),Data!G20,"")</f>
        <v/>
      </c>
      <c r="B21" s="164">
        <f>IF(AND(Data!R20&lt;&gt;"",Data!L20="Accepté"),Data!L20,"")</f>
        <v/>
      </c>
      <c r="C21" s="329">
        <f>IF(D21&lt;&gt;"","S"&amp;TEXT(WEEKNUM(D21),"00"),"")</f>
        <v/>
      </c>
      <c r="D21" s="330">
        <f>IF(AND(Data!Q20&lt;&gt;"",Data!L20="Accepté"),Data!Q20,"")</f>
        <v/>
      </c>
      <c r="E21" s="106">
        <f>IF(AND(Data!R20&lt;&gt;"",Data!L20="Accepté"),Data!R20,"")</f>
        <v/>
      </c>
      <c r="F21" s="1037">
        <f>IF(AND(Data!R20&lt;&gt;"",Data!L20="Accepté"),Data!S20,"")</f>
        <v/>
      </c>
      <c r="G21" s="1038">
        <f>IF(Data!R20='Delivery Plan'!E21,Data!U20,"")</f>
        <v/>
      </c>
      <c r="H21" s="327" t="n"/>
      <c r="I21" s="329">
        <f>IF(J21&lt;&gt;"","S"&amp;TEXT(WEEKNUM(J21),"00"),"")</f>
        <v/>
      </c>
      <c r="J21" s="330">
        <f>IF(AND(E21=Data!R20,Data!AA20&lt;&gt;""),Data!AA20,"")</f>
        <v/>
      </c>
      <c r="K21" s="751">
        <f>IF(AND(E21=Data!R20,Data!AE20&lt;&gt;""),Data!AE20,"")</f>
        <v/>
      </c>
      <c r="L21" s="1039">
        <f>IF(E21=Data!R20,Data!AI20,"")</f>
        <v/>
      </c>
      <c r="M21" s="1039">
        <f>IF(E21=Data!R20,Data!AJ20,"")</f>
        <v/>
      </c>
      <c r="N21">
        <f>IF(AND(Data!R20&lt;&gt;"",Data!L20="Accepté"),Data!K20,"")</f>
        <v/>
      </c>
    </row>
    <row r="22" hidden="1" ht="15" customHeight="1" s="701">
      <c r="A22" s="164">
        <f>IF(AND(Data!R21&lt;&gt;"",Data!L21="Accepté"),Data!G21,"")</f>
        <v/>
      </c>
      <c r="B22" s="164">
        <f>IF(AND(Data!R21&lt;&gt;"",Data!L21="Accepté"),Data!L21,"")</f>
        <v/>
      </c>
      <c r="C22" s="329">
        <f>IF(D22&lt;&gt;"","S"&amp;TEXT(WEEKNUM(D22),"00"),"")</f>
        <v/>
      </c>
      <c r="D22" s="330">
        <f>IF(AND(Data!Q21&lt;&gt;"",Data!L21="Accepté"),Data!Q21,"")</f>
        <v/>
      </c>
      <c r="E22" s="106">
        <f>IF(AND(Data!R21&lt;&gt;"",Data!L21="Accepté"),Data!R21,"")</f>
        <v/>
      </c>
      <c r="F22" s="1037">
        <f>IF(AND(Data!R21&lt;&gt;"",Data!L21="Accepté"),Data!S21,"")</f>
        <v/>
      </c>
      <c r="G22" s="1038">
        <f>IF(Data!R21='Delivery Plan'!E22,Data!U21,"")</f>
        <v/>
      </c>
      <c r="H22" s="327" t="n"/>
      <c r="I22" s="329">
        <f>IF(J22&lt;&gt;"","S"&amp;TEXT(WEEKNUM(J22),"00"),"")</f>
        <v/>
      </c>
      <c r="J22" s="330">
        <f>IF(AND(E22=Data!R21,Data!AA21&lt;&gt;""),Data!AA21,"")</f>
        <v/>
      </c>
      <c r="K22" s="751">
        <f>IF(AND(E22=Data!R21,Data!AE21&lt;&gt;""),Data!AE21,"")</f>
        <v/>
      </c>
      <c r="L22" s="1039">
        <f>IF(E22=Data!R21,Data!AI21,"")</f>
        <v/>
      </c>
      <c r="M22" s="1039">
        <f>IF(E22=Data!R21,Data!AJ21,"")</f>
        <v/>
      </c>
      <c r="N22">
        <f>IF(AND(Data!R21&lt;&gt;"",Data!L21="Accepté"),Data!K21,"")</f>
        <v/>
      </c>
    </row>
    <row r="23" hidden="1" ht="15" customHeight="1" s="701">
      <c r="A23" s="164">
        <f>IF(AND(Data!R22&lt;&gt;"",Data!L22="Accepté"),Data!G22,"")</f>
        <v/>
      </c>
      <c r="B23" s="164">
        <f>IF(AND(Data!R22&lt;&gt;"",Data!L22="Accepté"),Data!L22,"")</f>
        <v/>
      </c>
      <c r="C23" s="329">
        <f>IF(D23&lt;&gt;"","S"&amp;TEXT(WEEKNUM(D23),"00"),"")</f>
        <v/>
      </c>
      <c r="D23" s="330">
        <f>IF(AND(Data!Q22&lt;&gt;"",Data!L22="Accepté"),Data!Q22,"")</f>
        <v/>
      </c>
      <c r="E23" s="106">
        <f>IF(AND(Data!R22&lt;&gt;"",Data!L22="Accepté"),Data!R22,"")</f>
        <v/>
      </c>
      <c r="F23" s="1037">
        <f>IF(AND(Data!R22&lt;&gt;"",Data!L22="Accepté"),Data!S22,"")</f>
        <v/>
      </c>
      <c r="G23" s="1038">
        <f>IF(Data!R22='Delivery Plan'!E23,Data!U22,"")</f>
        <v/>
      </c>
      <c r="H23" s="327" t="n"/>
      <c r="I23" s="329">
        <f>IF(J23&lt;&gt;"","S"&amp;TEXT(WEEKNUM(J23),"00"),"")</f>
        <v/>
      </c>
      <c r="J23" s="330">
        <f>IF(AND(E23=Data!R22,Data!AA22&lt;&gt;""),Data!AA22,"")</f>
        <v/>
      </c>
      <c r="K23" s="751">
        <f>IF(AND(E23=Data!R22,Data!AE22&lt;&gt;""),Data!AE22,"")</f>
        <v/>
      </c>
      <c r="L23" s="1039">
        <f>IF(E23=Data!R22,Data!AI22,"")</f>
        <v/>
      </c>
      <c r="M23" s="1039">
        <f>IF(E23=Data!R22,Data!AJ22,"")</f>
        <v/>
      </c>
      <c r="N23">
        <f>IF(AND(Data!R22&lt;&gt;"",Data!L22="Accepté"),Data!K22,"")</f>
        <v/>
      </c>
    </row>
    <row r="24" hidden="1" ht="15" customHeight="1" s="701">
      <c r="A24" s="164">
        <f>IF(AND(Data!R23&lt;&gt;"",Data!L23="Accepté"),Data!G23,"")</f>
        <v/>
      </c>
      <c r="B24" s="164">
        <f>IF(AND(Data!R23&lt;&gt;"",Data!L23="Accepté"),Data!L23,"")</f>
        <v/>
      </c>
      <c r="C24" s="329">
        <f>IF(D24&lt;&gt;"","S"&amp;TEXT(WEEKNUM(D24),"00"),"")</f>
        <v/>
      </c>
      <c r="D24" s="330">
        <f>IF(AND(Data!Q23&lt;&gt;"",Data!L23="Accepté"),Data!Q23,"")</f>
        <v/>
      </c>
      <c r="E24" s="106">
        <f>IF(AND(Data!R23&lt;&gt;"",Data!L23="Accepté"),Data!R23,"")</f>
        <v/>
      </c>
      <c r="F24" s="1037">
        <f>IF(AND(Data!R23&lt;&gt;"",Data!L23="Accepté"),Data!S23,"")</f>
        <v/>
      </c>
      <c r="G24" s="1038">
        <f>IF(Data!R23='Delivery Plan'!E24,Data!U23,"")</f>
        <v/>
      </c>
      <c r="H24" s="327" t="n"/>
      <c r="I24" s="329">
        <f>IF(J24&lt;&gt;"","S"&amp;TEXT(WEEKNUM(J24),"00"),"")</f>
        <v/>
      </c>
      <c r="J24" s="330">
        <f>IF(AND(E24=Data!R23,Data!AA23&lt;&gt;""),Data!AA23,"")</f>
        <v/>
      </c>
      <c r="K24" s="751">
        <f>IF(AND(E24=Data!R23,Data!AE23&lt;&gt;""),Data!AE23,"")</f>
        <v/>
      </c>
      <c r="L24" s="1039">
        <f>IF(E24=Data!R23,Data!AI23,"")</f>
        <v/>
      </c>
      <c r="M24" s="1039">
        <f>IF(E24=Data!R23,Data!AJ23,"")</f>
        <v/>
      </c>
      <c r="N24">
        <f>IF(AND(Data!R23&lt;&gt;"",Data!L23="Accepté"),Data!K23,"")</f>
        <v/>
      </c>
    </row>
    <row r="25" hidden="1" ht="15" customHeight="1" s="701">
      <c r="A25" s="164">
        <f>IF(AND(Data!R24&lt;&gt;"",Data!L24="Accepté"),Data!G24,"")</f>
        <v/>
      </c>
      <c r="B25" s="164">
        <f>IF(AND(Data!R24&lt;&gt;"",Data!L24="Accepté"),Data!L24,"")</f>
        <v/>
      </c>
      <c r="C25" s="329">
        <f>IF(D25&lt;&gt;"","S"&amp;TEXT(WEEKNUM(D25),"00"),"")</f>
        <v/>
      </c>
      <c r="D25" s="330">
        <f>IF(AND(Data!Q24&lt;&gt;"",Data!L24="Accepté"),Data!Q24,"")</f>
        <v/>
      </c>
      <c r="E25" s="106">
        <f>IF(AND(Data!R24&lt;&gt;"",Data!L24="Accepté"),Data!R24,"")</f>
        <v/>
      </c>
      <c r="F25" s="1037">
        <f>IF(AND(Data!R24&lt;&gt;"",Data!L24="Accepté"),Data!S24,"")</f>
        <v/>
      </c>
      <c r="G25" s="1038">
        <f>IF(Data!R24='Delivery Plan'!E25,Data!U24,"")</f>
        <v/>
      </c>
      <c r="H25" s="327" t="n"/>
      <c r="I25" s="329">
        <f>IF(J25&lt;&gt;"","S"&amp;TEXT(WEEKNUM(J25),"00"),"")</f>
        <v/>
      </c>
      <c r="J25" s="330">
        <f>IF(AND(E25=Data!R24,Data!AA24&lt;&gt;""),Data!AA24,"")</f>
        <v/>
      </c>
      <c r="K25" s="751">
        <f>IF(AND(E25=Data!R24,Data!AE24&lt;&gt;""),Data!AE24,"")</f>
        <v/>
      </c>
      <c r="L25" s="1039">
        <f>IF(E25=Data!R24,Data!AI24,"")</f>
        <v/>
      </c>
      <c r="M25" s="1039">
        <f>IF(E25=Data!R24,Data!AJ24,"")</f>
        <v/>
      </c>
      <c r="N25">
        <f>IF(AND(Data!R24&lt;&gt;"",Data!L24="Accepté"),Data!K24,"")</f>
        <v/>
      </c>
    </row>
    <row r="26" hidden="1" ht="15" customHeight="1" s="701">
      <c r="A26" s="164">
        <f>IF(AND(Data!R25&lt;&gt;"",Data!L25="Accepté"),Data!G25,"")</f>
        <v/>
      </c>
      <c r="B26" s="164">
        <f>IF(AND(Data!R25&lt;&gt;"",Data!L25="Accepté"),Data!L25,"")</f>
        <v/>
      </c>
      <c r="C26" s="329">
        <f>IF(D26&lt;&gt;"","S"&amp;TEXT(WEEKNUM(D26),"00"),"")</f>
        <v/>
      </c>
      <c r="D26" s="330">
        <f>IF(AND(Data!Q25&lt;&gt;"",Data!L25="Accepté"),Data!Q25,"")</f>
        <v/>
      </c>
      <c r="E26" s="106">
        <f>IF(AND(Data!R25&lt;&gt;"",Data!L25="Accepté"),Data!R25,"")</f>
        <v/>
      </c>
      <c r="F26" s="1037">
        <f>IF(AND(Data!R25&lt;&gt;"",Data!L25="Accepté"),Data!S25,"")</f>
        <v/>
      </c>
      <c r="G26" s="1038">
        <f>IF(Data!R25='Delivery Plan'!E26,Data!U25,"")</f>
        <v/>
      </c>
      <c r="H26" s="327" t="n"/>
      <c r="I26" s="329">
        <f>IF(J26&lt;&gt;"","S"&amp;TEXT(WEEKNUM(J26),"00"),"")</f>
        <v/>
      </c>
      <c r="J26" s="330">
        <f>IF(AND(E26=Data!R25,Data!AA25&lt;&gt;""),Data!AA25,"")</f>
        <v/>
      </c>
      <c r="K26" s="751">
        <f>IF(AND(E26=Data!R25,Data!AE25&lt;&gt;""),Data!AE25,"")</f>
        <v/>
      </c>
      <c r="L26" s="1039">
        <f>IF(E26=Data!R25,Data!AI25,"")</f>
        <v/>
      </c>
      <c r="M26" s="1039">
        <f>IF(E26=Data!R25,Data!AJ25,"")</f>
        <v/>
      </c>
      <c r="N26">
        <f>IF(AND(Data!R25&lt;&gt;"",Data!L25="Accepté"),Data!K25,"")</f>
        <v/>
      </c>
    </row>
    <row r="27" hidden="1" ht="15" customHeight="1" s="701">
      <c r="A27" s="164">
        <f>IF(AND(Data!R26&lt;&gt;"",Data!L26="Accepté"),Data!G26,"")</f>
        <v/>
      </c>
      <c r="B27" s="164">
        <f>IF(AND(Data!R26&lt;&gt;"",Data!L26="Accepté"),Data!L26,"")</f>
        <v/>
      </c>
      <c r="C27" s="329">
        <f>IF(D27&lt;&gt;"","S"&amp;TEXT(WEEKNUM(D27),"00"),"")</f>
        <v/>
      </c>
      <c r="D27" s="330">
        <f>IF(AND(Data!Q26&lt;&gt;"",Data!L26="Accepté"),Data!Q26,"")</f>
        <v/>
      </c>
      <c r="E27" s="106">
        <f>IF(AND(Data!R26&lt;&gt;"",Data!L26="Accepté"),Data!R26,"")</f>
        <v/>
      </c>
      <c r="F27" s="1037">
        <f>IF(AND(Data!R26&lt;&gt;"",Data!L26="Accepté"),Data!S26,"")</f>
        <v/>
      </c>
      <c r="G27" s="1038">
        <f>IF(Data!R26='Delivery Plan'!E27,Data!U26,"")</f>
        <v/>
      </c>
      <c r="H27" s="327" t="n"/>
      <c r="I27" s="329">
        <f>IF(J27&lt;&gt;"","S"&amp;TEXT(WEEKNUM(J27),"00"),"")</f>
        <v/>
      </c>
      <c r="J27" s="330">
        <f>IF(AND(E27=Data!R26,Data!AA26&lt;&gt;""),Data!AA26,"")</f>
        <v/>
      </c>
      <c r="K27" s="751">
        <f>IF(AND(E27=Data!R26,Data!AE26&lt;&gt;""),Data!AE26,"")</f>
        <v/>
      </c>
      <c r="L27" s="1039">
        <f>IF(E27=Data!R26,Data!AI26,"")</f>
        <v/>
      </c>
      <c r="M27" s="1039">
        <f>IF(E27=Data!R26,Data!AJ26,"")</f>
        <v/>
      </c>
      <c r="N27">
        <f>IF(AND(Data!R26&lt;&gt;"",Data!L26="Accepté"),Data!K26,"")</f>
        <v/>
      </c>
    </row>
    <row r="28" hidden="1" ht="15" customHeight="1" s="701">
      <c r="A28" s="164">
        <f>IF(AND(Data!R27&lt;&gt;"",Data!L27="Accepté"),Data!G27,"")</f>
        <v/>
      </c>
      <c r="B28" s="164">
        <f>IF(AND(Data!R27&lt;&gt;"",Data!L27="Accepté"),Data!L27,"")</f>
        <v/>
      </c>
      <c r="C28" s="329">
        <f>IF(D28&lt;&gt;"","S"&amp;TEXT(WEEKNUM(D28),"00"),"")</f>
        <v/>
      </c>
      <c r="D28" s="330">
        <f>IF(AND(Data!Q27&lt;&gt;"",Data!L27="Accepté"),Data!Q27,"")</f>
        <v/>
      </c>
      <c r="E28" s="106">
        <f>IF(AND(Data!R27&lt;&gt;"",Data!L27="Accepté"),Data!R27,"")</f>
        <v/>
      </c>
      <c r="F28" s="1037">
        <f>IF(AND(Data!R27&lt;&gt;"",Data!L27="Accepté"),Data!S27,"")</f>
        <v/>
      </c>
      <c r="G28" s="1038">
        <f>IF(Data!R27='Delivery Plan'!E28,Data!U27,"")</f>
        <v/>
      </c>
      <c r="H28" s="327" t="n"/>
      <c r="I28" s="329">
        <f>IF(J28&lt;&gt;"","S"&amp;TEXT(WEEKNUM(J28),"00"),"")</f>
        <v/>
      </c>
      <c r="J28" s="330">
        <f>IF(AND(E28=Data!R27,Data!AA27&lt;&gt;""),Data!AA27,"")</f>
        <v/>
      </c>
      <c r="K28" s="751">
        <f>IF(AND(E28=Data!R27,Data!AE27&lt;&gt;""),Data!AE27,"")</f>
        <v/>
      </c>
      <c r="L28" s="1039">
        <f>IF(E28=Data!R27,Data!AI27,"")</f>
        <v/>
      </c>
      <c r="M28" s="1039">
        <f>IF(E28=Data!R27,Data!AJ27,"")</f>
        <v/>
      </c>
      <c r="N28">
        <f>IF(AND(Data!R27&lt;&gt;"",Data!L27="Accepté"),Data!K27,"")</f>
        <v/>
      </c>
    </row>
    <row r="29" hidden="1" ht="15" customHeight="1" s="701">
      <c r="A29" s="164">
        <f>IF(AND(Data!R28&lt;&gt;"",Data!L28="Accepté"),Data!G28,"")</f>
        <v/>
      </c>
      <c r="B29" s="164">
        <f>IF(AND(Data!R28&lt;&gt;"",Data!L28="Accepté"),Data!L28,"")</f>
        <v/>
      </c>
      <c r="C29" s="329">
        <f>IF(D29&lt;&gt;"","S"&amp;TEXT(WEEKNUM(D29),"00"),"")</f>
        <v/>
      </c>
      <c r="D29" s="330">
        <f>IF(AND(Data!Q28&lt;&gt;"",Data!L28="Accepté"),Data!Q28,"")</f>
        <v/>
      </c>
      <c r="E29" s="106">
        <f>IF(AND(Data!R28&lt;&gt;"",Data!L28="Accepté"),Data!R28,"")</f>
        <v/>
      </c>
      <c r="F29" s="1037">
        <f>IF(AND(Data!R28&lt;&gt;"",Data!L28="Accepté"),Data!S28,"")</f>
        <v/>
      </c>
      <c r="G29" s="1038">
        <f>IF(Data!R28='Delivery Plan'!E29,Data!U28,"")</f>
        <v/>
      </c>
      <c r="H29" s="327" t="n"/>
      <c r="I29" s="329">
        <f>IF(J29&lt;&gt;"","S"&amp;TEXT(WEEKNUM(J29),"00"),"")</f>
        <v/>
      </c>
      <c r="J29" s="330">
        <f>IF(AND(E29=Data!R28,Data!AA28&lt;&gt;""),Data!AA28,"")</f>
        <v/>
      </c>
      <c r="K29" s="751">
        <f>IF(AND(E29=Data!R28,Data!AE28&lt;&gt;""),Data!AE28,"")</f>
        <v/>
      </c>
      <c r="L29" s="1039">
        <f>IF(E29=Data!R28,Data!AI28,"")</f>
        <v/>
      </c>
      <c r="M29" s="1039">
        <f>IF(E29=Data!R28,Data!AJ28,"")</f>
        <v/>
      </c>
      <c r="N29">
        <f>IF(AND(Data!R28&lt;&gt;"",Data!L28="Accepté"),Data!K28,"")</f>
        <v/>
      </c>
    </row>
    <row r="30" hidden="1" ht="15" customHeight="1" s="701">
      <c r="A30" s="164">
        <f>IF(AND(Data!R29&lt;&gt;"",Data!L29="Accepté"),Data!G29,"")</f>
        <v/>
      </c>
      <c r="B30" s="164">
        <f>IF(AND(Data!R29&lt;&gt;"",Data!L29="Accepté"),Data!L29,"")</f>
        <v/>
      </c>
      <c r="C30" s="329">
        <f>IF(D30&lt;&gt;"","S"&amp;TEXT(WEEKNUM(D30),"00"),"")</f>
        <v/>
      </c>
      <c r="D30" s="330">
        <f>IF(AND(Data!Q29&lt;&gt;"",Data!L29="Accepté"),Data!Q29,"")</f>
        <v/>
      </c>
      <c r="E30" s="106">
        <f>IF(AND(Data!R29&lt;&gt;"",Data!L29="Accepté"),Data!R29,"")</f>
        <v/>
      </c>
      <c r="F30" s="1037">
        <f>IF(AND(Data!R29&lt;&gt;"",Data!L29="Accepté"),Data!S29,"")</f>
        <v/>
      </c>
      <c r="G30" s="1038">
        <f>IF(Data!R29='Delivery Plan'!E30,Data!U29,"")</f>
        <v/>
      </c>
      <c r="H30" s="327" t="n"/>
      <c r="I30" s="329">
        <f>IF(J30&lt;&gt;"","S"&amp;TEXT(WEEKNUM(J30),"00"),"")</f>
        <v/>
      </c>
      <c r="J30" s="330">
        <f>IF(AND(E30=Data!R29,Data!AA29&lt;&gt;""),Data!AA29,"")</f>
        <v/>
      </c>
      <c r="K30" s="751">
        <f>IF(AND(E30=Data!R29,Data!AE29&lt;&gt;""),Data!AE29,"")</f>
        <v/>
      </c>
      <c r="L30" s="1039">
        <f>IF(E30=Data!R29,Data!AI29,"")</f>
        <v/>
      </c>
      <c r="M30" s="1039">
        <f>IF(E30=Data!R29,Data!AJ29,"")</f>
        <v/>
      </c>
      <c r="N30">
        <f>IF(AND(Data!R29&lt;&gt;"",Data!L29="Accepté"),Data!K29,"")</f>
        <v/>
      </c>
    </row>
    <row r="31" ht="15" customHeight="1" s="701">
      <c r="A31" s="164">
        <f>IF(AND(Data!R30&lt;&gt;"",Data!L30="Accepté"),Data!G30,"")</f>
        <v/>
      </c>
      <c r="B31" s="164">
        <f>IF(AND(Data!R30&lt;&gt;"",Data!L30="Accepté"),Data!L30,"")</f>
        <v/>
      </c>
      <c r="C31" s="329">
        <f>IF(D31&lt;&gt;"","S"&amp;TEXT(WEEKNUM(D31),"00"),"")</f>
        <v/>
      </c>
      <c r="D31" s="330">
        <f>IF(AND(Data!Q30&lt;&gt;"",Data!L30="Accepté"),Data!Q30,"")</f>
        <v/>
      </c>
      <c r="E31" s="106">
        <f>IF(AND(Data!R30&lt;&gt;"",Data!L30="Accepté"),Data!R30,"")</f>
        <v/>
      </c>
      <c r="F31" s="1037">
        <f>IF(AND(Data!R30&lt;&gt;"",Data!L30="Accepté"),Data!S30,"")</f>
        <v/>
      </c>
      <c r="G31" s="1038">
        <f>IF(Data!R30='Delivery Plan'!E31,Data!U30,"")</f>
        <v/>
      </c>
      <c r="H31" s="327" t="n"/>
      <c r="I31" s="329">
        <f>IF(J31&lt;&gt;"","S"&amp;TEXT(WEEKNUM(J31),"00"),"")</f>
        <v/>
      </c>
      <c r="J31" s="330">
        <f>IF(AND(E31=Data!R30,Data!AA30&lt;&gt;""),Data!AA30,"")</f>
        <v/>
      </c>
      <c r="K31" s="751">
        <f>IF(AND(E31=Data!R30,Data!AE30&lt;&gt;""),Data!AE30,"")</f>
        <v/>
      </c>
      <c r="L31" s="1039">
        <f>IF(E31=Data!R30,Data!AI30,"")</f>
        <v/>
      </c>
      <c r="M31" s="1039">
        <f>IF(E31=Data!R30,Data!AJ30,"")</f>
        <v/>
      </c>
      <c r="N31">
        <f>IF(AND(Data!R30&lt;&gt;"",Data!L30="Accepté"),Data!K30,"")</f>
        <v/>
      </c>
    </row>
    <row r="32" hidden="1" ht="15.75" customHeight="1" s="701">
      <c r="A32" s="164">
        <f>IF(AND(Data!R31&lt;&gt;"",Data!L31="Accepté"),Data!G31,"")</f>
        <v/>
      </c>
      <c r="B32" s="164">
        <f>IF(AND(Data!R31&lt;&gt;"",Data!L31="Accepté"),Data!L31,"")</f>
        <v/>
      </c>
      <c r="C32" s="329">
        <f>IF(D32&lt;&gt;"","S"&amp;TEXT(WEEKNUM(D32),"00"),"")</f>
        <v/>
      </c>
      <c r="D32" s="330">
        <f>IF(AND(Data!Q31&lt;&gt;"",Data!L31="Accepté"),Data!Q31,"")</f>
        <v/>
      </c>
      <c r="E32" s="106">
        <f>IF(AND(Data!R31&lt;&gt;"",Data!L31="Accepté"),Data!R31,"")</f>
        <v/>
      </c>
      <c r="F32" s="1037">
        <f>IF(AND(Data!R31&lt;&gt;"",Data!L31="Accepté"),Data!S31,"")</f>
        <v/>
      </c>
      <c r="G32" s="1038">
        <f>IF(Data!R31='Delivery Plan'!E32,Data!U31,"")</f>
        <v/>
      </c>
      <c r="H32" s="327" t="n"/>
      <c r="I32" s="329">
        <f>IF(J32&lt;&gt;"","S"&amp;TEXT(WEEKNUM(J32),"00"),"")</f>
        <v/>
      </c>
      <c r="J32" s="330">
        <f>IF(AND(E32=Data!R31,Data!AA31&lt;&gt;""),Data!AA31,"")</f>
        <v/>
      </c>
      <c r="K32" s="751">
        <f>IF(AND(E32=Data!R31,Data!AE31&lt;&gt;""),Data!AE31,"")</f>
        <v/>
      </c>
      <c r="L32" s="1039">
        <f>IF(E32=Data!R31,Data!AI31,"")</f>
        <v/>
      </c>
      <c r="M32" s="1039">
        <f>IF(E32=Data!R31,Data!AJ31,"")</f>
        <v/>
      </c>
      <c r="N32">
        <f>IF(AND(Data!R31&lt;&gt;"",Data!L31="Accepté"),Data!K31,"")</f>
        <v/>
      </c>
    </row>
    <row r="33" hidden="1" ht="15" customHeight="1" s="701">
      <c r="A33" s="164">
        <f>IF(AND(Data!R32&lt;&gt;"",Data!L32="Accepté"),Data!G32,"")</f>
        <v/>
      </c>
      <c r="B33" s="164">
        <f>IF(AND(Data!R32&lt;&gt;"",Data!L32="Accepté"),Data!L32,"")</f>
        <v/>
      </c>
      <c r="C33" s="329">
        <f>IF(D33&lt;&gt;"","S"&amp;TEXT(WEEKNUM(D33),"00"),"")</f>
        <v/>
      </c>
      <c r="D33" s="330">
        <f>IF(AND(Data!Q32&lt;&gt;"",Data!L32="Accepté"),Data!Q32,"")</f>
        <v/>
      </c>
      <c r="E33" s="106">
        <f>IF(AND(Data!R32&lt;&gt;"",Data!L32="Accepté"),Data!R32,"")</f>
        <v/>
      </c>
      <c r="F33" s="1037">
        <f>IF(AND(Data!R32&lt;&gt;"",Data!L32="Accepté"),Data!S32,"")</f>
        <v/>
      </c>
      <c r="G33" s="1038">
        <f>IF(Data!R32='Delivery Plan'!E33,Data!U32,"")</f>
        <v/>
      </c>
      <c r="H33" s="327" t="n"/>
      <c r="I33" s="329">
        <f>IF(J33&lt;&gt;"","S"&amp;TEXT(WEEKNUM(J33),"00"),"")</f>
        <v/>
      </c>
      <c r="J33" s="330">
        <f>IF(AND(E33=Data!R32,Data!AA32&lt;&gt;""),Data!AA32,"")</f>
        <v/>
      </c>
      <c r="K33" s="751">
        <f>IF(AND(E33=Data!R32,Data!AE32&lt;&gt;""),Data!AE32,"")</f>
        <v/>
      </c>
      <c r="L33" s="1039">
        <f>IF(E33=Data!R32,Data!AI32,"")</f>
        <v/>
      </c>
      <c r="M33" s="1039">
        <f>IF(E33=Data!R32,Data!AJ32,"")</f>
        <v/>
      </c>
      <c r="N33">
        <f>IF(AND(Data!R32&lt;&gt;"",Data!L32="Accepté"),Data!K32,"")</f>
        <v/>
      </c>
    </row>
    <row r="34" hidden="1" ht="15" customHeight="1" s="701">
      <c r="A34" s="164">
        <f>IF(AND(Data!R33&lt;&gt;"",Data!L33="Accepté"),Data!G33,"")</f>
        <v/>
      </c>
      <c r="B34" s="164">
        <f>IF(AND(Data!R33&lt;&gt;"",Data!L33="Accepté"),Data!L33,"")</f>
        <v/>
      </c>
      <c r="C34" s="329">
        <f>IF(D34&lt;&gt;"","S"&amp;TEXT(WEEKNUM(D34),"00"),"")</f>
        <v/>
      </c>
      <c r="D34" s="330">
        <f>IF(AND(Data!Q33&lt;&gt;"",Data!L33="Accepté"),Data!Q33,"")</f>
        <v/>
      </c>
      <c r="E34" s="106">
        <f>IF(AND(Data!R33&lt;&gt;"",Data!L33="Accepté"),Data!R33,"")</f>
        <v/>
      </c>
      <c r="F34" s="1037">
        <f>IF(AND(Data!R33&lt;&gt;"",Data!L33="Accepté"),Data!S33,"")</f>
        <v/>
      </c>
      <c r="G34" s="1038">
        <f>IF(Data!R33='Delivery Plan'!E34,Data!U33,"")</f>
        <v/>
      </c>
      <c r="H34" s="327" t="n"/>
      <c r="I34" s="329">
        <f>IF(J34&lt;&gt;"","S"&amp;TEXT(WEEKNUM(J34),"00"),"")</f>
        <v/>
      </c>
      <c r="J34" s="330">
        <f>IF(AND(E34=Data!R33,Data!AA33&lt;&gt;""),Data!AA33,"")</f>
        <v/>
      </c>
      <c r="K34" s="751">
        <f>IF(AND(E34=Data!R33,Data!AE33&lt;&gt;""),Data!AE33,"")</f>
        <v/>
      </c>
      <c r="L34" s="1039">
        <f>IF(E34=Data!R33,Data!AI33,"")</f>
        <v/>
      </c>
      <c r="M34" s="1039">
        <f>IF(E34=Data!R33,Data!AJ33,"")</f>
        <v/>
      </c>
      <c r="N34">
        <f>IF(AND(Data!R33&lt;&gt;"",Data!L33="Accepté"),Data!K33,"")</f>
        <v/>
      </c>
    </row>
    <row r="35" hidden="1" ht="15" customHeight="1" s="701">
      <c r="A35" s="164">
        <f>IF(AND(Data!R34&lt;&gt;"",Data!L34="Accepté"),Data!G34,"")</f>
        <v/>
      </c>
      <c r="B35" s="164">
        <f>IF(AND(Data!R34&lt;&gt;"",Data!L34="Accepté"),Data!L34,"")</f>
        <v/>
      </c>
      <c r="C35" s="329">
        <f>IF(D35&lt;&gt;"","S"&amp;TEXT(WEEKNUM(D35),"00"),"")</f>
        <v/>
      </c>
      <c r="D35" s="330">
        <f>IF(AND(Data!Q34&lt;&gt;"",Data!L34="Accepté"),Data!Q34,"")</f>
        <v/>
      </c>
      <c r="E35" s="106">
        <f>IF(AND(Data!R34&lt;&gt;"",Data!L34="Accepté"),Data!R34,"")</f>
        <v/>
      </c>
      <c r="F35" s="1037">
        <f>IF(AND(Data!R34&lt;&gt;"",Data!L34="Accepté"),Data!S34,"")</f>
        <v/>
      </c>
      <c r="G35" s="1038">
        <f>IF(Data!R34='Delivery Plan'!E35,Data!U34,"")</f>
        <v/>
      </c>
      <c r="H35" s="327" t="n"/>
      <c r="I35" s="329">
        <f>IF(J35&lt;&gt;"","S"&amp;TEXT(WEEKNUM(J35),"00"),"")</f>
        <v/>
      </c>
      <c r="J35" s="330">
        <f>IF(AND(E35=Data!R34,Data!AA34&lt;&gt;""),Data!AA34,"")</f>
        <v/>
      </c>
      <c r="K35" s="751">
        <f>IF(AND(E35=Data!R34,Data!AE34&lt;&gt;""),Data!AE34,"")</f>
        <v/>
      </c>
      <c r="L35" s="1039">
        <f>IF(E35=Data!R34,Data!AI34,"")</f>
        <v/>
      </c>
      <c r="M35" s="1039">
        <f>IF(E35=Data!R34,Data!AJ34,"")</f>
        <v/>
      </c>
      <c r="N35">
        <f>IF(AND(Data!R34&lt;&gt;"",Data!L34="Accepté"),Data!K34,"")</f>
        <v/>
      </c>
    </row>
    <row r="36" hidden="1" ht="15" customHeight="1" s="701">
      <c r="A36" s="164">
        <f>IF(AND(Data!R35&lt;&gt;"",Data!L35="Accepté"),Data!G35,"")</f>
        <v/>
      </c>
      <c r="B36" s="164">
        <f>IF(AND(Data!R35&lt;&gt;"",Data!L35="Accepté"),Data!L35,"")</f>
        <v/>
      </c>
      <c r="C36" s="329">
        <f>IF(D36&lt;&gt;"","S"&amp;TEXT(WEEKNUM(D36),"00"),"")</f>
        <v/>
      </c>
      <c r="D36" s="330">
        <f>IF(AND(Data!Q35&lt;&gt;"",Data!L35="Accepté"),Data!Q35,"")</f>
        <v/>
      </c>
      <c r="E36" s="106">
        <f>IF(AND(Data!R35&lt;&gt;"",Data!L35="Accepté"),Data!R35,"")</f>
        <v/>
      </c>
      <c r="F36" s="1037">
        <f>IF(AND(Data!R35&lt;&gt;"",Data!L35="Accepté"),Data!S35,"")</f>
        <v/>
      </c>
      <c r="G36" s="1038">
        <f>IF(Data!R35='Delivery Plan'!E36,Data!U35,"")</f>
        <v/>
      </c>
      <c r="H36" s="327" t="n"/>
      <c r="I36" s="329">
        <f>IF(J36&lt;&gt;"","S"&amp;TEXT(WEEKNUM(J36),"00"),"")</f>
        <v/>
      </c>
      <c r="J36" s="330">
        <f>IF(AND(E36=Data!R35,Data!AA35&lt;&gt;""),Data!AA35,"")</f>
        <v/>
      </c>
      <c r="K36" s="751">
        <f>IF(AND(E36=Data!R35,Data!AE35&lt;&gt;""),Data!AE35,"")</f>
        <v/>
      </c>
      <c r="L36" s="1039">
        <f>IF(E36=Data!R35,Data!AI35,"")</f>
        <v/>
      </c>
      <c r="M36" s="1039">
        <f>IF(E36=Data!R35,Data!AJ35,"")</f>
        <v/>
      </c>
      <c r="N36">
        <f>IF(AND(Data!R35&lt;&gt;"",Data!L35="Accepté"),Data!K35,"")</f>
        <v/>
      </c>
    </row>
    <row r="37" hidden="1" ht="15" customHeight="1" s="701">
      <c r="A37" s="164">
        <f>IF(AND(Data!R36&lt;&gt;"",Data!L36="Accepté"),Data!G36,"")</f>
        <v/>
      </c>
      <c r="B37" s="164">
        <f>IF(AND(Data!R36&lt;&gt;"",Data!L36="Accepté"),Data!L36,"")</f>
        <v/>
      </c>
      <c r="C37" s="329">
        <f>IF(D37&lt;&gt;"","S"&amp;TEXT(WEEKNUM(D37),"00"),"")</f>
        <v/>
      </c>
      <c r="D37" s="330">
        <f>IF(AND(Data!Q36&lt;&gt;"",Data!L36="Accepté"),Data!Q36,"")</f>
        <v/>
      </c>
      <c r="E37" s="106">
        <f>IF(AND(Data!R36&lt;&gt;"",Data!L36="Accepté"),Data!R36,"")</f>
        <v/>
      </c>
      <c r="F37" s="1037">
        <f>IF(AND(Data!R36&lt;&gt;"",Data!L36="Accepté"),Data!S36,"")</f>
        <v/>
      </c>
      <c r="G37" s="1038">
        <f>IF(Data!R36='Delivery Plan'!E37,Data!U36,"")</f>
        <v/>
      </c>
      <c r="H37" s="327" t="n"/>
      <c r="I37" s="329">
        <f>IF(J37&lt;&gt;"","S"&amp;TEXT(WEEKNUM(J37),"00"),"")</f>
        <v/>
      </c>
      <c r="J37" s="330">
        <f>IF(AND(E37=Data!R36,Data!AA36&lt;&gt;""),Data!AA36,"")</f>
        <v/>
      </c>
      <c r="K37" s="751">
        <f>IF(AND(E37=Data!R36,Data!AE36&lt;&gt;""),Data!AE36,"")</f>
        <v/>
      </c>
      <c r="L37" s="1039">
        <f>IF(E37=Data!R36,Data!AI36,"")</f>
        <v/>
      </c>
      <c r="M37" s="1039">
        <f>IF(E37=Data!R36,Data!AJ36,"")</f>
        <v/>
      </c>
      <c r="N37">
        <f>IF(AND(Data!R36&lt;&gt;"",Data!L36="Accepté"),Data!K36,"")</f>
        <v/>
      </c>
    </row>
    <row r="38" hidden="1" ht="15" customHeight="1" s="701">
      <c r="A38" s="164">
        <f>IF(AND(Data!R37&lt;&gt;"",Data!L37="Accepté"),Data!G37,"")</f>
        <v/>
      </c>
      <c r="B38" s="164">
        <f>IF(AND(Data!R37&lt;&gt;"",Data!L37="Accepté"),Data!L37,"")</f>
        <v/>
      </c>
      <c r="C38" s="329">
        <f>IF(D38&lt;&gt;"","S"&amp;TEXT(WEEKNUM(D38),"00"),"")</f>
        <v/>
      </c>
      <c r="D38" s="330">
        <f>IF(AND(Data!Q37&lt;&gt;"",Data!L37="Accepté"),Data!Q37,"")</f>
        <v/>
      </c>
      <c r="E38" s="106">
        <f>IF(AND(Data!R37&lt;&gt;"",Data!L37="Accepté"),Data!R37,"")</f>
        <v/>
      </c>
      <c r="F38" s="1037">
        <f>IF(AND(Data!R37&lt;&gt;"",Data!L37="Accepté"),Data!S37,"")</f>
        <v/>
      </c>
      <c r="G38" s="1038">
        <f>IF(Data!R37='Delivery Plan'!E38,Data!U37,"")</f>
        <v/>
      </c>
      <c r="H38" s="327" t="n"/>
      <c r="I38" s="329">
        <f>IF(J38&lt;&gt;"","S"&amp;TEXT(WEEKNUM(J38),"00"),"")</f>
        <v/>
      </c>
      <c r="J38" s="330">
        <f>IF(AND(E38=Data!R37,Data!AA37&lt;&gt;""),Data!AA37,"")</f>
        <v/>
      </c>
      <c r="K38" s="751">
        <f>IF(AND(E38=Data!R37,Data!AE37&lt;&gt;""),Data!AE37,"")</f>
        <v/>
      </c>
      <c r="L38" s="1039">
        <f>IF(E38=Data!R37,Data!AI37,"")</f>
        <v/>
      </c>
      <c r="M38" s="1039">
        <f>IF(E38=Data!R37,Data!AJ37,"")</f>
        <v/>
      </c>
      <c r="N38">
        <f>IF(AND(Data!R37&lt;&gt;"",Data!L37="Accepté"),Data!K37,"")</f>
        <v/>
      </c>
    </row>
    <row r="39" hidden="1" ht="15" customHeight="1" s="701">
      <c r="A39" s="164">
        <f>IF(AND(Data!R38&lt;&gt;"",Data!L38="Accepté"),Data!G38,"")</f>
        <v/>
      </c>
      <c r="B39" s="164">
        <f>IF(AND(Data!R38&lt;&gt;"",Data!L38="Accepté"),Data!L38,"")</f>
        <v/>
      </c>
      <c r="C39" s="329">
        <f>IF(D39&lt;&gt;"","S"&amp;TEXT(WEEKNUM(D39),"00"),"")</f>
        <v/>
      </c>
      <c r="D39" s="330">
        <f>IF(AND(Data!Q38&lt;&gt;"",Data!L38="Accepté"),Data!Q38,"")</f>
        <v/>
      </c>
      <c r="E39" s="106">
        <f>IF(AND(Data!R38&lt;&gt;"",Data!L38="Accepté"),Data!R38,"")</f>
        <v/>
      </c>
      <c r="F39" s="1037">
        <f>IF(AND(Data!R38&lt;&gt;"",Data!L38="Accepté"),Data!S38,"")</f>
        <v/>
      </c>
      <c r="G39" s="1038">
        <f>IF(Data!R38='Delivery Plan'!E39,Data!U38,"")</f>
        <v/>
      </c>
      <c r="H39" s="327" t="n"/>
      <c r="I39" s="329">
        <f>IF(J39&lt;&gt;"","S"&amp;TEXT(WEEKNUM(J39),"00"),"")</f>
        <v/>
      </c>
      <c r="J39" s="330">
        <f>IF(AND(E39=Data!R38,Data!AA38&lt;&gt;""),Data!AA38,"")</f>
        <v/>
      </c>
      <c r="K39" s="751">
        <f>IF(AND(E39=Data!R38,Data!AE38&lt;&gt;""),Data!AE38,"")</f>
        <v/>
      </c>
      <c r="L39" s="1039">
        <f>IF(E39=Data!R38,Data!AI38,"")</f>
        <v/>
      </c>
      <c r="M39" s="1039">
        <f>IF(E39=Data!R38,Data!AJ38,"")</f>
        <v/>
      </c>
      <c r="N39">
        <f>IF(AND(Data!R38&lt;&gt;"",Data!L38="Accepté"),Data!K38,"")</f>
        <v/>
      </c>
    </row>
    <row r="40" hidden="1" s="701">
      <c r="A40" s="164">
        <f>IF(AND(Data!R39&lt;&gt;"",Data!L39="Accepté"),Data!G39,"")</f>
        <v/>
      </c>
      <c r="B40" s="164">
        <f>IF(AND(Data!R39&lt;&gt;"",Data!L39="Accepté"),Data!L39,"")</f>
        <v/>
      </c>
      <c r="C40" s="329">
        <f>IF(D40&lt;&gt;"","S"&amp;TEXT(WEEKNUM(D40),"00"),"")</f>
        <v/>
      </c>
      <c r="D40" s="330">
        <f>IF(AND(Data!Q39&lt;&gt;"",Data!L39="Accepté"),Data!Q39,"")</f>
        <v/>
      </c>
      <c r="E40" s="106">
        <f>IF(AND(Data!R39&lt;&gt;"",Data!L39="Accepté"),Data!R39,"")</f>
        <v/>
      </c>
      <c r="F40" s="1037">
        <f>IF(AND(Data!R39&lt;&gt;"",Data!L39="Accepté"),Data!S39,"")</f>
        <v/>
      </c>
      <c r="G40" s="1038">
        <f>IF(Data!R39='Delivery Plan'!E40,Data!U39,"")</f>
        <v/>
      </c>
      <c r="H40" s="327" t="n"/>
      <c r="I40" s="329">
        <f>IF(J40&lt;&gt;"","S"&amp;TEXT(WEEKNUM(J40),"00"),"")</f>
        <v/>
      </c>
      <c r="J40" s="330">
        <f>IF(AND(E40=Data!R39,Data!AA39&lt;&gt;""),Data!AA39,"")</f>
        <v/>
      </c>
      <c r="K40" s="751">
        <f>IF(AND(E40=Data!R39,Data!AE39&lt;&gt;""),Data!AE39,"")</f>
        <v/>
      </c>
      <c r="L40" s="1039">
        <f>IF(E40=Data!R39,Data!AI39,"")</f>
        <v/>
      </c>
      <c r="M40" s="1039">
        <f>IF(E40=Data!R39,Data!AJ39,"")</f>
        <v/>
      </c>
      <c r="N40">
        <f>IF(AND(Data!R39&lt;&gt;"",Data!L39="Accepté"),Data!K39,"")</f>
        <v/>
      </c>
    </row>
    <row r="41" hidden="1" s="701">
      <c r="A41" s="164">
        <f>IF(AND(Data!R40&lt;&gt;"",Data!L40="Accepté"),Data!G40,"")</f>
        <v/>
      </c>
      <c r="B41" s="164">
        <f>IF(AND(Data!R40&lt;&gt;"",Data!L40="Accepté"),Data!L40,"")</f>
        <v/>
      </c>
      <c r="C41" s="329">
        <f>IF(D41&lt;&gt;"","S"&amp;TEXT(WEEKNUM(D41),"00"),"")</f>
        <v/>
      </c>
      <c r="D41" s="330">
        <f>IF(AND(Data!Q40&lt;&gt;"",Data!L40="Accepté"),Data!Q40,"")</f>
        <v/>
      </c>
      <c r="E41" s="106">
        <f>IF(AND(Data!R40&lt;&gt;"",Data!L40="Accepté"),Data!R40,"")</f>
        <v/>
      </c>
      <c r="F41" s="1037">
        <f>IF(AND(Data!R40&lt;&gt;"",Data!L40="Accepté"),Data!S40,"")</f>
        <v/>
      </c>
      <c r="G41" s="1038">
        <f>IF(Data!R40='Delivery Plan'!E41,Data!U40,"")</f>
        <v/>
      </c>
      <c r="H41" s="327" t="n"/>
      <c r="I41" s="329">
        <f>IF(J41&lt;&gt;"","S"&amp;TEXT(WEEKNUM(J41),"00"),"")</f>
        <v/>
      </c>
      <c r="J41" s="330">
        <f>IF(AND(E41=Data!R40,Data!AA40&lt;&gt;""),Data!AA40,"")</f>
        <v/>
      </c>
      <c r="K41" s="751">
        <f>IF(AND(E41=Data!R40,Data!AE40&lt;&gt;""),Data!AE40,"")</f>
        <v/>
      </c>
      <c r="L41" s="1039">
        <f>IF(E41=Data!R40,Data!AI40,"")</f>
        <v/>
      </c>
      <c r="M41" s="1039">
        <f>IF(E41=Data!R40,Data!AJ40,"")</f>
        <v/>
      </c>
      <c r="N41">
        <f>IF(AND(Data!R40&lt;&gt;"",Data!L40="Accepté"),Data!K40,"")</f>
        <v/>
      </c>
    </row>
    <row r="42" hidden="1" s="701">
      <c r="A42" s="164">
        <f>IF(AND(Data!R41&lt;&gt;"",Data!L41="Accepté"),Data!G41,"")</f>
        <v/>
      </c>
      <c r="B42" s="164">
        <f>IF(AND(Data!R41&lt;&gt;"",Data!L41="Accepté"),Data!L41,"")</f>
        <v/>
      </c>
      <c r="C42" s="329">
        <f>IF(D42&lt;&gt;"","S"&amp;TEXT(WEEKNUM(D42),"00"),"")</f>
        <v/>
      </c>
      <c r="D42" s="330">
        <f>IF(AND(Data!Q41&lt;&gt;"",Data!L41="Accepté"),Data!Q41,"")</f>
        <v/>
      </c>
      <c r="E42" s="106">
        <f>IF(AND(Data!R41&lt;&gt;"",Data!L41="Accepté"),Data!R41,"")</f>
        <v/>
      </c>
      <c r="F42" s="1037">
        <f>IF(AND(Data!R41&lt;&gt;"",Data!L41="Accepté"),Data!S41,"")</f>
        <v/>
      </c>
      <c r="G42" s="1038">
        <f>IF(Data!R41='Delivery Plan'!E42,Data!U41,"")</f>
        <v/>
      </c>
      <c r="H42" s="327" t="n"/>
      <c r="I42" s="329">
        <f>IF(J42&lt;&gt;"","S"&amp;TEXT(WEEKNUM(J42),"00"),"")</f>
        <v/>
      </c>
      <c r="J42" s="330">
        <f>IF(AND(E42=Data!R41,Data!AA41&lt;&gt;""),Data!AA41,"")</f>
        <v/>
      </c>
      <c r="K42" s="751">
        <f>IF(AND(E42=Data!R41,Data!AE41&lt;&gt;""),Data!AE41,"")</f>
        <v/>
      </c>
      <c r="L42" s="1039">
        <f>IF(E42=Data!R41,Data!AI41,"")</f>
        <v/>
      </c>
      <c r="M42" s="1039">
        <f>IF(E42=Data!R41,Data!AJ41,"")</f>
        <v/>
      </c>
      <c r="N42">
        <f>IF(AND(Data!R41&lt;&gt;"",Data!L41="Accepté"),Data!K41,"")</f>
        <v/>
      </c>
    </row>
    <row r="43">
      <c r="A43" s="164">
        <f>IF(AND(Data!R42&lt;&gt;"",Data!L42="Accepté"),Data!G42,"")</f>
        <v/>
      </c>
      <c r="B43" s="164">
        <f>IF(AND(Data!R42&lt;&gt;"",Data!L42="Accepté"),Data!L42,"")</f>
        <v/>
      </c>
      <c r="C43" s="329">
        <f>IF(D43&lt;&gt;"","S"&amp;TEXT(WEEKNUM(D43),"00"),"")</f>
        <v/>
      </c>
      <c r="D43" s="330">
        <f>IF(AND(Data!Q42&lt;&gt;"",Data!L42="Accepté"),Data!Q42,"")</f>
        <v/>
      </c>
      <c r="E43" s="106">
        <f>IF(AND(Data!R42&lt;&gt;"",Data!L42="Accepté"),Data!R42,"")</f>
        <v/>
      </c>
      <c r="F43" s="1037">
        <f>IF(AND(Data!R42&lt;&gt;"",Data!L42="Accepté"),Data!S42,"")</f>
        <v/>
      </c>
      <c r="G43" s="1038">
        <f>IF(Data!R42='Delivery Plan'!E43,Data!U42,"")</f>
        <v/>
      </c>
      <c r="H43" s="327" t="n"/>
      <c r="I43" s="329">
        <f>IF(J43&lt;&gt;"","S"&amp;TEXT(WEEKNUM(J43),"00"),"")</f>
        <v/>
      </c>
      <c r="J43" s="330">
        <f>IF(AND(E43=Data!R42,Data!AA42&lt;&gt;""),Data!AA42,"")</f>
        <v/>
      </c>
      <c r="K43" s="751">
        <f>IF(AND(E43=Data!R42,Data!AE42&lt;&gt;""),Data!AE42,"")</f>
        <v/>
      </c>
      <c r="L43" s="1039">
        <f>IF(E43=Data!R42,Data!AI42,"")</f>
        <v/>
      </c>
      <c r="M43" s="1039">
        <f>IF(E43=Data!R42,Data!AJ42,"")</f>
        <v/>
      </c>
      <c r="N43">
        <f>IF(AND(Data!R42&lt;&gt;"",Data!L42="Accepté"),Data!K42,"")</f>
        <v/>
      </c>
    </row>
    <row r="44" hidden="1" s="701">
      <c r="A44" s="164">
        <f>IF(AND(Data!R43&lt;&gt;"",Data!L43="Accepté"),Data!G43,"")</f>
        <v/>
      </c>
      <c r="B44" s="164">
        <f>IF(AND(Data!R43&lt;&gt;"",Data!L43="Accepté"),Data!L43,"")</f>
        <v/>
      </c>
      <c r="C44" s="329">
        <f>IF(D44&lt;&gt;"","S"&amp;TEXT(WEEKNUM(D44),"00"),"")</f>
        <v/>
      </c>
      <c r="D44" s="330">
        <f>IF(AND(Data!Q43&lt;&gt;"",Data!L43="Accepté"),Data!Q43,"")</f>
        <v/>
      </c>
      <c r="E44" s="106">
        <f>IF(AND(Data!R43&lt;&gt;"",Data!L43="Accepté"),Data!R43,"")</f>
        <v/>
      </c>
      <c r="F44" s="1037">
        <f>IF(AND(Data!R43&lt;&gt;"",Data!L43="Accepté"),Data!S43,"")</f>
        <v/>
      </c>
      <c r="G44" s="1038">
        <f>IF(Data!R43='Delivery Plan'!E44,Data!U43,"")</f>
        <v/>
      </c>
      <c r="H44" s="327" t="n"/>
      <c r="I44" s="329">
        <f>IF(J44&lt;&gt;"","S"&amp;TEXT(WEEKNUM(J44),"00"),"")</f>
        <v/>
      </c>
      <c r="J44" s="330">
        <f>IF(AND(E44=Data!R43,Data!AA43&lt;&gt;""),Data!AA43,"")</f>
        <v/>
      </c>
      <c r="K44" s="751">
        <f>IF(AND(E44=Data!R43,Data!AE43&lt;&gt;""),Data!AE43,"")</f>
        <v/>
      </c>
      <c r="L44" s="1039">
        <f>IF(E44=Data!R43,Data!AI43,"")</f>
        <v/>
      </c>
      <c r="M44" s="1039">
        <f>IF(E44=Data!R43,Data!AJ43,"")</f>
        <v/>
      </c>
      <c r="N44">
        <f>IF(AND(Data!R43&lt;&gt;"",Data!L43="Accepté"),Data!K43,"")</f>
        <v/>
      </c>
    </row>
    <row r="45" hidden="1" s="701">
      <c r="A45" s="164">
        <f>IF(AND(Data!R44&lt;&gt;"",Data!L44="Accepté"),Data!G44,"")</f>
        <v/>
      </c>
      <c r="B45" s="164">
        <f>IF(AND(Data!R44&lt;&gt;"",Data!L44="Accepté"),Data!L44,"")</f>
        <v/>
      </c>
      <c r="C45" s="329">
        <f>IF(D45&lt;&gt;"","S"&amp;TEXT(WEEKNUM(D45),"00"),"")</f>
        <v/>
      </c>
      <c r="D45" s="330">
        <f>IF(AND(Data!Q44&lt;&gt;"",Data!L44="Accepté"),Data!Q44,"")</f>
        <v/>
      </c>
      <c r="E45" s="106">
        <f>IF(AND(Data!R44&lt;&gt;"",Data!L44="Accepté"),Data!R44,"")</f>
        <v/>
      </c>
      <c r="F45" s="1037">
        <f>IF(AND(Data!R44&lt;&gt;"",Data!L44="Accepté"),Data!S44,"")</f>
        <v/>
      </c>
      <c r="G45" s="1038">
        <f>IF(Data!R44='Delivery Plan'!E45,Data!U44,"")</f>
        <v/>
      </c>
      <c r="H45" s="327" t="n"/>
      <c r="I45" s="329">
        <f>IF(J45&lt;&gt;"","S"&amp;TEXT(WEEKNUM(J45),"00"),"")</f>
        <v/>
      </c>
      <c r="J45" s="330">
        <f>IF(AND(E45=Data!R44,Data!AA44&lt;&gt;""),Data!AA44,"")</f>
        <v/>
      </c>
      <c r="K45" s="751">
        <f>IF(AND(E45=Data!R44,Data!AE44&lt;&gt;""),Data!AE44,"")</f>
        <v/>
      </c>
      <c r="L45" s="1039">
        <f>IF(E45=Data!R44,Data!AI44,"")</f>
        <v/>
      </c>
      <c r="M45" s="1039">
        <f>IF(E45=Data!R44,Data!AJ44,"")</f>
        <v/>
      </c>
      <c r="N45">
        <f>IF(AND(Data!R44&lt;&gt;"",Data!L44="Accepté"),Data!K44,"")</f>
        <v/>
      </c>
    </row>
    <row r="46" hidden="1" s="701">
      <c r="A46" s="164">
        <f>IF(AND(Data!R45&lt;&gt;"",Data!L45="Accepté"),Data!G45,"")</f>
        <v/>
      </c>
      <c r="B46" s="164">
        <f>IF(AND(Data!R45&lt;&gt;"",Data!L45="Accepté"),Data!L45,"")</f>
        <v/>
      </c>
      <c r="C46" s="329">
        <f>IF(D46&lt;&gt;"","S"&amp;TEXT(WEEKNUM(D46),"00"),"")</f>
        <v/>
      </c>
      <c r="D46" s="330">
        <f>IF(AND(Data!Q45&lt;&gt;"",Data!L45="Accepté"),Data!Q45,"")</f>
        <v/>
      </c>
      <c r="E46" s="106">
        <f>IF(AND(Data!R45&lt;&gt;"",Data!L45="Accepté"),Data!R45,"")</f>
        <v/>
      </c>
      <c r="F46" s="1037">
        <f>IF(AND(Data!R45&lt;&gt;"",Data!L45="Accepté"),Data!S45,"")</f>
        <v/>
      </c>
      <c r="G46" s="1038">
        <f>IF(Data!R45='Delivery Plan'!E46,Data!U45,"")</f>
        <v/>
      </c>
      <c r="H46" s="327" t="n"/>
      <c r="I46" s="329">
        <f>IF(J46&lt;&gt;"","S"&amp;TEXT(WEEKNUM(J46),"00"),"")</f>
        <v/>
      </c>
      <c r="J46" s="330">
        <f>IF(AND(E46=Data!R45,Data!AA45&lt;&gt;""),Data!AA45,"")</f>
        <v/>
      </c>
      <c r="K46" s="751">
        <f>IF(AND(E46=Data!R45,Data!AE45&lt;&gt;""),Data!AE45,"")</f>
        <v/>
      </c>
      <c r="L46" s="1039">
        <f>IF(E46=Data!R45,Data!AI45,"")</f>
        <v/>
      </c>
      <c r="M46" s="1039">
        <f>IF(E46=Data!R45,Data!AJ45,"")</f>
        <v/>
      </c>
      <c r="N46">
        <f>IF(AND(Data!R45&lt;&gt;"",Data!L45="Accepté"),Data!K45,"")</f>
        <v/>
      </c>
    </row>
    <row r="47" hidden="1" s="701">
      <c r="A47" s="164">
        <f>IF(AND(Data!R46&lt;&gt;"",Data!L46="Accepté"),Data!G46,"")</f>
        <v/>
      </c>
      <c r="B47" s="164">
        <f>IF(AND(Data!R46&lt;&gt;"",Data!L46="Accepté"),Data!L46,"")</f>
        <v/>
      </c>
      <c r="C47" s="329">
        <f>IF(D47&lt;&gt;"","S"&amp;TEXT(WEEKNUM(D47),"00"),"")</f>
        <v/>
      </c>
      <c r="D47" s="330">
        <f>IF(AND(Data!Q46&lt;&gt;"",Data!L46="Accepté"),Data!Q46,"")</f>
        <v/>
      </c>
      <c r="E47" s="106">
        <f>IF(AND(Data!R46&lt;&gt;"",Data!L46="Accepté"),Data!R46,"")</f>
        <v/>
      </c>
      <c r="F47" s="1037">
        <f>IF(AND(Data!R46&lt;&gt;"",Data!L46="Accepté"),Data!S46,"")</f>
        <v/>
      </c>
      <c r="G47" s="1038">
        <f>IF(Data!R46='Delivery Plan'!E47,Data!U46,"")</f>
        <v/>
      </c>
      <c r="H47" s="327" t="n"/>
      <c r="I47" s="329">
        <f>IF(J47&lt;&gt;"","S"&amp;TEXT(WEEKNUM(J47),"00"),"")</f>
        <v/>
      </c>
      <c r="J47" s="330">
        <f>IF(AND(E47=Data!R46,Data!AA46&lt;&gt;""),Data!AA46,"")</f>
        <v/>
      </c>
      <c r="K47" s="751">
        <f>IF(AND(E47=Data!R46,Data!AE46&lt;&gt;""),Data!AE46,"")</f>
        <v/>
      </c>
      <c r="L47" s="1039">
        <f>IF(E47=Data!R46,Data!AI46,"")</f>
        <v/>
      </c>
      <c r="M47" s="1039">
        <f>IF(E47=Data!R46,Data!AJ46,"")</f>
        <v/>
      </c>
      <c r="N47">
        <f>IF(AND(Data!R46&lt;&gt;"",Data!L46="Accepté"),Data!K46,"")</f>
        <v/>
      </c>
    </row>
    <row r="48" hidden="1" s="701">
      <c r="A48" s="164">
        <f>IF(AND(Data!R47&lt;&gt;"",Data!L47="Accepté"),Data!G47,"")</f>
        <v/>
      </c>
      <c r="B48" s="164">
        <f>IF(AND(Data!R47&lt;&gt;"",Data!L47="Accepté"),Data!L47,"")</f>
        <v/>
      </c>
      <c r="C48" s="329">
        <f>IF(D48&lt;&gt;"","S"&amp;TEXT(WEEKNUM(D48),"00"),"")</f>
        <v/>
      </c>
      <c r="D48" s="330">
        <f>IF(AND(Data!Q47&lt;&gt;"",Data!L47="Accepté"),Data!Q47,"")</f>
        <v/>
      </c>
      <c r="E48" s="106">
        <f>IF(AND(Data!R47&lt;&gt;"",Data!L47="Accepté"),Data!R47,"")</f>
        <v/>
      </c>
      <c r="F48" s="1037">
        <f>IF(AND(Data!R47&lt;&gt;"",Data!L47="Accepté"),Data!S47,"")</f>
        <v/>
      </c>
      <c r="G48" s="1038">
        <f>IF(Data!R47='Delivery Plan'!E48,Data!U47,"")</f>
        <v/>
      </c>
      <c r="H48" s="327" t="n"/>
      <c r="I48" s="329">
        <f>IF(J48&lt;&gt;"","S"&amp;TEXT(WEEKNUM(J48),"00"),"")</f>
        <v/>
      </c>
      <c r="J48" s="330">
        <f>IF(AND(E48=Data!R47,Data!AA47&lt;&gt;""),Data!AA47,"")</f>
        <v/>
      </c>
      <c r="K48" s="751">
        <f>IF(AND(E48=Data!R47,Data!AE47&lt;&gt;""),Data!AE47,"")</f>
        <v/>
      </c>
      <c r="L48" s="1039">
        <f>IF(E48=Data!R47,Data!AI47,"")</f>
        <v/>
      </c>
      <c r="M48" s="1039">
        <f>IF(E48=Data!R47,Data!AJ47,"")</f>
        <v/>
      </c>
      <c r="N48">
        <f>IF(AND(Data!R47&lt;&gt;"",Data!L47="Accepté"),Data!K47,"")</f>
        <v/>
      </c>
    </row>
    <row r="49" hidden="1" s="701">
      <c r="A49" s="164">
        <f>IF(AND(Data!R48&lt;&gt;"",Data!L48="Accepté"),Data!G48,"")</f>
        <v/>
      </c>
      <c r="B49" s="164">
        <f>IF(AND(Data!R48&lt;&gt;"",Data!L48="Accepté"),Data!L48,"")</f>
        <v/>
      </c>
      <c r="C49" s="329">
        <f>IF(D49&lt;&gt;"","S"&amp;TEXT(WEEKNUM(D49),"00"),"")</f>
        <v/>
      </c>
      <c r="D49" s="330">
        <f>IF(AND(Data!Q48&lt;&gt;"",Data!L48="Accepté"),Data!Q48,"")</f>
        <v/>
      </c>
      <c r="E49" s="106">
        <f>IF(AND(Data!R48&lt;&gt;"",Data!L48="Accepté"),Data!R48,"")</f>
        <v/>
      </c>
      <c r="F49" s="1037">
        <f>IF(AND(Data!R48&lt;&gt;"",Data!L48="Accepté"),Data!S48,"")</f>
        <v/>
      </c>
      <c r="G49" s="1038">
        <f>IF(Data!R48='Delivery Plan'!E49,Data!U48,"")</f>
        <v/>
      </c>
      <c r="H49" s="327" t="n"/>
      <c r="I49" s="329">
        <f>IF(J49&lt;&gt;"","S"&amp;TEXT(WEEKNUM(J49),"00"),"")</f>
        <v/>
      </c>
      <c r="J49" s="330">
        <f>IF(AND(E49=Data!R48,Data!AA48&lt;&gt;""),Data!AA48,"")</f>
        <v/>
      </c>
      <c r="K49" s="751">
        <f>IF(AND(E49=Data!R48,Data!AE48&lt;&gt;""),Data!AE48,"")</f>
        <v/>
      </c>
      <c r="L49" s="1039">
        <f>IF(E49=Data!R48,Data!AI48,"")</f>
        <v/>
      </c>
      <c r="M49" s="1039">
        <f>IF(E49=Data!R48,Data!AJ48,"")</f>
        <v/>
      </c>
      <c r="N49">
        <f>IF(AND(Data!R48&lt;&gt;"",Data!L48="Accepté"),Data!K48,"")</f>
        <v/>
      </c>
    </row>
    <row r="50" hidden="1" s="701">
      <c r="A50" s="164">
        <f>IF(AND(Data!R49&lt;&gt;"",Data!L49="Accepté"),Data!G49,"")</f>
        <v/>
      </c>
      <c r="B50" s="164">
        <f>IF(AND(Data!R49&lt;&gt;"",Data!L49="Accepté"),Data!L49,"")</f>
        <v/>
      </c>
      <c r="C50" s="329">
        <f>IF(D50&lt;&gt;"","S"&amp;TEXT(WEEKNUM(D50),"00"),"")</f>
        <v/>
      </c>
      <c r="D50" s="330">
        <f>IF(AND(Data!Q49&lt;&gt;"",Data!L49="Accepté"),Data!Q49,"")</f>
        <v/>
      </c>
      <c r="E50" s="106">
        <f>IF(AND(Data!R49&lt;&gt;"",Data!L49="Accepté"),Data!R49,"")</f>
        <v/>
      </c>
      <c r="F50" s="1037">
        <f>IF(AND(Data!R49&lt;&gt;"",Data!L49="Accepté"),Data!S49,"")</f>
        <v/>
      </c>
      <c r="G50" s="1038">
        <f>IF(Data!R49='Delivery Plan'!E50,Data!U49,"")</f>
        <v/>
      </c>
      <c r="H50" s="327" t="n"/>
      <c r="I50" s="329">
        <f>IF(J50&lt;&gt;"","S"&amp;TEXT(WEEKNUM(J50),"00"),"")</f>
        <v/>
      </c>
      <c r="J50" s="330">
        <f>IF(AND(E50=Data!R49,Data!AA49&lt;&gt;""),Data!AA49,"")</f>
        <v/>
      </c>
      <c r="K50" s="751">
        <f>IF(AND(E50=Data!R49,Data!AE49&lt;&gt;""),Data!AE49,"")</f>
        <v/>
      </c>
      <c r="L50" s="1039">
        <f>IF(E50=Data!R49,Data!AI49,"")</f>
        <v/>
      </c>
      <c r="M50" s="1039">
        <f>IF(E50=Data!R49,Data!AJ49,"")</f>
        <v/>
      </c>
      <c r="N50">
        <f>IF(AND(Data!R49&lt;&gt;"",Data!L49="Accepté"),Data!K49,"")</f>
        <v/>
      </c>
    </row>
    <row r="51" hidden="1" s="701">
      <c r="A51" s="164">
        <f>IF(AND(Data!R50&lt;&gt;"",Data!L50="Accepté"),Data!G50,"")</f>
        <v/>
      </c>
      <c r="B51" s="164">
        <f>IF(AND(Data!R50&lt;&gt;"",Data!L50="Accepté"),Data!L50,"")</f>
        <v/>
      </c>
      <c r="C51" s="329">
        <f>IF(D51&lt;&gt;"","S"&amp;TEXT(WEEKNUM(D51),"00"),"")</f>
        <v/>
      </c>
      <c r="D51" s="330">
        <f>IF(AND(Data!Q50&lt;&gt;"",Data!L50="Accepté"),Data!Q50,"")</f>
        <v/>
      </c>
      <c r="E51" s="106">
        <f>IF(AND(Data!R50&lt;&gt;"",Data!L50="Accepté"),Data!R50,"")</f>
        <v/>
      </c>
      <c r="F51" s="1037">
        <f>IF(AND(Data!R50&lt;&gt;"",Data!L50="Accepté"),Data!S50,"")</f>
        <v/>
      </c>
      <c r="G51" s="1038">
        <f>IF(Data!R50='Delivery Plan'!E51,Data!U50,"")</f>
        <v/>
      </c>
      <c r="H51" s="327" t="n"/>
      <c r="I51" s="329">
        <f>IF(J51&lt;&gt;"","S"&amp;TEXT(WEEKNUM(J51),"00"),"")</f>
        <v/>
      </c>
      <c r="J51" s="330">
        <f>IF(AND(E51=Data!R50,Data!AA50&lt;&gt;""),Data!AA50,"")</f>
        <v/>
      </c>
      <c r="K51" s="751">
        <f>IF(AND(E51=Data!R50,Data!AE50&lt;&gt;""),Data!AE50,"")</f>
        <v/>
      </c>
      <c r="L51" s="1039">
        <f>IF(E51=Data!R50,Data!AI50,"")</f>
        <v/>
      </c>
      <c r="M51" s="1039">
        <f>IF(E51=Data!R50,Data!AJ50,"")</f>
        <v/>
      </c>
      <c r="N51">
        <f>IF(AND(Data!R50&lt;&gt;"",Data!L50="Accepté"),Data!K50,"")</f>
        <v/>
      </c>
    </row>
    <row r="52">
      <c r="A52" s="164">
        <f>IF(AND(Data!R51&lt;&gt;"",Data!L51="Accepté"),Data!G51,"")</f>
        <v/>
      </c>
      <c r="B52" s="164">
        <f>IF(AND(Data!R51&lt;&gt;"",Data!L51="Accepté"),Data!L51,"")</f>
        <v/>
      </c>
      <c r="C52" s="329">
        <f>IF(D52&lt;&gt;"","S"&amp;TEXT(WEEKNUM(D52),"00"),"")</f>
        <v/>
      </c>
      <c r="D52" s="330">
        <f>IF(AND(Data!Q51&lt;&gt;"",Data!L51="Accepté"),Data!Q51,"")</f>
        <v/>
      </c>
      <c r="E52" s="106">
        <f>IF(AND(Data!R51&lt;&gt;"",Data!L51="Accepté"),Data!R51,"")</f>
        <v/>
      </c>
      <c r="F52" s="1037">
        <f>IF(AND(Data!R51&lt;&gt;"",Data!L51="Accepté"),Data!S51,"")</f>
        <v/>
      </c>
      <c r="G52" s="1038">
        <f>IF(Data!R51='Delivery Plan'!E52,Data!U51,"")</f>
        <v/>
      </c>
      <c r="H52" s="327" t="n"/>
      <c r="I52" s="329">
        <f>IF(J52&lt;&gt;"","S"&amp;TEXT(WEEKNUM(J52),"00"),"")</f>
        <v/>
      </c>
      <c r="J52" s="330">
        <f>IF(AND(E52=Data!R51,Data!AA51&lt;&gt;""),Data!AA51,"")</f>
        <v/>
      </c>
      <c r="K52" s="751">
        <f>IF(AND(E52=Data!R51,Data!AE51&lt;&gt;""),Data!AE51,"")</f>
        <v/>
      </c>
      <c r="L52" s="1039">
        <f>IF(E52=Data!R51,Data!AI51,"")</f>
        <v/>
      </c>
      <c r="M52" s="1039">
        <f>IF(E52=Data!R51,Data!AJ51,"")</f>
        <v/>
      </c>
      <c r="N52">
        <f>IF(AND(Data!R51&lt;&gt;"",Data!L51="Accepté"),Data!K51,"")</f>
        <v/>
      </c>
    </row>
    <row r="53" hidden="1" s="701">
      <c r="A53" s="164">
        <f>IF(AND(Data!R52&lt;&gt;"",Data!L52="Accepté"),Data!G52,"")</f>
        <v/>
      </c>
      <c r="B53" s="164">
        <f>IF(AND(Data!R52&lt;&gt;"",Data!L52="Accepté"),Data!L52,"")</f>
        <v/>
      </c>
      <c r="C53" s="329">
        <f>IF(D53&lt;&gt;"","S"&amp;TEXT(WEEKNUM(D53),"00"),"")</f>
        <v/>
      </c>
      <c r="D53" s="330">
        <f>IF(AND(Data!Q52&lt;&gt;"",Data!L52="Accepté"),Data!Q52,"")</f>
        <v/>
      </c>
      <c r="E53" s="106">
        <f>IF(AND(Data!R52&lt;&gt;"",Data!L52="Accepté"),Data!R52,"")</f>
        <v/>
      </c>
      <c r="F53" s="1037">
        <f>IF(AND(Data!R52&lt;&gt;"",Data!L52="Accepté"),Data!S52,"")</f>
        <v/>
      </c>
      <c r="G53" s="1038">
        <f>IF(Data!R52='Delivery Plan'!E53,Data!U52,"")</f>
        <v/>
      </c>
      <c r="H53" s="327" t="n"/>
      <c r="I53" s="329">
        <f>IF(J53&lt;&gt;"","S"&amp;TEXT(WEEKNUM(J53),"00"),"")</f>
        <v/>
      </c>
      <c r="J53" s="330">
        <f>IF(AND(E53=Data!R52,Data!AA52&lt;&gt;""),Data!AA52,"")</f>
        <v/>
      </c>
      <c r="K53" s="751">
        <f>IF(AND(E53=Data!R52,Data!AE52&lt;&gt;""),Data!AE52,"")</f>
        <v/>
      </c>
      <c r="L53" s="1039">
        <f>IF(E53=Data!R52,Data!AI52,"")</f>
        <v/>
      </c>
      <c r="M53" s="1039">
        <f>IF(E53=Data!R52,Data!AJ52,"")</f>
        <v/>
      </c>
      <c r="N53">
        <f>IF(AND(Data!R52&lt;&gt;"",Data!L52="Accepté"),Data!K52,"")</f>
        <v/>
      </c>
    </row>
    <row r="54" hidden="1" s="701">
      <c r="A54" s="164">
        <f>IF(AND(Data!R53&lt;&gt;"",Data!L53="Accepté"),Data!G53,"")</f>
        <v/>
      </c>
      <c r="B54" s="164">
        <f>IF(AND(Data!R53&lt;&gt;"",Data!L53="Accepté"),Data!L53,"")</f>
        <v/>
      </c>
      <c r="C54" s="329">
        <f>IF(D54&lt;&gt;"","S"&amp;TEXT(WEEKNUM(D54),"00"),"")</f>
        <v/>
      </c>
      <c r="D54" s="330">
        <f>IF(AND(Data!Q53&lt;&gt;"",Data!L53="Accepté"),Data!Q53,"")</f>
        <v/>
      </c>
      <c r="E54" s="106">
        <f>IF(AND(Data!R53&lt;&gt;"",Data!L53="Accepté"),Data!R53,"")</f>
        <v/>
      </c>
      <c r="F54" s="1037">
        <f>IF(AND(Data!R53&lt;&gt;"",Data!L53="Accepté"),Data!S53,"")</f>
        <v/>
      </c>
      <c r="G54" s="1038">
        <f>IF(Data!R53='Delivery Plan'!E54,Data!U53,"")</f>
        <v/>
      </c>
      <c r="H54" s="327" t="n"/>
      <c r="I54" s="329">
        <f>IF(J54&lt;&gt;"","S"&amp;TEXT(WEEKNUM(J54),"00"),"")</f>
        <v/>
      </c>
      <c r="J54" s="330">
        <f>IF(AND(E54=Data!R53,Data!AA53&lt;&gt;""),Data!AA53,"")</f>
        <v/>
      </c>
      <c r="K54" s="751">
        <f>IF(AND(E54=Data!R53,Data!AE53&lt;&gt;""),Data!AE53,"")</f>
        <v/>
      </c>
      <c r="L54" s="1039">
        <f>IF(E54=Data!R53,Data!AI53,"")</f>
        <v/>
      </c>
      <c r="M54" s="1039">
        <f>IF(E54=Data!R53,Data!AJ53,"")</f>
        <v/>
      </c>
      <c r="N54">
        <f>IF(AND(Data!R53&lt;&gt;"",Data!L53="Accepté"),Data!K53,"")</f>
        <v/>
      </c>
    </row>
    <row r="55" hidden="1" s="701">
      <c r="A55" s="164">
        <f>IF(AND(Data!R54&lt;&gt;"",Data!L54="Accepté"),Data!G54,"")</f>
        <v/>
      </c>
      <c r="B55" s="164">
        <f>IF(AND(Data!R54&lt;&gt;"",Data!L54="Accepté"),Data!L54,"")</f>
        <v/>
      </c>
      <c r="C55" s="329">
        <f>IF(D55&lt;&gt;"","S"&amp;TEXT(WEEKNUM(D55),"00"),"")</f>
        <v/>
      </c>
      <c r="D55" s="330">
        <f>IF(AND(Data!Q54&lt;&gt;"",Data!L54="Accepté"),Data!Q54,"")</f>
        <v/>
      </c>
      <c r="E55" s="106">
        <f>IF(AND(Data!R54&lt;&gt;"",Data!L54="Accepté"),Data!R54,"")</f>
        <v/>
      </c>
      <c r="F55" s="1037">
        <f>IF(AND(Data!R54&lt;&gt;"",Data!L54="Accepté"),Data!S54,"")</f>
        <v/>
      </c>
      <c r="G55" s="1038">
        <f>IF(Data!R54='Delivery Plan'!E55,Data!U54,"")</f>
        <v/>
      </c>
      <c r="H55" s="327" t="n"/>
      <c r="I55" s="329">
        <f>IF(J55&lt;&gt;"","S"&amp;TEXT(WEEKNUM(J55),"00"),"")</f>
        <v/>
      </c>
      <c r="J55" s="330">
        <f>IF(AND(E55=Data!R54,Data!AA54&lt;&gt;""),Data!AA54,"")</f>
        <v/>
      </c>
      <c r="K55" s="751">
        <f>IF(AND(E55=Data!R54,Data!AE54&lt;&gt;""),Data!AE54,"")</f>
        <v/>
      </c>
      <c r="L55" s="1039">
        <f>IF(E55=Data!R54,Data!AI54,"")</f>
        <v/>
      </c>
      <c r="M55" s="1039">
        <f>IF(E55=Data!R54,Data!AJ54,"")</f>
        <v/>
      </c>
      <c r="N55">
        <f>IF(AND(Data!R54&lt;&gt;"",Data!L54="Accepté"),Data!K54,"")</f>
        <v/>
      </c>
    </row>
    <row r="56" hidden="1" s="701">
      <c r="A56" s="164">
        <f>IF(AND(Data!R55&lt;&gt;"",Data!L55="Accepté"),Data!G55,"")</f>
        <v/>
      </c>
      <c r="B56" s="164">
        <f>IF(AND(Data!R55&lt;&gt;"",Data!L55="Accepté"),Data!L55,"")</f>
        <v/>
      </c>
      <c r="C56" s="329">
        <f>IF(D56&lt;&gt;"","S"&amp;TEXT(WEEKNUM(D56),"00"),"")</f>
        <v/>
      </c>
      <c r="D56" s="330">
        <f>IF(AND(Data!Q55&lt;&gt;"",Data!L55="Accepté"),Data!Q55,"")</f>
        <v/>
      </c>
      <c r="E56" s="106">
        <f>IF(AND(Data!R55&lt;&gt;"",Data!L55="Accepté"),Data!R55,"")</f>
        <v/>
      </c>
      <c r="F56" s="1037">
        <f>IF(AND(Data!R55&lt;&gt;"",Data!L55="Accepté"),Data!S55,"")</f>
        <v/>
      </c>
      <c r="G56" s="1038">
        <f>IF(Data!R55='Delivery Plan'!E56,Data!U55,"")</f>
        <v/>
      </c>
      <c r="H56" s="327" t="n"/>
      <c r="I56" s="329">
        <f>IF(J56&lt;&gt;"","S"&amp;TEXT(WEEKNUM(J56),"00"),"")</f>
        <v/>
      </c>
      <c r="J56" s="330">
        <f>IF(AND(E56=Data!R55,Data!AA55&lt;&gt;""),Data!AA55,"")</f>
        <v/>
      </c>
      <c r="K56" s="751">
        <f>IF(AND(E56=Data!R55,Data!AE55&lt;&gt;""),Data!AE55,"")</f>
        <v/>
      </c>
      <c r="L56" s="1039">
        <f>IF(E56=Data!R55,Data!AI55,"")</f>
        <v/>
      </c>
      <c r="M56" s="1039">
        <f>IF(E56=Data!R55,Data!AJ55,"")</f>
        <v/>
      </c>
      <c r="N56">
        <f>IF(AND(Data!R55&lt;&gt;"",Data!L55="Accepté"),Data!K55,"")</f>
        <v/>
      </c>
    </row>
    <row r="57">
      <c r="A57" s="164">
        <f>IF(AND(Data!R56&lt;&gt;"",Data!L56="Accepté"),Data!G56,"")</f>
        <v/>
      </c>
      <c r="B57" s="164">
        <f>IF(AND(Data!R56&lt;&gt;"",Data!L56="Accepté"),Data!L56,"")</f>
        <v/>
      </c>
      <c r="C57" s="329">
        <f>IF(D57&lt;&gt;"","S"&amp;TEXT(WEEKNUM(D57),"00"),"")</f>
        <v/>
      </c>
      <c r="D57" s="330">
        <f>IF(AND(Data!Q56&lt;&gt;"",Data!L56="Accepté"),Data!Q56,"")</f>
        <v/>
      </c>
      <c r="E57" s="106">
        <f>IF(AND(Data!R56&lt;&gt;"",Data!L56="Accepté"),Data!R56,"")</f>
        <v/>
      </c>
      <c r="F57" s="1037">
        <f>IF(AND(Data!R56&lt;&gt;"",Data!L56="Accepté"),Data!S56,"")</f>
        <v/>
      </c>
      <c r="G57" s="1038">
        <f>IF(Data!R56='Delivery Plan'!E57,Data!U56,"")</f>
        <v/>
      </c>
      <c r="H57" s="327" t="n"/>
      <c r="I57" s="329">
        <f>IF(J57&lt;&gt;"","S"&amp;TEXT(WEEKNUM(J57),"00"),"")</f>
        <v/>
      </c>
      <c r="J57" s="330">
        <f>IF(AND(E57=Data!R56,Data!AA56&lt;&gt;""),Data!AA56,"")</f>
        <v/>
      </c>
      <c r="K57" s="751">
        <f>IF(AND(E57=Data!R56,Data!AE56&lt;&gt;""),Data!AE56,"")</f>
        <v/>
      </c>
      <c r="L57" s="1039">
        <f>IF(E57=Data!R56,Data!AI56,"")</f>
        <v/>
      </c>
      <c r="M57" s="1039">
        <f>IF(E57=Data!R56,Data!AJ56,"")</f>
        <v/>
      </c>
      <c r="N57">
        <f>IF(AND(Data!R56&lt;&gt;"",Data!L56="Accepté"),Data!K56,"")</f>
        <v/>
      </c>
    </row>
    <row r="58">
      <c r="A58" s="164">
        <f>IF(AND(Data!R57&lt;&gt;"",Data!L57="Accepté"),Data!G57,"")</f>
        <v/>
      </c>
      <c r="B58" s="164">
        <f>IF(AND(Data!R57&lt;&gt;"",Data!L57="Accepté"),Data!L57,"")</f>
        <v/>
      </c>
      <c r="C58" s="329">
        <f>IF(D58&lt;&gt;"","S"&amp;TEXT(WEEKNUM(D58),"00"),"")</f>
        <v/>
      </c>
      <c r="D58" s="330">
        <f>IF(AND(Data!Q57&lt;&gt;"",Data!L57="Accepté"),Data!Q57,"")</f>
        <v/>
      </c>
      <c r="E58" s="106">
        <f>IF(AND(Data!R57&lt;&gt;"",Data!L57="Accepté"),Data!R57,"")</f>
        <v/>
      </c>
      <c r="F58" s="1037">
        <f>IF(AND(Data!R57&lt;&gt;"",Data!L57="Accepté"),Data!S57,"")</f>
        <v/>
      </c>
      <c r="G58" s="1038">
        <f>IF(Data!R57='Delivery Plan'!E58,Data!U57,"")</f>
        <v/>
      </c>
      <c r="H58" s="327" t="n"/>
      <c r="I58" s="329">
        <f>IF(J58&lt;&gt;"","S"&amp;TEXT(WEEKNUM(J58),"00"),"")</f>
        <v/>
      </c>
      <c r="J58" s="330">
        <f>IF(AND(E58=Data!R57,Data!AA57&lt;&gt;""),Data!AA57,"")</f>
        <v/>
      </c>
      <c r="K58" s="751">
        <f>IF(AND(E58=Data!R57,Data!AE57&lt;&gt;""),Data!AE57,"")</f>
        <v/>
      </c>
      <c r="L58" s="1039">
        <f>IF(E58=Data!R57,Data!AI57,"")</f>
        <v/>
      </c>
      <c r="M58" s="1039">
        <f>IF(E58=Data!R57,Data!AJ57,"")</f>
        <v/>
      </c>
      <c r="N58">
        <f>IF(AND(Data!R57&lt;&gt;"",Data!L57="Accepté"),Data!K57,"")</f>
        <v/>
      </c>
    </row>
    <row r="59">
      <c r="A59" s="164">
        <f>IF(AND(Data!R58&lt;&gt;"",Data!L58="Accepté"),Data!G58,"")</f>
        <v/>
      </c>
      <c r="B59" s="164">
        <f>IF(AND(Data!R58&lt;&gt;"",Data!L58="Accepté"),Data!L58,"")</f>
        <v/>
      </c>
      <c r="C59" s="329">
        <f>IF(D59&lt;&gt;"","S"&amp;TEXT(WEEKNUM(D59),"00"),"")</f>
        <v/>
      </c>
      <c r="D59" s="330">
        <f>IF(AND(Data!Q58&lt;&gt;"",Data!L58="Accepté"),Data!Q58,"")</f>
        <v/>
      </c>
      <c r="E59" s="106">
        <f>IF(AND(Data!R58&lt;&gt;"",Data!L58="Accepté"),Data!R58,"")</f>
        <v/>
      </c>
      <c r="F59" s="1037">
        <f>IF(AND(Data!R58&lt;&gt;"",Data!L58="Accepté"),Data!S58,"")</f>
        <v/>
      </c>
      <c r="G59" s="1038">
        <f>IF(Data!R58='Delivery Plan'!E59,Data!U58,"")</f>
        <v/>
      </c>
      <c r="H59" s="327" t="n"/>
      <c r="I59" s="329">
        <f>IF(J59&lt;&gt;"","S"&amp;TEXT(WEEKNUM(J59),"00"),"")</f>
        <v/>
      </c>
      <c r="J59" s="330">
        <f>IF(AND(E59=Data!R58,Data!AA58&lt;&gt;""),Data!AA58,"")</f>
        <v/>
      </c>
      <c r="K59" s="751">
        <f>IF(AND(E59=Data!R58,Data!AE58&lt;&gt;""),Data!AE58,"")</f>
        <v/>
      </c>
      <c r="L59" s="1039">
        <f>IF(E59=Data!R58,Data!AI58,"")</f>
        <v/>
      </c>
      <c r="M59" s="1039">
        <f>IF(E59=Data!R58,Data!AJ58,"")</f>
        <v/>
      </c>
      <c r="N59">
        <f>IF(AND(Data!R58&lt;&gt;"",Data!L58="Accepté"),Data!K58,"")</f>
        <v/>
      </c>
    </row>
    <row r="60" hidden="1" s="701">
      <c r="A60" s="164">
        <f>IF(AND(Data!R59&lt;&gt;"",Data!L59="Accepté"),Data!G59,"")</f>
        <v/>
      </c>
      <c r="B60" s="164">
        <f>IF(AND(Data!R59&lt;&gt;"",Data!L59="Accepté"),Data!L59,"")</f>
        <v/>
      </c>
      <c r="C60" s="329">
        <f>IF(D60&lt;&gt;"","S"&amp;TEXT(WEEKNUM(D60),"00"),"")</f>
        <v/>
      </c>
      <c r="D60" s="330">
        <f>IF(AND(Data!Q59&lt;&gt;"",Data!L59="Accepté"),Data!Q59,"")</f>
        <v/>
      </c>
      <c r="E60" s="106">
        <f>IF(AND(Data!R59&lt;&gt;"",Data!L59="Accepté"),Data!R59,"")</f>
        <v/>
      </c>
      <c r="F60" s="1037">
        <f>IF(AND(Data!R59&lt;&gt;"",Data!L59="Accepté"),Data!S59,"")</f>
        <v/>
      </c>
      <c r="G60" s="1038">
        <f>IF(Data!R59='Delivery Plan'!E60,Data!U59,"")</f>
        <v/>
      </c>
      <c r="H60" s="327" t="n"/>
      <c r="I60" s="329">
        <f>IF(J60&lt;&gt;"","S"&amp;TEXT(WEEKNUM(J60),"00"),"")</f>
        <v/>
      </c>
      <c r="J60" s="330">
        <f>IF(AND(E60=Data!R59,Data!AA59&lt;&gt;""),Data!AA59,"")</f>
        <v/>
      </c>
      <c r="K60" s="751">
        <f>IF(AND(E60=Data!R59,Data!AE59&lt;&gt;""),Data!AE59,"")</f>
        <v/>
      </c>
      <c r="L60" s="1039">
        <f>IF(E60=Data!R59,Data!AI59,"")</f>
        <v/>
      </c>
      <c r="M60" s="1039">
        <f>IF(E60=Data!R59,Data!AJ59,"")</f>
        <v/>
      </c>
      <c r="N60">
        <f>IF(AND(Data!R59&lt;&gt;"",Data!L59="Accepté"),Data!K59,"")</f>
        <v/>
      </c>
    </row>
    <row r="61">
      <c r="A61" s="164">
        <f>IF(AND(Data!R60&lt;&gt;"",Data!L60="Accepté"),Data!G60,"")</f>
        <v/>
      </c>
      <c r="B61" s="164">
        <f>IF(AND(Data!R60&lt;&gt;"",Data!L60="Accepté"),Data!L60,"")</f>
        <v/>
      </c>
      <c r="C61" s="329">
        <f>IF(D61&lt;&gt;"","S"&amp;TEXT(WEEKNUM(D61),"00"),"")</f>
        <v/>
      </c>
      <c r="D61" s="330">
        <f>IF(AND(Data!Q60&lt;&gt;"",Data!L60="Accepté"),Data!Q60,"")</f>
        <v/>
      </c>
      <c r="E61" s="106">
        <f>IF(AND(Data!R60&lt;&gt;"",Data!L60="Accepté"),Data!R60,"")</f>
        <v/>
      </c>
      <c r="F61" s="1037">
        <f>IF(AND(Data!R60&lt;&gt;"",Data!L60="Accepté"),Data!S60,"")</f>
        <v/>
      </c>
      <c r="G61" s="1038">
        <f>IF(Data!R60='Delivery Plan'!E61,Data!U60,"")</f>
        <v/>
      </c>
      <c r="H61" s="327" t="n"/>
      <c r="I61" s="329">
        <f>IF(J61&lt;&gt;"","S"&amp;TEXT(WEEKNUM(J61),"00"),"")</f>
        <v/>
      </c>
      <c r="J61" s="330">
        <f>IF(AND(E61=Data!R60,Data!AA60&lt;&gt;""),Data!AA60,"")</f>
        <v/>
      </c>
      <c r="K61" s="751">
        <f>IF(AND(E61=Data!R60,Data!AE60&lt;&gt;""),Data!AE60,"")</f>
        <v/>
      </c>
      <c r="L61" s="1039">
        <f>IF(E61=Data!R60,Data!AI60,"")</f>
        <v/>
      </c>
      <c r="M61" s="1039">
        <f>IF(E61=Data!R60,Data!AJ60,"")</f>
        <v/>
      </c>
      <c r="N61">
        <f>IF(AND(Data!R60&lt;&gt;"",Data!L60="Accepté"),Data!K60,"")</f>
        <v/>
      </c>
    </row>
    <row r="62" hidden="1" s="701">
      <c r="A62" s="164">
        <f>IF(AND(Data!R61&lt;&gt;"",Data!L61="Accepté"),Data!G61,"")</f>
        <v/>
      </c>
      <c r="B62" s="164">
        <f>IF(AND(Data!R61&lt;&gt;"",Data!L61="Accepté"),Data!L61,"")</f>
        <v/>
      </c>
      <c r="C62" s="329">
        <f>IF(D62&lt;&gt;"","S"&amp;TEXT(WEEKNUM(D62),"00"),"")</f>
        <v/>
      </c>
      <c r="D62" s="330">
        <f>IF(AND(Data!Q61&lt;&gt;"",Data!L61="Accepté"),Data!Q61,"")</f>
        <v/>
      </c>
      <c r="E62" s="106">
        <f>IF(AND(Data!R61&lt;&gt;"",Data!L61="Accepté"),Data!R61,"")</f>
        <v/>
      </c>
      <c r="F62" s="1037">
        <f>IF(AND(Data!R61&lt;&gt;"",Data!L61="Accepté"),Data!S61,"")</f>
        <v/>
      </c>
      <c r="G62" s="1038">
        <f>IF(Data!R61='Delivery Plan'!E62,Data!U61,"")</f>
        <v/>
      </c>
      <c r="H62" s="327" t="n"/>
      <c r="I62" s="329">
        <f>IF(J62&lt;&gt;"","S"&amp;TEXT(WEEKNUM(J62),"00"),"")</f>
        <v/>
      </c>
      <c r="J62" s="330">
        <f>IF(AND(E62=Data!R61,Data!AA61&lt;&gt;""),Data!AA61,"")</f>
        <v/>
      </c>
      <c r="K62" s="751">
        <f>IF(AND(E62=Data!R61,Data!AE61&lt;&gt;""),Data!AE61,"")</f>
        <v/>
      </c>
      <c r="L62" s="1039">
        <f>IF(E62=Data!R61,Data!AI61,"")</f>
        <v/>
      </c>
      <c r="M62" s="1039">
        <f>IF(E62=Data!R61,Data!AJ61,"")</f>
        <v/>
      </c>
      <c r="N62">
        <f>IF(AND(Data!R61&lt;&gt;"",Data!L61="Accepté"),Data!K61,"")</f>
        <v/>
      </c>
    </row>
    <row r="63">
      <c r="A63" s="164">
        <f>IF(AND(Data!R62&lt;&gt;"",Data!L62="Accepté"),Data!G62,"")</f>
        <v/>
      </c>
      <c r="B63" s="164">
        <f>IF(AND(Data!R62&lt;&gt;"",Data!L62="Accepté"),Data!L62,"")</f>
        <v/>
      </c>
      <c r="C63" s="329">
        <f>IF(D63&lt;&gt;"","S"&amp;TEXT(WEEKNUM(D63),"00"),"")</f>
        <v/>
      </c>
      <c r="D63" s="330">
        <f>IF(AND(Data!Q62&lt;&gt;"",Data!L62="Accepté"),Data!Q62,"")</f>
        <v/>
      </c>
      <c r="E63" s="106">
        <f>IF(AND(Data!R62&lt;&gt;"",Data!L62="Accepté"),Data!R62,"")</f>
        <v/>
      </c>
      <c r="F63" s="1037">
        <f>IF(AND(Data!R62&lt;&gt;"",Data!L62="Accepté"),Data!S62,"")</f>
        <v/>
      </c>
      <c r="G63" s="1038">
        <f>IF(Data!R62='Delivery Plan'!E63,Data!U62,"")</f>
        <v/>
      </c>
      <c r="H63" s="327" t="n"/>
      <c r="I63" s="329">
        <f>IF(J63&lt;&gt;"","S"&amp;TEXT(WEEKNUM(J63),"00"),"")</f>
        <v/>
      </c>
      <c r="J63" s="330">
        <f>IF(AND(E63=Data!R62,Data!AA62&lt;&gt;""),Data!AA62,"")</f>
        <v/>
      </c>
      <c r="K63" s="751">
        <f>IF(AND(E63=Data!R62,Data!AE62&lt;&gt;""),Data!AE62,"")</f>
        <v/>
      </c>
      <c r="L63" s="1039">
        <f>IF(E63=Data!R62,Data!AI62,"")</f>
        <v/>
      </c>
      <c r="M63" s="1039">
        <f>IF(E63=Data!R62,Data!AJ62,"")</f>
        <v/>
      </c>
      <c r="N63">
        <f>IF(AND(Data!R62&lt;&gt;"",Data!L62="Accepté"),Data!K62,"")</f>
        <v/>
      </c>
    </row>
    <row r="64" hidden="1" s="701">
      <c r="A64" s="164">
        <f>IF(AND(Data!R63&lt;&gt;"",Data!L63="Accepté"),Data!G63,"")</f>
        <v/>
      </c>
      <c r="B64" s="164">
        <f>IF(AND(Data!R63&lt;&gt;"",Data!L63="Accepté"),Data!L63,"")</f>
        <v/>
      </c>
      <c r="C64" s="329">
        <f>IF(D64&lt;&gt;"","S"&amp;TEXT(WEEKNUM(D64),"00"),"")</f>
        <v/>
      </c>
      <c r="D64" s="330">
        <f>IF(AND(Data!Q63&lt;&gt;"",Data!L63="Accepté"),Data!Q63,"")</f>
        <v/>
      </c>
      <c r="E64" s="106">
        <f>IF(AND(Data!R63&lt;&gt;"",Data!L63="Accepté"),Data!R63,"")</f>
        <v/>
      </c>
      <c r="F64" s="1037">
        <f>IF(AND(Data!R63&lt;&gt;"",Data!L63="Accepté"),Data!S63,"")</f>
        <v/>
      </c>
      <c r="G64" s="1038">
        <f>IF(Data!R63='Delivery Plan'!E64,Data!U63,"")</f>
        <v/>
      </c>
      <c r="H64" s="327" t="n"/>
      <c r="I64" s="329">
        <f>IF(J64&lt;&gt;"","S"&amp;TEXT(WEEKNUM(J64),"00"),"")</f>
        <v/>
      </c>
      <c r="J64" s="330">
        <f>IF(AND(E64=Data!R63,Data!AA63&lt;&gt;""),Data!AA63,"")</f>
        <v/>
      </c>
      <c r="K64" s="751">
        <f>IF(AND(E64=Data!R63,Data!AE63&lt;&gt;""),Data!AE63,"")</f>
        <v/>
      </c>
      <c r="L64" s="1039">
        <f>IF(E64=Data!R63,Data!AI63,"")</f>
        <v/>
      </c>
      <c r="M64" s="1039">
        <f>IF(E64=Data!R63,Data!AJ63,"")</f>
        <v/>
      </c>
      <c r="N64">
        <f>IF(AND(Data!R63&lt;&gt;"",Data!L63="Accepté"),Data!K63,"")</f>
        <v/>
      </c>
    </row>
    <row r="65" hidden="1" s="701">
      <c r="A65" s="164">
        <f>IF(AND(Data!R64&lt;&gt;"",Data!L64="Accepté"),Data!G64,"")</f>
        <v/>
      </c>
      <c r="B65" s="164">
        <f>IF(AND(Data!R64&lt;&gt;"",Data!L64="Accepté"),Data!L64,"")</f>
        <v/>
      </c>
      <c r="C65" s="329">
        <f>IF(D65&lt;&gt;"","S"&amp;TEXT(WEEKNUM(D65),"00"),"")</f>
        <v/>
      </c>
      <c r="D65" s="330">
        <f>IF(AND(Data!Q64&lt;&gt;"",Data!L64="Accepté"),Data!Q64,"")</f>
        <v/>
      </c>
      <c r="E65" s="106">
        <f>IF(AND(Data!R64&lt;&gt;"",Data!L64="Accepté"),Data!R64,"")</f>
        <v/>
      </c>
      <c r="F65" s="1037">
        <f>IF(AND(Data!R64&lt;&gt;"",Data!L64="Accepté"),Data!S64,"")</f>
        <v/>
      </c>
      <c r="G65" s="1038">
        <f>IF(Data!R64='Delivery Plan'!E65,Data!U64,"")</f>
        <v/>
      </c>
      <c r="H65" s="327" t="n"/>
      <c r="I65" s="329">
        <f>IF(J65&lt;&gt;"","S"&amp;TEXT(WEEKNUM(J65),"00"),"")</f>
        <v/>
      </c>
      <c r="J65" s="330">
        <f>IF(AND(E65=Data!R64,Data!AA64&lt;&gt;""),Data!AA64,"")</f>
        <v/>
      </c>
      <c r="K65" s="751">
        <f>IF(AND(E65=Data!R64,Data!AE64&lt;&gt;""),Data!AE64,"")</f>
        <v/>
      </c>
      <c r="L65" s="1039">
        <f>IF(E65=Data!R64,Data!AI64,"")</f>
        <v/>
      </c>
      <c r="M65" s="1039">
        <f>IF(E65=Data!R64,Data!AJ64,"")</f>
        <v/>
      </c>
      <c r="N65">
        <f>IF(AND(Data!R64&lt;&gt;"",Data!L64="Accepté"),Data!K64,"")</f>
        <v/>
      </c>
    </row>
    <row r="66" hidden="1" s="701">
      <c r="A66" s="164">
        <f>IF(AND(Data!R65&lt;&gt;"",Data!L65="Accepté"),Data!G65,"")</f>
        <v/>
      </c>
      <c r="B66" s="164">
        <f>IF(AND(Data!R65&lt;&gt;"",Data!L65="Accepté"),Data!L65,"")</f>
        <v/>
      </c>
      <c r="C66" s="329">
        <f>IF(D66&lt;&gt;"","S"&amp;TEXT(WEEKNUM(D66),"00"),"")</f>
        <v/>
      </c>
      <c r="D66" s="330">
        <f>IF(AND(Data!Q65&lt;&gt;"",Data!L65="Accepté"),Data!Q65,"")</f>
        <v/>
      </c>
      <c r="E66" s="106">
        <f>IF(AND(Data!R65&lt;&gt;"",Data!L65="Accepté"),Data!R65,"")</f>
        <v/>
      </c>
      <c r="F66" s="1037">
        <f>IF(AND(Data!R65&lt;&gt;"",Data!L65="Accepté"),Data!S65,"")</f>
        <v/>
      </c>
      <c r="G66" s="1038">
        <f>IF(Data!R65='Delivery Plan'!E66,Data!U65,"")</f>
        <v/>
      </c>
      <c r="H66" s="327" t="n"/>
      <c r="I66" s="329">
        <f>IF(J66&lt;&gt;"","S"&amp;TEXT(WEEKNUM(J66),"00"),"")</f>
        <v/>
      </c>
      <c r="J66" s="330">
        <f>IF(AND(E66=Data!R65,Data!AA65&lt;&gt;""),Data!AA65,"")</f>
        <v/>
      </c>
      <c r="K66" s="751">
        <f>IF(AND(E66=Data!R65,Data!AE65&lt;&gt;""),Data!AE65,"")</f>
        <v/>
      </c>
      <c r="L66" s="1039">
        <f>IF(E66=Data!R65,Data!AI65,"")</f>
        <v/>
      </c>
      <c r="M66" s="1039">
        <f>IF(E66=Data!R65,Data!AJ65,"")</f>
        <v/>
      </c>
      <c r="N66">
        <f>IF(AND(Data!R65&lt;&gt;"",Data!L65="Accepté"),Data!K65,"")</f>
        <v/>
      </c>
    </row>
    <row r="67" hidden="1" s="701">
      <c r="A67" s="164">
        <f>IF(AND(Data!R66&lt;&gt;"",Data!L66="Accepté"),Data!G66,"")</f>
        <v/>
      </c>
      <c r="B67" s="164">
        <f>IF(AND(Data!R66&lt;&gt;"",Data!L66="Accepté"),Data!L66,"")</f>
        <v/>
      </c>
      <c r="C67" s="329">
        <f>IF(D67&lt;&gt;"","S"&amp;TEXT(WEEKNUM(D67),"00"),"")</f>
        <v/>
      </c>
      <c r="D67" s="330">
        <f>IF(AND(Data!Q66&lt;&gt;"",Data!L66="Accepté"),Data!Q66,"")</f>
        <v/>
      </c>
      <c r="E67" s="106">
        <f>IF(AND(Data!R66&lt;&gt;"",Data!L66="Accepté"),Data!R66,"")</f>
        <v/>
      </c>
      <c r="F67" s="1037">
        <f>IF(AND(Data!R66&lt;&gt;"",Data!L66="Accepté"),Data!S66,"")</f>
        <v/>
      </c>
      <c r="G67" s="1038">
        <f>IF(Data!R66='Delivery Plan'!E67,Data!U66,"")</f>
        <v/>
      </c>
      <c r="H67" s="327" t="n"/>
      <c r="I67" s="329">
        <f>IF(J67&lt;&gt;"","S"&amp;TEXT(WEEKNUM(J67),"00"),"")</f>
        <v/>
      </c>
      <c r="J67" s="330">
        <f>IF(AND(E67=Data!R66,Data!AA66&lt;&gt;""),Data!AA66,"")</f>
        <v/>
      </c>
      <c r="K67" s="751">
        <f>IF(AND(E67=Data!R66,Data!AE66&lt;&gt;""),Data!AE66,"")</f>
        <v/>
      </c>
      <c r="L67" s="1039">
        <f>IF(E67=Data!R66,Data!AI66,"")</f>
        <v/>
      </c>
      <c r="M67" s="1039">
        <f>IF(E67=Data!R66,Data!AJ66,"")</f>
        <v/>
      </c>
      <c r="N67">
        <f>IF(AND(Data!R66&lt;&gt;"",Data!L66="Accepté"),Data!K66,"")</f>
        <v/>
      </c>
    </row>
    <row r="68" hidden="1" s="701">
      <c r="A68" s="164">
        <f>IF(AND(Data!R67&lt;&gt;"",Data!L67="Accepté"),Data!G67,"")</f>
        <v/>
      </c>
      <c r="B68" s="164">
        <f>IF(AND(Data!R67&lt;&gt;"",Data!L67="Accepté"),Data!L67,"")</f>
        <v/>
      </c>
      <c r="C68" s="329">
        <f>IF(D68&lt;&gt;"","S"&amp;TEXT(WEEKNUM(D68),"00"),"")</f>
        <v/>
      </c>
      <c r="D68" s="330">
        <f>IF(AND(Data!Q67&lt;&gt;"",Data!L67="Accepté"),Data!Q67,"")</f>
        <v/>
      </c>
      <c r="E68" s="106">
        <f>IF(AND(Data!R67&lt;&gt;"",Data!L67="Accepté"),Data!R67,"")</f>
        <v/>
      </c>
      <c r="F68" s="1037">
        <f>IF(AND(Data!R67&lt;&gt;"",Data!L67="Accepté"),Data!S67,"")</f>
        <v/>
      </c>
      <c r="G68" s="1038">
        <f>IF(Data!R67='Delivery Plan'!E68,Data!U67,"")</f>
        <v/>
      </c>
      <c r="H68" s="327" t="n"/>
      <c r="I68" s="329">
        <f>IF(J68&lt;&gt;"","S"&amp;TEXT(WEEKNUM(J68),"00"),"")</f>
        <v/>
      </c>
      <c r="J68" s="330">
        <f>IF(AND(E68=Data!R67,Data!AA67&lt;&gt;""),Data!AA67,"")</f>
        <v/>
      </c>
      <c r="K68" s="751">
        <f>IF(AND(E68=Data!R67,Data!AE67&lt;&gt;""),Data!AE67,"")</f>
        <v/>
      </c>
      <c r="L68" s="1039">
        <f>IF(E68=Data!R67,Data!AI67,"")</f>
        <v/>
      </c>
      <c r="M68" s="1039">
        <f>IF(E68=Data!R67,Data!AJ67,"")</f>
        <v/>
      </c>
      <c r="N68">
        <f>IF(AND(Data!R67&lt;&gt;"",Data!L67="Accepté"),Data!K67,"")</f>
        <v/>
      </c>
    </row>
    <row r="69" hidden="1" s="701">
      <c r="A69" s="164">
        <f>IF(AND(Data!R68&lt;&gt;"",Data!L68="Accepté"),Data!G68,"")</f>
        <v/>
      </c>
      <c r="B69" s="164">
        <f>IF(AND(Data!R68&lt;&gt;"",Data!L68="Accepté"),Data!L68,"")</f>
        <v/>
      </c>
      <c r="C69" s="329">
        <f>IF(D69&lt;&gt;"","S"&amp;TEXT(WEEKNUM(D69),"00"),"")</f>
        <v/>
      </c>
      <c r="D69" s="330">
        <f>IF(AND(Data!Q68&lt;&gt;"",Data!L68="Accepté"),Data!Q68,"")</f>
        <v/>
      </c>
      <c r="E69" s="106">
        <f>IF(AND(Data!R68&lt;&gt;"",Data!L68="Accepté"),Data!R68,"")</f>
        <v/>
      </c>
      <c r="F69" s="1037">
        <f>IF(AND(Data!R68&lt;&gt;"",Data!L68="Accepté"),Data!S68,"")</f>
        <v/>
      </c>
      <c r="G69" s="1038">
        <f>IF(Data!R68='Delivery Plan'!E69,Data!U68,"")</f>
        <v/>
      </c>
      <c r="H69" s="327" t="n"/>
      <c r="I69" s="329">
        <f>IF(J69&lt;&gt;"","S"&amp;TEXT(WEEKNUM(J69),"00"),"")</f>
        <v/>
      </c>
      <c r="J69" s="330">
        <f>IF(AND(E69=Data!R68,Data!AA68&lt;&gt;""),Data!AA68,"")</f>
        <v/>
      </c>
      <c r="K69" s="751">
        <f>IF(AND(E69=Data!R68,Data!AE68&lt;&gt;""),Data!AE68,"")</f>
        <v/>
      </c>
      <c r="L69" s="1039">
        <f>IF(E69=Data!R68,Data!AI68,"")</f>
        <v/>
      </c>
      <c r="M69" s="1039">
        <f>IF(E69=Data!R68,Data!AJ68,"")</f>
        <v/>
      </c>
      <c r="N69">
        <f>IF(AND(Data!R68&lt;&gt;"",Data!L68="Accepté"),Data!K68,"")</f>
        <v/>
      </c>
    </row>
    <row r="70" hidden="1" s="701">
      <c r="A70" s="164">
        <f>IF(AND(Data!R69&lt;&gt;"",Data!L69="Accepté"),Data!G69,"")</f>
        <v/>
      </c>
      <c r="B70" s="164">
        <f>IF(AND(Data!R69&lt;&gt;"",Data!L69="Accepté"),Data!L69,"")</f>
        <v/>
      </c>
      <c r="C70" s="329">
        <f>IF(D70&lt;&gt;"","S"&amp;TEXT(WEEKNUM(D70),"00"),"")</f>
        <v/>
      </c>
      <c r="D70" s="330">
        <f>IF(AND(Data!Q69&lt;&gt;"",Data!L69="Accepté"),Data!Q69,"")</f>
        <v/>
      </c>
      <c r="E70" s="106">
        <f>IF(AND(Data!R69&lt;&gt;"",Data!L69="Accepté"),Data!R69,"")</f>
        <v/>
      </c>
      <c r="F70" s="1037">
        <f>IF(AND(Data!R69&lt;&gt;"",Data!L69="Accepté"),Data!S69,"")</f>
        <v/>
      </c>
      <c r="G70" s="1038">
        <f>IF(Data!R69='Delivery Plan'!E70,Data!U69,"")</f>
        <v/>
      </c>
      <c r="H70" s="327" t="n"/>
      <c r="I70" s="329">
        <f>IF(J70&lt;&gt;"","S"&amp;TEXT(WEEKNUM(J70),"00"),"")</f>
        <v/>
      </c>
      <c r="J70" s="330">
        <f>IF(AND(E70=Data!R69,Data!AA69&lt;&gt;""),Data!AA69,"")</f>
        <v/>
      </c>
      <c r="K70" s="751">
        <f>IF(AND(E70=Data!R69,Data!AE69&lt;&gt;""),Data!AE69,"")</f>
        <v/>
      </c>
      <c r="L70" s="1039">
        <f>IF(E70=Data!R69,Data!AI69,"")</f>
        <v/>
      </c>
      <c r="M70" s="1039">
        <f>IF(E70=Data!R69,Data!AJ69,"")</f>
        <v/>
      </c>
      <c r="N70">
        <f>IF(AND(Data!R69&lt;&gt;"",Data!L69="Accepté"),Data!K69,"")</f>
        <v/>
      </c>
    </row>
    <row r="71">
      <c r="A71" s="164">
        <f>IF(AND(Data!R70&lt;&gt;"",Data!L70="Accepté"),Data!G70,"")</f>
        <v/>
      </c>
      <c r="B71" s="164">
        <f>IF(AND(Data!R70&lt;&gt;"",Data!L70="Accepté"),Data!L70,"")</f>
        <v/>
      </c>
      <c r="C71" s="329">
        <f>IF(D71&lt;&gt;"","S"&amp;TEXT(WEEKNUM(D71),"00"),"")</f>
        <v/>
      </c>
      <c r="D71" s="330">
        <f>IF(AND(Data!Q70&lt;&gt;"",Data!L70="Accepté"),Data!Q70,"")</f>
        <v/>
      </c>
      <c r="E71" s="106">
        <f>IF(AND(Data!R70&lt;&gt;"",Data!L70="Accepté"),Data!R70,"")</f>
        <v/>
      </c>
      <c r="F71" s="1037">
        <f>IF(AND(Data!R70&lt;&gt;"",Data!L70="Accepté"),Data!S70,"")</f>
        <v/>
      </c>
      <c r="G71" s="1038">
        <f>IF(Data!R70='Delivery Plan'!E71,Data!U70,"")</f>
        <v/>
      </c>
      <c r="H71" s="327" t="n"/>
      <c r="I71" s="329">
        <f>IF(J71&lt;&gt;"","S"&amp;TEXT(WEEKNUM(J71),"00"),"")</f>
        <v/>
      </c>
      <c r="J71" s="330">
        <f>IF(AND(E71=Data!R70,Data!AA70&lt;&gt;""),Data!AA70,"")</f>
        <v/>
      </c>
      <c r="K71" s="751">
        <f>IF(AND(E71=Data!R70,Data!AE70&lt;&gt;""),Data!AE70,"")</f>
        <v/>
      </c>
      <c r="L71" s="1039">
        <f>IF(E71=Data!R70,Data!AI70,"")</f>
        <v/>
      </c>
      <c r="M71" s="1039">
        <f>IF(E71=Data!R70,Data!AJ70,"")</f>
        <v/>
      </c>
      <c r="N71">
        <f>IF(AND(Data!R70&lt;&gt;"",Data!L70="Accepté"),Data!K70,"")</f>
        <v/>
      </c>
    </row>
    <row r="72" hidden="1" s="701">
      <c r="A72" s="164">
        <f>IF(AND(Data!R71&lt;&gt;"",Data!L71="Accepté"),Data!G71,"")</f>
        <v/>
      </c>
      <c r="B72" s="164">
        <f>IF(AND(Data!R71&lt;&gt;"",Data!L71="Accepté"),Data!L71,"")</f>
        <v/>
      </c>
      <c r="C72" s="329">
        <f>IF(D72&lt;&gt;"","S"&amp;TEXT(WEEKNUM(D72),"00"),"")</f>
        <v/>
      </c>
      <c r="D72" s="330">
        <f>IF(AND(Data!Q71&lt;&gt;"",Data!L71="Accepté"),Data!Q71,"")</f>
        <v/>
      </c>
      <c r="E72" s="106">
        <f>IF(AND(Data!R71&lt;&gt;"",Data!L71="Accepté"),Data!R71,"")</f>
        <v/>
      </c>
      <c r="F72" s="1037">
        <f>IF(AND(Data!R71&lt;&gt;"",Data!L71="Accepté"),Data!S71,"")</f>
        <v/>
      </c>
      <c r="G72" s="1038">
        <f>IF(Data!R71='Delivery Plan'!E72,Data!U71,"")</f>
        <v/>
      </c>
      <c r="H72" s="327" t="n"/>
      <c r="I72" s="329">
        <f>IF(J72&lt;&gt;"","S"&amp;TEXT(WEEKNUM(J72),"00"),"")</f>
        <v/>
      </c>
      <c r="J72" s="330">
        <f>IF(AND(E72=Data!R71,Data!AA71&lt;&gt;""),Data!AA71,"")</f>
        <v/>
      </c>
      <c r="K72" s="751">
        <f>IF(AND(E72=Data!R71,Data!AE71&lt;&gt;""),Data!AE71,"")</f>
        <v/>
      </c>
      <c r="L72" s="1039">
        <f>IF(E72=Data!R71,Data!AI71,"")</f>
        <v/>
      </c>
      <c r="M72" s="1039">
        <f>IF(E72=Data!R71,Data!AJ71,"")</f>
        <v/>
      </c>
      <c r="N72">
        <f>IF(AND(Data!R71&lt;&gt;"",Data!L71="Accepté"),Data!K71,"")</f>
        <v/>
      </c>
    </row>
    <row r="73" hidden="1" s="701">
      <c r="A73" s="164">
        <f>IF(AND(Data!R72&lt;&gt;"",Data!L72="Accepté"),Data!G72,"")</f>
        <v/>
      </c>
      <c r="B73" s="164">
        <f>IF(AND(Data!R72&lt;&gt;"",Data!L72="Accepté"),Data!L72,"")</f>
        <v/>
      </c>
      <c r="C73" s="329">
        <f>IF(D73&lt;&gt;"","S"&amp;TEXT(WEEKNUM(D73),"00"),"")</f>
        <v/>
      </c>
      <c r="D73" s="330">
        <f>IF(AND(Data!Q72&lt;&gt;"",Data!L72="Accepté"),Data!Q72,"")</f>
        <v/>
      </c>
      <c r="E73" s="106">
        <f>IF(AND(Data!R72&lt;&gt;"",Data!L72="Accepté"),Data!R72,"")</f>
        <v/>
      </c>
      <c r="F73" s="1037">
        <f>IF(AND(Data!R72&lt;&gt;"",Data!L72="Accepté"),Data!S72,"")</f>
        <v/>
      </c>
      <c r="G73" s="1038">
        <f>IF(Data!R72='Delivery Plan'!E73,Data!U72,"")</f>
        <v/>
      </c>
      <c r="H73" s="327" t="n"/>
      <c r="I73" s="329">
        <f>IF(J73&lt;&gt;"","S"&amp;TEXT(WEEKNUM(J73),"00"),"")</f>
        <v/>
      </c>
      <c r="J73" s="330">
        <f>IF(AND(E73=Data!R72,Data!AA72&lt;&gt;""),Data!AA72,"")</f>
        <v/>
      </c>
      <c r="K73" s="751">
        <f>IF(AND(E73=Data!R72,Data!AE72&lt;&gt;""),Data!AE72,"")</f>
        <v/>
      </c>
      <c r="L73" s="1039">
        <f>IF(E73=Data!R72,Data!AI72,"")</f>
        <v/>
      </c>
      <c r="M73" s="1039">
        <f>IF(E73=Data!R72,Data!AJ72,"")</f>
        <v/>
      </c>
      <c r="N73">
        <f>IF(AND(Data!R72&lt;&gt;"",Data!L72="Accepté"),Data!K72,"")</f>
        <v/>
      </c>
    </row>
    <row r="74">
      <c r="A74" s="164">
        <f>IF(AND(Data!R73&lt;&gt;"",Data!L73="Accepté"),Data!G73,"")</f>
        <v/>
      </c>
      <c r="B74" s="164">
        <f>IF(AND(Data!R73&lt;&gt;"",Data!L73="Accepté"),Data!L73,"")</f>
        <v/>
      </c>
      <c r="C74" s="329">
        <f>IF(D74&lt;&gt;"","S"&amp;TEXT(WEEKNUM(D74),"00"),"")</f>
        <v/>
      </c>
      <c r="D74" s="330">
        <f>IF(AND(Data!Q73&lt;&gt;"",Data!L73="Accepté"),Data!Q73,"")</f>
        <v/>
      </c>
      <c r="E74" s="106">
        <f>IF(AND(Data!R73&lt;&gt;"",Data!L73="Accepté"),Data!R73,"")</f>
        <v/>
      </c>
      <c r="F74" s="1037">
        <f>IF(AND(Data!R73&lt;&gt;"",Data!L73="Accepté"),Data!S73,"")</f>
        <v/>
      </c>
      <c r="G74" s="1038">
        <f>IF(Data!R73='Delivery Plan'!E74,Data!U73,"")</f>
        <v/>
      </c>
      <c r="H74" s="327" t="n"/>
      <c r="I74" s="329">
        <f>IF(J74&lt;&gt;"","S"&amp;TEXT(WEEKNUM(J74),"00"),"")</f>
        <v/>
      </c>
      <c r="J74" s="330">
        <f>IF(AND(E74=Data!R73,Data!AA73&lt;&gt;""),Data!AA73,"")</f>
        <v/>
      </c>
      <c r="K74" s="751">
        <f>IF(AND(E74=Data!R73,Data!AE73&lt;&gt;""),Data!AE73,"")</f>
        <v/>
      </c>
      <c r="L74" s="1039">
        <f>IF(E74=Data!R73,Data!AI73,"")</f>
        <v/>
      </c>
      <c r="M74" s="1039">
        <f>IF(E74=Data!R73,Data!AJ73,"")</f>
        <v/>
      </c>
      <c r="N74">
        <f>IF(AND(Data!R73&lt;&gt;"",Data!L73="Accepté"),Data!K73,"")</f>
        <v/>
      </c>
    </row>
    <row r="75" hidden="1" s="701">
      <c r="A75" s="164">
        <f>IF(AND(Data!R74&lt;&gt;"",Data!L74="Accepté"),Data!G74,"")</f>
        <v/>
      </c>
      <c r="B75" s="164">
        <f>IF(AND(Data!R74&lt;&gt;"",Data!L74="Accepté"),Data!L74,"")</f>
        <v/>
      </c>
      <c r="C75" s="329">
        <f>IF(D75&lt;&gt;"","S"&amp;TEXT(WEEKNUM(D75),"00"),"")</f>
        <v/>
      </c>
      <c r="D75" s="330">
        <f>IF(AND(Data!Q74&lt;&gt;"",Data!L74="Accepté"),Data!Q74,"")</f>
        <v/>
      </c>
      <c r="E75" s="106">
        <f>IF(AND(Data!R74&lt;&gt;"",Data!L74="Accepté"),Data!R74,"")</f>
        <v/>
      </c>
      <c r="F75" s="1037">
        <f>IF(AND(Data!R74&lt;&gt;"",Data!L74="Accepté"),Data!S74,"")</f>
        <v/>
      </c>
      <c r="G75" s="1038">
        <f>IF(Data!R74='Delivery Plan'!E75,Data!U74,"")</f>
        <v/>
      </c>
      <c r="H75" s="327" t="n"/>
      <c r="I75" s="329">
        <f>IF(J75&lt;&gt;"","S"&amp;TEXT(WEEKNUM(J75),"00"),"")</f>
        <v/>
      </c>
      <c r="J75" s="330">
        <f>IF(AND(E75=Data!R74,Data!AA74&lt;&gt;""),Data!AA74,"")</f>
        <v/>
      </c>
      <c r="K75" s="751">
        <f>IF(AND(E75=Data!R74,Data!AE74&lt;&gt;""),Data!AE74,"")</f>
        <v/>
      </c>
      <c r="L75" s="1039">
        <f>IF(E75=Data!R74,Data!AI74,"")</f>
        <v/>
      </c>
      <c r="M75" s="1039">
        <f>IF(E75=Data!R74,Data!AJ74,"")</f>
        <v/>
      </c>
      <c r="N75">
        <f>IF(AND(Data!R74&lt;&gt;"",Data!L74="Accepté"),Data!K74,"")</f>
        <v/>
      </c>
    </row>
    <row r="76" hidden="1" s="701">
      <c r="A76" s="164">
        <f>IF(AND(Data!R75&lt;&gt;"",Data!L75="Accepté"),Data!G75,"")</f>
        <v/>
      </c>
      <c r="B76" s="164">
        <f>IF(AND(Data!R75&lt;&gt;"",Data!L75="Accepté"),Data!L75,"")</f>
        <v/>
      </c>
      <c r="C76" s="329">
        <f>IF(D76&lt;&gt;"","S"&amp;TEXT(WEEKNUM(D76),"00"),"")</f>
        <v/>
      </c>
      <c r="D76" s="330">
        <f>IF(AND(Data!Q75&lt;&gt;"",Data!L75="Accepté"),Data!Q75,"")</f>
        <v/>
      </c>
      <c r="E76" s="106">
        <f>IF(AND(Data!R75&lt;&gt;"",Data!L75="Accepté"),Data!R75,"")</f>
        <v/>
      </c>
      <c r="F76" s="1037">
        <f>IF(AND(Data!R75&lt;&gt;"",Data!L75="Accepté"),Data!S75,"")</f>
        <v/>
      </c>
      <c r="G76" s="1038">
        <f>IF(Data!R75='Delivery Plan'!E76,Data!U75,"")</f>
        <v/>
      </c>
      <c r="H76" s="327" t="n"/>
      <c r="I76" s="329">
        <f>IF(J76&lt;&gt;"","S"&amp;TEXT(WEEKNUM(J76),"00"),"")</f>
        <v/>
      </c>
      <c r="J76" s="330">
        <f>IF(AND(E76=Data!R75,Data!AA75&lt;&gt;""),Data!AA75,"")</f>
        <v/>
      </c>
      <c r="K76" s="751">
        <f>IF(AND(E76=Data!R75,Data!AE75&lt;&gt;""),Data!AE75,"")</f>
        <v/>
      </c>
      <c r="L76" s="1039">
        <f>IF(E76=Data!R75,Data!AI75,"")</f>
        <v/>
      </c>
      <c r="M76" s="1039">
        <f>IF(E76=Data!R75,Data!AJ75,"")</f>
        <v/>
      </c>
      <c r="N76">
        <f>IF(AND(Data!R75&lt;&gt;"",Data!L75="Accepté"),Data!K75,"")</f>
        <v/>
      </c>
    </row>
    <row r="77" hidden="1" s="701">
      <c r="A77" s="164">
        <f>IF(AND(Data!R76&lt;&gt;"",Data!L76="Accepté"),Data!G76,"")</f>
        <v/>
      </c>
      <c r="B77" s="164">
        <f>IF(AND(Data!R76&lt;&gt;"",Data!L76="Accepté"),Data!L76,"")</f>
        <v/>
      </c>
      <c r="C77" s="329">
        <f>IF(D77&lt;&gt;"","S"&amp;TEXT(WEEKNUM(D77),"00"),"")</f>
        <v/>
      </c>
      <c r="D77" s="330">
        <f>IF(AND(Data!Q76&lt;&gt;"",Data!L76="Accepté"),Data!Q76,"")</f>
        <v/>
      </c>
      <c r="E77" s="106">
        <f>IF(AND(Data!R76&lt;&gt;"",Data!L76="Accepté"),Data!R76,"")</f>
        <v/>
      </c>
      <c r="F77" s="1037">
        <f>IF(AND(Data!R76&lt;&gt;"",Data!L76="Accepté"),Data!S76,"")</f>
        <v/>
      </c>
      <c r="G77" s="1038">
        <f>IF(Data!R76='Delivery Plan'!E77,Data!U76,"")</f>
        <v/>
      </c>
      <c r="H77" s="327" t="n"/>
      <c r="I77" s="329">
        <f>IF(J77&lt;&gt;"","S"&amp;TEXT(WEEKNUM(J77),"00"),"")</f>
        <v/>
      </c>
      <c r="J77" s="330">
        <f>IF(AND(E77=Data!R76,Data!AA76&lt;&gt;""),Data!AA76,"")</f>
        <v/>
      </c>
      <c r="K77" s="751">
        <f>IF(AND(E77=Data!R76,Data!AE76&lt;&gt;""),Data!AE76,"")</f>
        <v/>
      </c>
      <c r="L77" s="1039">
        <f>IF(E77=Data!R76,Data!AI76,"")</f>
        <v/>
      </c>
      <c r="M77" s="1039">
        <f>IF(E77=Data!R76,Data!AJ76,"")</f>
        <v/>
      </c>
      <c r="N77">
        <f>IF(AND(Data!R76&lt;&gt;"",Data!L76="Accepté"),Data!K76,"")</f>
        <v/>
      </c>
    </row>
    <row r="78" hidden="1" s="701">
      <c r="A78" s="164">
        <f>IF(AND(Data!R77&lt;&gt;"",Data!L77="Accepté"),Data!G77,"")</f>
        <v/>
      </c>
      <c r="B78" s="164">
        <f>IF(AND(Data!R77&lt;&gt;"",Data!L77="Accepté"),Data!L77,"")</f>
        <v/>
      </c>
      <c r="C78" s="329">
        <f>IF(D78&lt;&gt;"","S"&amp;TEXT(WEEKNUM(D78),"00"),"")</f>
        <v/>
      </c>
      <c r="D78" s="330">
        <f>IF(AND(Data!Q77&lt;&gt;"",Data!L77="Accepté"),Data!Q77,"")</f>
        <v/>
      </c>
      <c r="E78" s="106">
        <f>IF(AND(Data!R77&lt;&gt;"",Data!L77="Accepté"),Data!R77,"")</f>
        <v/>
      </c>
      <c r="F78" s="1037">
        <f>IF(AND(Data!R77&lt;&gt;"",Data!L77="Accepté"),Data!S77,"")</f>
        <v/>
      </c>
      <c r="G78" s="1038">
        <f>IF(Data!R77='Delivery Plan'!E78,Data!U77,"")</f>
        <v/>
      </c>
      <c r="H78" s="327" t="n"/>
      <c r="I78" s="329">
        <f>IF(J78&lt;&gt;"","S"&amp;TEXT(WEEKNUM(J78),"00"),"")</f>
        <v/>
      </c>
      <c r="J78" s="330">
        <f>IF(AND(E78=Data!R77,Data!AA77&lt;&gt;""),Data!AA77,"")</f>
        <v/>
      </c>
      <c r="K78" s="751">
        <f>IF(AND(E78=Data!R77,Data!AE77&lt;&gt;""),Data!AE77,"")</f>
        <v/>
      </c>
      <c r="L78" s="1039">
        <f>IF(E78=Data!R77,Data!AI77,"")</f>
        <v/>
      </c>
      <c r="M78" s="1039">
        <f>IF(E78=Data!R77,Data!AJ77,"")</f>
        <v/>
      </c>
      <c r="N78">
        <f>IF(AND(Data!R77&lt;&gt;"",Data!L77="Accepté"),Data!K77,"")</f>
        <v/>
      </c>
    </row>
    <row r="79" hidden="1" s="701">
      <c r="A79" s="164">
        <f>IF(AND(Data!R78&lt;&gt;"",Data!L78="Accepté"),Data!G78,"")</f>
        <v/>
      </c>
      <c r="B79" s="164">
        <f>IF(AND(Data!R78&lt;&gt;"",Data!L78="Accepté"),Data!L78,"")</f>
        <v/>
      </c>
      <c r="C79" s="329">
        <f>IF(D79&lt;&gt;"","S"&amp;TEXT(WEEKNUM(D79),"00"),"")</f>
        <v/>
      </c>
      <c r="D79" s="330">
        <f>IF(AND(Data!Q78&lt;&gt;"",Data!L78="Accepté"),Data!Q78,"")</f>
        <v/>
      </c>
      <c r="E79" s="106">
        <f>IF(AND(Data!R78&lt;&gt;"",Data!L78="Accepté"),Data!R78,"")</f>
        <v/>
      </c>
      <c r="F79" s="1037">
        <f>IF(AND(Data!R78&lt;&gt;"",Data!L78="Accepté"),Data!S78,"")</f>
        <v/>
      </c>
      <c r="G79" s="1038">
        <f>IF(Data!R78='Delivery Plan'!E79,Data!U78,"")</f>
        <v/>
      </c>
      <c r="H79" s="327" t="n"/>
      <c r="I79" s="329">
        <f>IF(J79&lt;&gt;"","S"&amp;TEXT(WEEKNUM(J79),"00"),"")</f>
        <v/>
      </c>
      <c r="J79" s="330">
        <f>IF(AND(E79=Data!R78,Data!AA78&lt;&gt;""),Data!AA78,"")</f>
        <v/>
      </c>
      <c r="K79" s="751">
        <f>IF(AND(E79=Data!R78,Data!AE78&lt;&gt;""),Data!AE78,"")</f>
        <v/>
      </c>
      <c r="L79" s="1039">
        <f>IF(E79=Data!R78,Data!AI78,"")</f>
        <v/>
      </c>
      <c r="M79" s="1039">
        <f>IF(E79=Data!R78,Data!AJ78,"")</f>
        <v/>
      </c>
      <c r="N79">
        <f>IF(AND(Data!R78&lt;&gt;"",Data!L78="Accepté"),Data!K78,"")</f>
        <v/>
      </c>
    </row>
    <row r="80" hidden="1" s="701">
      <c r="A80" s="164">
        <f>IF(AND(Data!R79&lt;&gt;"",Data!L79="Accepté"),Data!G79,"")</f>
        <v/>
      </c>
      <c r="B80" s="164">
        <f>IF(AND(Data!R79&lt;&gt;"",Data!L79="Accepté"),Data!L79,"")</f>
        <v/>
      </c>
      <c r="C80" s="329">
        <f>IF(D80&lt;&gt;"","S"&amp;TEXT(WEEKNUM(D80),"00"),"")</f>
        <v/>
      </c>
      <c r="D80" s="330">
        <f>IF(AND(Data!Q79&lt;&gt;"",Data!L79="Accepté"),Data!Q79,"")</f>
        <v/>
      </c>
      <c r="E80" s="106">
        <f>IF(AND(Data!R79&lt;&gt;"",Data!L79="Accepté"),Data!R79,"")</f>
        <v/>
      </c>
      <c r="F80" s="1037">
        <f>IF(AND(Data!R79&lt;&gt;"",Data!L79="Accepté"),Data!S79,"")</f>
        <v/>
      </c>
      <c r="G80" s="1038">
        <f>IF(Data!R79='Delivery Plan'!E80,Data!U79,"")</f>
        <v/>
      </c>
      <c r="H80" s="327" t="n"/>
      <c r="I80" s="329">
        <f>IF(J80&lt;&gt;"","S"&amp;TEXT(WEEKNUM(J80),"00"),"")</f>
        <v/>
      </c>
      <c r="J80" s="330">
        <f>IF(AND(E80=Data!R79,Data!AA79&lt;&gt;""),Data!AA79,"")</f>
        <v/>
      </c>
      <c r="K80" s="751">
        <f>IF(AND(E80=Data!R79,Data!AE79&lt;&gt;""),Data!AE79,"")</f>
        <v/>
      </c>
      <c r="L80" s="1039">
        <f>IF(E80=Data!R79,Data!AI79,"")</f>
        <v/>
      </c>
      <c r="M80" s="1039">
        <f>IF(E80=Data!R79,Data!AJ79,"")</f>
        <v/>
      </c>
      <c r="N80">
        <f>IF(AND(Data!R79&lt;&gt;"",Data!L79="Accepté"),Data!K79,"")</f>
        <v/>
      </c>
    </row>
    <row r="81" hidden="1" s="701">
      <c r="A81" s="164">
        <f>IF(AND(Data!R80&lt;&gt;"",Data!L80="Accepté"),Data!G80,"")</f>
        <v/>
      </c>
      <c r="B81" s="164">
        <f>IF(AND(Data!R80&lt;&gt;"",Data!L80="Accepté"),Data!L80,"")</f>
        <v/>
      </c>
      <c r="C81" s="329">
        <f>IF(D81&lt;&gt;"","S"&amp;TEXT(WEEKNUM(D81),"00"),"")</f>
        <v/>
      </c>
      <c r="D81" s="330">
        <f>IF(AND(Data!Q80&lt;&gt;"",Data!L80="Accepté"),Data!Q80,"")</f>
        <v/>
      </c>
      <c r="E81" s="106">
        <f>IF(AND(Data!R80&lt;&gt;"",Data!L80="Accepté"),Data!R80,"")</f>
        <v/>
      </c>
      <c r="F81" s="1037">
        <f>IF(AND(Data!R80&lt;&gt;"",Data!L80="Accepté"),Data!S80,"")</f>
        <v/>
      </c>
      <c r="G81" s="1038">
        <f>IF(Data!R80='Delivery Plan'!E81,Data!U80,"")</f>
        <v/>
      </c>
      <c r="H81" s="327" t="n"/>
      <c r="I81" s="329">
        <f>IF(J81&lt;&gt;"","S"&amp;TEXT(WEEKNUM(J81),"00"),"")</f>
        <v/>
      </c>
      <c r="J81" s="330">
        <f>IF(AND(E81=Data!R80,Data!AA80&lt;&gt;""),Data!AA80,"")</f>
        <v/>
      </c>
      <c r="K81" s="751">
        <f>IF(AND(E81=Data!R80,Data!AE80&lt;&gt;""),Data!AE80,"")</f>
        <v/>
      </c>
      <c r="L81" s="1039">
        <f>IF(E81=Data!R80,Data!AI80,"")</f>
        <v/>
      </c>
      <c r="M81" s="1039">
        <f>IF(E81=Data!R80,Data!AJ80,"")</f>
        <v/>
      </c>
      <c r="N81">
        <f>IF(AND(Data!R80&lt;&gt;"",Data!L80="Accepté"),Data!K80,"")</f>
        <v/>
      </c>
    </row>
    <row r="82" hidden="1" s="701">
      <c r="A82" s="164">
        <f>IF(AND(Data!R81&lt;&gt;"",Data!L81="Accepté"),Data!G81,"")</f>
        <v/>
      </c>
      <c r="B82" s="164">
        <f>IF(AND(Data!R81&lt;&gt;"",Data!L81="Accepté"),Data!L81,"")</f>
        <v/>
      </c>
      <c r="C82" s="329">
        <f>IF(D82&lt;&gt;"","S"&amp;TEXT(WEEKNUM(D82),"00"),"")</f>
        <v/>
      </c>
      <c r="D82" s="330">
        <f>IF(AND(Data!Q81&lt;&gt;"",Data!L81="Accepté"),Data!Q81,"")</f>
        <v/>
      </c>
      <c r="E82" s="106">
        <f>IF(AND(Data!R81&lt;&gt;"",Data!L81="Accepté"),Data!R81,"")</f>
        <v/>
      </c>
      <c r="F82" s="1037">
        <f>IF(AND(Data!R81&lt;&gt;"",Data!L81="Accepté"),Data!S81,"")</f>
        <v/>
      </c>
      <c r="G82" s="1038">
        <f>IF(Data!R81='Delivery Plan'!E82,Data!U81,"")</f>
        <v/>
      </c>
      <c r="H82" s="327" t="n"/>
      <c r="I82" s="329">
        <f>IF(J82&lt;&gt;"","S"&amp;TEXT(WEEKNUM(J82),"00"),"")</f>
        <v/>
      </c>
      <c r="J82" s="330">
        <f>IF(AND(E82=Data!R81,Data!AA81&lt;&gt;""),Data!AA81,"")</f>
        <v/>
      </c>
      <c r="K82" s="751">
        <f>IF(AND(E82=Data!R81,Data!AE81&lt;&gt;""),Data!AE81,"")</f>
        <v/>
      </c>
      <c r="L82" s="1039">
        <f>IF(E82=Data!R81,Data!AI81,"")</f>
        <v/>
      </c>
      <c r="M82" s="1039">
        <f>IF(E82=Data!R81,Data!AJ81,"")</f>
        <v/>
      </c>
      <c r="N82">
        <f>IF(AND(Data!R81&lt;&gt;"",Data!L81="Accepté"),Data!K81,"")</f>
        <v/>
      </c>
    </row>
    <row r="83" hidden="1" s="701">
      <c r="A83" s="164">
        <f>IF(AND(Data!R82&lt;&gt;"",Data!L82="Accepté"),Data!G82,"")</f>
        <v/>
      </c>
      <c r="B83" s="164">
        <f>IF(AND(Data!R82&lt;&gt;"",Data!L82="Accepté"),Data!L82,"")</f>
        <v/>
      </c>
      <c r="C83" s="329">
        <f>IF(D83&lt;&gt;"","S"&amp;TEXT(WEEKNUM(D83),"00"),"")</f>
        <v/>
      </c>
      <c r="D83" s="330">
        <f>IF(AND(Data!Q82&lt;&gt;"",Data!L82="Accepté"),Data!Q82,"")</f>
        <v/>
      </c>
      <c r="E83" s="106">
        <f>IF(AND(Data!R82&lt;&gt;"",Data!L82="Accepté"),Data!R82,"")</f>
        <v/>
      </c>
      <c r="F83" s="1037">
        <f>IF(AND(Data!R82&lt;&gt;"",Data!L82="Accepté"),Data!S82,"")</f>
        <v/>
      </c>
      <c r="G83" s="1038">
        <f>IF(Data!R82='Delivery Plan'!E83,Data!U82,"")</f>
        <v/>
      </c>
      <c r="H83" s="327" t="n"/>
      <c r="I83" s="329">
        <f>IF(J83&lt;&gt;"","S"&amp;TEXT(WEEKNUM(J83),"00"),"")</f>
        <v/>
      </c>
      <c r="J83" s="330">
        <f>IF(AND(E83=Data!R82,Data!AA82&lt;&gt;""),Data!AA82,"")</f>
        <v/>
      </c>
      <c r="K83" s="751">
        <f>IF(AND(E83=Data!R82,Data!AE82&lt;&gt;""),Data!AE82,"")</f>
        <v/>
      </c>
      <c r="L83" s="1039">
        <f>IF(E83=Data!R82,Data!AI82,"")</f>
        <v/>
      </c>
      <c r="M83" s="1039">
        <f>IF(E83=Data!R82,Data!AJ82,"")</f>
        <v/>
      </c>
      <c r="N83">
        <f>IF(AND(Data!R82&lt;&gt;"",Data!L82="Accepté"),Data!K82,"")</f>
        <v/>
      </c>
    </row>
    <row r="84">
      <c r="A84" s="164">
        <f>IF(AND(Data!R83&lt;&gt;"",Data!L83="Accepté"),Data!G83,"")</f>
        <v/>
      </c>
      <c r="B84" s="164">
        <f>IF(AND(Data!R83&lt;&gt;"",Data!L83="Accepté"),Data!L83,"")</f>
        <v/>
      </c>
      <c r="C84" s="329">
        <f>IF(D84&lt;&gt;"","S"&amp;TEXT(WEEKNUM(D84),"00"),"")</f>
        <v/>
      </c>
      <c r="D84" s="330">
        <f>IF(AND(Data!Q83&lt;&gt;"",Data!L83="Accepté"),Data!Q83,"")</f>
        <v/>
      </c>
      <c r="E84" s="106">
        <f>IF(AND(Data!R83&lt;&gt;"",Data!L83="Accepté"),Data!R83,"")</f>
        <v/>
      </c>
      <c r="F84" s="1037">
        <f>IF(AND(Data!R83&lt;&gt;"",Data!L83="Accepté"),Data!S83,"")</f>
        <v/>
      </c>
      <c r="G84" s="1038">
        <f>IF(Data!R83='Delivery Plan'!E84,Data!U83,"")</f>
        <v/>
      </c>
      <c r="H84" s="327" t="n"/>
      <c r="I84" s="329">
        <f>IF(J84&lt;&gt;"","S"&amp;TEXT(WEEKNUM(J84),"00"),"")</f>
        <v/>
      </c>
      <c r="J84" s="330">
        <f>IF(AND(E84=Data!R83,Data!AA83&lt;&gt;""),Data!AA83,"")</f>
        <v/>
      </c>
      <c r="K84" s="751">
        <f>IF(AND(E84=Data!R83,Data!AE83&lt;&gt;""),Data!AE83,"")</f>
        <v/>
      </c>
      <c r="L84" s="1039">
        <f>IF(E84=Data!R83,Data!AI83,"")</f>
        <v/>
      </c>
      <c r="M84" s="1039">
        <f>IF(E84=Data!R83,Data!AJ83,"")</f>
        <v/>
      </c>
      <c r="N84">
        <f>IF(AND(Data!R83&lt;&gt;"",Data!L83="Accepté"),Data!K83,"")</f>
        <v/>
      </c>
    </row>
    <row r="85">
      <c r="A85" s="164">
        <f>IF(AND(Data!R84&lt;&gt;"",Data!L84="Accepté"),Data!G84,"")</f>
        <v/>
      </c>
      <c r="B85" s="164">
        <f>IF(AND(Data!R84&lt;&gt;"",Data!L84="Accepté"),Data!L84,"")</f>
        <v/>
      </c>
      <c r="C85" s="329">
        <f>IF(D85&lt;&gt;"","S"&amp;TEXT(WEEKNUM(D85),"00"),"")</f>
        <v/>
      </c>
      <c r="D85" s="330">
        <f>IF(AND(Data!Q84&lt;&gt;"",Data!L84="Accepté"),Data!Q84,"")</f>
        <v/>
      </c>
      <c r="E85" s="106">
        <f>IF(AND(Data!R84&lt;&gt;"",Data!L84="Accepté"),Data!R84,"")</f>
        <v/>
      </c>
      <c r="F85" s="1037">
        <f>IF(AND(Data!R84&lt;&gt;"",Data!L84="Accepté"),Data!S84,"")</f>
        <v/>
      </c>
      <c r="G85" s="1038">
        <f>IF(Data!R84='Delivery Plan'!E85,Data!U84,"")</f>
        <v/>
      </c>
      <c r="H85" s="327" t="n"/>
      <c r="I85" s="329">
        <f>IF(J85&lt;&gt;"","S"&amp;TEXT(WEEKNUM(J85),"00"),"")</f>
        <v/>
      </c>
      <c r="J85" s="330">
        <f>IF(AND(E85=Data!R84,Data!AA84&lt;&gt;""),Data!AA84,"")</f>
        <v/>
      </c>
      <c r="K85" s="751">
        <f>IF(AND(E85=Data!R84,Data!AE84&lt;&gt;""),Data!AE84,"")</f>
        <v/>
      </c>
      <c r="L85" s="1039">
        <f>IF(E85=Data!R84,Data!AI84,"")</f>
        <v/>
      </c>
      <c r="M85" s="1039">
        <f>IF(E85=Data!R84,Data!AJ84,"")</f>
        <v/>
      </c>
      <c r="N85">
        <f>IF(AND(Data!R84&lt;&gt;"",Data!L84="Accepté"),Data!K84,"")</f>
        <v/>
      </c>
    </row>
    <row r="86">
      <c r="A86" s="164">
        <f>IF(AND(Data!R85&lt;&gt;"",Data!L85="Accepté"),Data!G85,"")</f>
        <v/>
      </c>
      <c r="B86" s="164">
        <f>IF(AND(Data!R85&lt;&gt;"",Data!L85="Accepté"),Data!L85,"")</f>
        <v/>
      </c>
      <c r="C86" s="329">
        <f>IF(D86&lt;&gt;"","S"&amp;TEXT(WEEKNUM(D86),"00"),"")</f>
        <v/>
      </c>
      <c r="D86" s="330">
        <f>IF(AND(Data!Q85&lt;&gt;"",Data!L85="Accepté"),Data!Q85,"")</f>
        <v/>
      </c>
      <c r="E86" s="106">
        <f>IF(AND(Data!R85&lt;&gt;"",Data!L85="Accepté"),Data!R85,"")</f>
        <v/>
      </c>
      <c r="F86" s="1037">
        <f>IF(AND(Data!R85&lt;&gt;"",Data!L85="Accepté"),Data!S85,"")</f>
        <v/>
      </c>
      <c r="G86" s="1038">
        <f>IF(Data!R85='Delivery Plan'!E86,Data!U85,"")</f>
        <v/>
      </c>
      <c r="H86" s="327" t="n"/>
      <c r="I86" s="329">
        <f>IF(J86&lt;&gt;"","S"&amp;TEXT(WEEKNUM(J86),"00"),"")</f>
        <v/>
      </c>
      <c r="J86" s="330">
        <f>IF(AND(E86=Data!R85,Data!AA85&lt;&gt;""),Data!AA85,"")</f>
        <v/>
      </c>
      <c r="K86" s="751">
        <f>IF(AND(E86=Data!R85,Data!AE85&lt;&gt;""),Data!AE85,"")</f>
        <v/>
      </c>
      <c r="L86" s="1039">
        <f>IF(E86=Data!R85,Data!AI85,"")</f>
        <v/>
      </c>
      <c r="M86" s="1039">
        <f>IF(E86=Data!R85,Data!AJ85,"")</f>
        <v/>
      </c>
      <c r="N86">
        <f>IF(AND(Data!R85&lt;&gt;"",Data!L85="Accepté"),Data!K85,"")</f>
        <v/>
      </c>
    </row>
    <row r="87">
      <c r="A87" s="164">
        <f>IF(AND(Data!R86&lt;&gt;"",Data!L86="Accepté"),Data!G86,"")</f>
        <v/>
      </c>
      <c r="B87" s="164">
        <f>IF(AND(Data!R86&lt;&gt;"",Data!L86="Accepté"),Data!L86,"")</f>
        <v/>
      </c>
      <c r="C87" s="329">
        <f>IF(D87&lt;&gt;"","S"&amp;TEXT(WEEKNUM(D87),"00"),"")</f>
        <v/>
      </c>
      <c r="D87" s="330">
        <f>IF(AND(Data!Q86&lt;&gt;"",Data!L86="Accepté"),Data!Q86,"")</f>
        <v/>
      </c>
      <c r="E87" s="106">
        <f>IF(AND(Data!R86&lt;&gt;"",Data!L86="Accepté"),Data!R86,"")</f>
        <v/>
      </c>
      <c r="F87" s="1037">
        <f>IF(AND(Data!R86&lt;&gt;"",Data!L86="Accepté"),Data!S86,"")</f>
        <v/>
      </c>
      <c r="G87" s="1038">
        <f>IF(Data!R86='Delivery Plan'!E87,Data!U86,"")</f>
        <v/>
      </c>
      <c r="H87" s="327" t="n"/>
      <c r="I87" s="329">
        <f>IF(J87&lt;&gt;"","S"&amp;TEXT(WEEKNUM(J87),"00"),"")</f>
        <v/>
      </c>
      <c r="J87" s="330">
        <f>IF(AND(E87=Data!R86,Data!AA86&lt;&gt;""),Data!AA86,"")</f>
        <v/>
      </c>
      <c r="K87" s="751">
        <f>IF(AND(E87=Data!R86,Data!AE86&lt;&gt;""),Data!AE86,"")</f>
        <v/>
      </c>
      <c r="L87" s="1039">
        <f>IF(E87=Data!R86,Data!AI86,"")</f>
        <v/>
      </c>
      <c r="M87" s="1039">
        <f>IF(E87=Data!R86,Data!AJ86,"")</f>
        <v/>
      </c>
      <c r="N87">
        <f>IF(AND(Data!R86&lt;&gt;"",Data!L86="Accepté"),Data!K86,"")</f>
        <v/>
      </c>
    </row>
    <row r="88" hidden="1" s="701">
      <c r="A88" s="164">
        <f>IF(AND(Data!R87&lt;&gt;"",Data!L87="Accepté"),Data!G87,"")</f>
        <v/>
      </c>
      <c r="B88" s="164">
        <f>IF(AND(Data!R87&lt;&gt;"",Data!L87="Accepté"),Data!L87,"")</f>
        <v/>
      </c>
      <c r="C88" s="329">
        <f>IF(D88&lt;&gt;"","S"&amp;TEXT(WEEKNUM(D88),"00"),"")</f>
        <v/>
      </c>
      <c r="D88" s="330">
        <f>IF(AND(Data!Q87&lt;&gt;"",Data!L87="Accepté"),Data!Q87,"")</f>
        <v/>
      </c>
      <c r="E88" s="106">
        <f>IF(AND(Data!R87&lt;&gt;"",Data!L87="Accepté"),Data!R87,"")</f>
        <v/>
      </c>
      <c r="F88" s="1037">
        <f>IF(AND(Data!R87&lt;&gt;"",Data!L87="Accepté"),Data!S87,"")</f>
        <v/>
      </c>
      <c r="G88" s="1038">
        <f>IF(Data!R87='Delivery Plan'!E88,Data!U87,"")</f>
        <v/>
      </c>
      <c r="H88" s="327" t="n"/>
      <c r="I88" s="329">
        <f>IF(J88&lt;&gt;"","S"&amp;TEXT(WEEKNUM(J88),"00"),"")</f>
        <v/>
      </c>
      <c r="J88" s="330">
        <f>IF(AND(E88=Data!R87,Data!AA87&lt;&gt;""),Data!AA87,"")</f>
        <v/>
      </c>
      <c r="K88" s="751">
        <f>IF(AND(E88=Data!R87,Data!AE87&lt;&gt;""),Data!AE87,"")</f>
        <v/>
      </c>
      <c r="L88" s="1039">
        <f>IF(E88=Data!R87,Data!AI87,"")</f>
        <v/>
      </c>
      <c r="M88" s="1039">
        <f>IF(E88=Data!R87,Data!AJ87,"")</f>
        <v/>
      </c>
      <c r="N88">
        <f>IF(AND(Data!R87&lt;&gt;"",Data!L87="Accepté"),Data!K87,"")</f>
        <v/>
      </c>
    </row>
    <row r="89" hidden="1" s="701">
      <c r="A89" s="164">
        <f>IF(AND(Data!R88&lt;&gt;"",Data!L88="Accepté"),Data!G88,"")</f>
        <v/>
      </c>
      <c r="B89" s="164">
        <f>IF(AND(Data!R88&lt;&gt;"",Data!L88="Accepté"),Data!L88,"")</f>
        <v/>
      </c>
      <c r="C89" s="329">
        <f>IF(D89&lt;&gt;"","S"&amp;TEXT(WEEKNUM(D89),"00"),"")</f>
        <v/>
      </c>
      <c r="D89" s="330">
        <f>IF(AND(Data!Q88&lt;&gt;"",Data!L88="Accepté"),Data!Q88,"")</f>
        <v/>
      </c>
      <c r="E89" s="106">
        <f>IF(AND(Data!R88&lt;&gt;"",Data!L88="Accepté"),Data!R88,"")</f>
        <v/>
      </c>
      <c r="F89" s="1037">
        <f>IF(AND(Data!R88&lt;&gt;"",Data!L88="Accepté"),Data!S88,"")</f>
        <v/>
      </c>
      <c r="G89" s="1038">
        <f>IF(Data!R88='Delivery Plan'!E89,Data!U88,"")</f>
        <v/>
      </c>
      <c r="H89" s="327" t="n"/>
      <c r="I89" s="329">
        <f>IF(J89&lt;&gt;"","S"&amp;TEXT(WEEKNUM(J89),"00"),"")</f>
        <v/>
      </c>
      <c r="J89" s="330">
        <f>IF(AND(E89=Data!R88,Data!AA88&lt;&gt;""),Data!AA88,"")</f>
        <v/>
      </c>
      <c r="K89" s="751">
        <f>IF(AND(E89=Data!R88,Data!AE88&lt;&gt;""),Data!AE88,"")</f>
        <v/>
      </c>
      <c r="L89" s="1039">
        <f>IF(E89=Data!R88,Data!AI88,"")</f>
        <v/>
      </c>
      <c r="M89" s="1039">
        <f>IF(E89=Data!R88,Data!AJ88,"")</f>
        <v/>
      </c>
      <c r="N89">
        <f>IF(AND(Data!R88&lt;&gt;"",Data!L88="Accepté"),Data!K88,"")</f>
        <v/>
      </c>
    </row>
    <row r="90" hidden="1" s="701">
      <c r="A90" s="164">
        <f>IF(AND(Data!R89&lt;&gt;"",Data!L89="Accepté"),Data!G89,"")</f>
        <v/>
      </c>
      <c r="B90" s="164">
        <f>IF(AND(Data!R89&lt;&gt;"",Data!L89="Accepté"),Data!L89,"")</f>
        <v/>
      </c>
      <c r="C90" s="329">
        <f>IF(D90&lt;&gt;"","S"&amp;TEXT(WEEKNUM(D90),"00"),"")</f>
        <v/>
      </c>
      <c r="D90" s="330">
        <f>IF(AND(Data!Q89&lt;&gt;"",Data!L89="Accepté"),Data!Q89,"")</f>
        <v/>
      </c>
      <c r="E90" s="106">
        <f>IF(AND(Data!R89&lt;&gt;"",Data!L89="Accepté"),Data!R89,"")</f>
        <v/>
      </c>
      <c r="F90" s="1037">
        <f>IF(AND(Data!R89&lt;&gt;"",Data!L89="Accepté"),Data!S89,"")</f>
        <v/>
      </c>
      <c r="G90" s="1038">
        <f>IF(Data!R89='Delivery Plan'!E90,Data!U89,"")</f>
        <v/>
      </c>
      <c r="H90" s="327" t="n"/>
      <c r="I90" s="329">
        <f>IF(J90&lt;&gt;"","S"&amp;TEXT(WEEKNUM(J90),"00"),"")</f>
        <v/>
      </c>
      <c r="J90" s="330">
        <f>IF(AND(E90=Data!R89,Data!AA89&lt;&gt;""),Data!AA89,"")</f>
        <v/>
      </c>
      <c r="K90" s="751">
        <f>IF(AND(E90=Data!R89,Data!AE89&lt;&gt;""),Data!AE89,"")</f>
        <v/>
      </c>
      <c r="L90" s="1039">
        <f>IF(E90=Data!R89,Data!AI89,"")</f>
        <v/>
      </c>
      <c r="M90" s="1039">
        <f>IF(E90=Data!R89,Data!AJ89,"")</f>
        <v/>
      </c>
      <c r="N90">
        <f>IF(AND(Data!R89&lt;&gt;"",Data!L89="Accepté"),Data!K89,"")</f>
        <v/>
      </c>
    </row>
    <row r="91" hidden="1" s="701">
      <c r="A91" s="164">
        <f>IF(AND(Data!R90&lt;&gt;"",Data!L90="Accepté"),Data!G90,"")</f>
        <v/>
      </c>
      <c r="B91" s="164">
        <f>IF(AND(Data!R90&lt;&gt;"",Data!L90="Accepté"),Data!L90,"")</f>
        <v/>
      </c>
      <c r="C91" s="329">
        <f>IF(D91&lt;&gt;"","S"&amp;TEXT(WEEKNUM(D91),"00"),"")</f>
        <v/>
      </c>
      <c r="D91" s="330">
        <f>IF(AND(Data!Q90&lt;&gt;"",Data!L90="Accepté"),Data!Q90,"")</f>
        <v/>
      </c>
      <c r="E91" s="106">
        <f>IF(AND(Data!R90&lt;&gt;"",Data!L90="Accepté"),Data!R90,"")</f>
        <v/>
      </c>
      <c r="F91" s="1037">
        <f>IF(AND(Data!R90&lt;&gt;"",Data!L90="Accepté"),Data!S90,"")</f>
        <v/>
      </c>
      <c r="G91" s="1038">
        <f>IF(Data!R90='Delivery Plan'!E91,Data!U90,"")</f>
        <v/>
      </c>
      <c r="H91" s="327" t="n"/>
      <c r="I91" s="329">
        <f>IF(J91&lt;&gt;"","S"&amp;TEXT(WEEKNUM(J91),"00"),"")</f>
        <v/>
      </c>
      <c r="J91" s="330">
        <f>IF(AND(E91=Data!R90,Data!AA90&lt;&gt;""),Data!AA90,"")</f>
        <v/>
      </c>
      <c r="K91" s="751">
        <f>IF(AND(E91=Data!R90,Data!AE90&lt;&gt;""),Data!AE90,"")</f>
        <v/>
      </c>
      <c r="L91" s="1039">
        <f>IF(E91=Data!R90,Data!AI90,"")</f>
        <v/>
      </c>
      <c r="M91" s="1039">
        <f>IF(E91=Data!R90,Data!AJ90,"")</f>
        <v/>
      </c>
      <c r="N91">
        <f>IF(AND(Data!R90&lt;&gt;"",Data!L90="Accepté"),Data!K90,"")</f>
        <v/>
      </c>
    </row>
    <row r="92" hidden="1" s="701">
      <c r="A92" s="164">
        <f>IF(AND(Data!R91&lt;&gt;"",Data!L91="Accepté"),Data!G91,"")</f>
        <v/>
      </c>
      <c r="B92" s="164">
        <f>IF(AND(Data!R91&lt;&gt;"",Data!L91="Accepté"),Data!L91,"")</f>
        <v/>
      </c>
      <c r="C92" s="329">
        <f>IF(D92&lt;&gt;"","S"&amp;TEXT(WEEKNUM(D92),"00"),"")</f>
        <v/>
      </c>
      <c r="D92" s="330">
        <f>IF(AND(Data!Q91&lt;&gt;"",Data!L91="Accepté"),Data!Q91,"")</f>
        <v/>
      </c>
      <c r="E92" s="106">
        <f>IF(AND(Data!R91&lt;&gt;"",Data!L91="Accepté"),Data!R91,"")</f>
        <v/>
      </c>
      <c r="F92" s="1037">
        <f>IF(AND(Data!R91&lt;&gt;"",Data!L91="Accepté"),Data!S91,"")</f>
        <v/>
      </c>
      <c r="G92" s="1038">
        <f>IF(Data!R91='Delivery Plan'!E92,Data!U91,"")</f>
        <v/>
      </c>
      <c r="H92" s="327" t="n"/>
      <c r="I92" s="329">
        <f>IF(J92&lt;&gt;"","S"&amp;TEXT(WEEKNUM(J92),"00"),"")</f>
        <v/>
      </c>
      <c r="J92" s="330">
        <f>IF(AND(E92=Data!R91,Data!AA91&lt;&gt;""),Data!AA91,"")</f>
        <v/>
      </c>
      <c r="K92" s="751">
        <f>IF(AND(E92=Data!R91,Data!AE91&lt;&gt;""),Data!AE91,"")</f>
        <v/>
      </c>
      <c r="L92" s="1039">
        <f>IF(E92=Data!R91,Data!AI91,"")</f>
        <v/>
      </c>
      <c r="M92" s="1039">
        <f>IF(E92=Data!R91,Data!AJ91,"")</f>
        <v/>
      </c>
      <c r="N92">
        <f>IF(AND(Data!R91&lt;&gt;"",Data!L91="Accepté"),Data!K91,"")</f>
        <v/>
      </c>
    </row>
    <row r="93" hidden="1" s="701">
      <c r="A93" s="164">
        <f>IF(AND(Data!R92&lt;&gt;"",Data!L92="Accepté"),Data!G92,"")</f>
        <v/>
      </c>
      <c r="B93" s="164">
        <f>IF(AND(Data!R92&lt;&gt;"",Data!L92="Accepté"),Data!L92,"")</f>
        <v/>
      </c>
      <c r="C93" s="329">
        <f>IF(D93&lt;&gt;"","S"&amp;TEXT(WEEKNUM(D93),"00"),"")</f>
        <v/>
      </c>
      <c r="D93" s="330">
        <f>IF(AND(Data!Q92&lt;&gt;"",Data!L92="Accepté"),Data!Q92,"")</f>
        <v/>
      </c>
      <c r="E93" s="106">
        <f>IF(AND(Data!R92&lt;&gt;"",Data!L92="Accepté"),Data!R92,"")</f>
        <v/>
      </c>
      <c r="F93" s="1037">
        <f>IF(AND(Data!R92&lt;&gt;"",Data!L92="Accepté"),Data!S92,"")</f>
        <v/>
      </c>
      <c r="G93" s="1038">
        <f>IF(Data!R92='Delivery Plan'!E93,Data!U92,"")</f>
        <v/>
      </c>
      <c r="H93" s="327" t="n"/>
      <c r="I93" s="329">
        <f>IF(J93&lt;&gt;"","S"&amp;TEXT(WEEKNUM(J93),"00"),"")</f>
        <v/>
      </c>
      <c r="J93" s="330">
        <f>IF(AND(E93=Data!R92,Data!AA92&lt;&gt;""),Data!AA92,"")</f>
        <v/>
      </c>
      <c r="K93" s="751">
        <f>IF(AND(E93=Data!R92,Data!AE92&lt;&gt;""),Data!AE92,"")</f>
        <v/>
      </c>
      <c r="L93" s="1039">
        <f>IF(E93=Data!R92,Data!AI92,"")</f>
        <v/>
      </c>
      <c r="M93" s="1039">
        <f>IF(E93=Data!R92,Data!AJ92,"")</f>
        <v/>
      </c>
      <c r="N93">
        <f>IF(AND(Data!R92&lt;&gt;"",Data!L92="Accepté"),Data!K92,"")</f>
        <v/>
      </c>
    </row>
    <row r="94" hidden="1" s="701">
      <c r="A94" s="164">
        <f>IF(AND(Data!R93&lt;&gt;"",Data!L93="Accepté"),Data!G93,"")</f>
        <v/>
      </c>
      <c r="B94" s="164">
        <f>IF(AND(Data!R93&lt;&gt;"",Data!L93="Accepté"),Data!L93,"")</f>
        <v/>
      </c>
      <c r="C94" s="329">
        <f>IF(D94&lt;&gt;"","S"&amp;TEXT(WEEKNUM(D94),"00"),"")</f>
        <v/>
      </c>
      <c r="D94" s="330">
        <f>IF(AND(Data!Q93&lt;&gt;"",Data!L93="Accepté"),Data!Q93,"")</f>
        <v/>
      </c>
      <c r="E94" s="106">
        <f>IF(AND(Data!R93&lt;&gt;"",Data!L93="Accepté"),Data!R93,"")</f>
        <v/>
      </c>
      <c r="F94" s="1037">
        <f>IF(AND(Data!R93&lt;&gt;"",Data!L93="Accepté"),Data!S93,"")</f>
        <v/>
      </c>
      <c r="G94" s="1038">
        <f>IF(Data!R93='Delivery Plan'!E94,Data!U93,"")</f>
        <v/>
      </c>
      <c r="H94" s="327" t="n"/>
      <c r="I94" s="329">
        <f>IF(J94&lt;&gt;"","S"&amp;TEXT(WEEKNUM(J94),"00"),"")</f>
        <v/>
      </c>
      <c r="J94" s="330">
        <f>IF(AND(E94=Data!R93,Data!AA93&lt;&gt;""),Data!AA93,"")</f>
        <v/>
      </c>
      <c r="K94" s="751">
        <f>IF(AND(E94=Data!R93,Data!AE93&lt;&gt;""),Data!AE93,"")</f>
        <v/>
      </c>
      <c r="L94" s="1039">
        <f>IF(E94=Data!R93,Data!AI93,"")</f>
        <v/>
      </c>
      <c r="M94" s="1039">
        <f>IF(E94=Data!R93,Data!AJ93,"")</f>
        <v/>
      </c>
      <c r="N94">
        <f>IF(AND(Data!R93&lt;&gt;"",Data!L93="Accepté"),Data!K93,"")</f>
        <v/>
      </c>
    </row>
    <row r="95" hidden="1" s="701">
      <c r="A95" s="164">
        <f>IF(AND(Data!R94&lt;&gt;"",Data!L94="Accepté"),Data!G94,"")</f>
        <v/>
      </c>
      <c r="B95" s="164">
        <f>IF(AND(Data!R94&lt;&gt;"",Data!L94="Accepté"),Data!L94,"")</f>
        <v/>
      </c>
      <c r="C95" s="329">
        <f>IF(D95&lt;&gt;"","S"&amp;TEXT(WEEKNUM(D95),"00"),"")</f>
        <v/>
      </c>
      <c r="D95" s="330">
        <f>IF(AND(Data!Q94&lt;&gt;"",Data!L94="Accepté"),Data!Q94,"")</f>
        <v/>
      </c>
      <c r="E95" s="106">
        <f>IF(AND(Data!R94&lt;&gt;"",Data!L94="Accepté"),Data!R94,"")</f>
        <v/>
      </c>
      <c r="F95" s="1037">
        <f>IF(AND(Data!R94&lt;&gt;"",Data!L94="Accepté"),Data!S94,"")</f>
        <v/>
      </c>
      <c r="G95" s="1038">
        <f>IF(Data!R94='Delivery Plan'!E95,Data!U94,"")</f>
        <v/>
      </c>
      <c r="H95" s="327" t="n"/>
      <c r="I95" s="329">
        <f>IF(J95&lt;&gt;"","S"&amp;TEXT(WEEKNUM(J95),"00"),"")</f>
        <v/>
      </c>
      <c r="J95" s="330">
        <f>IF(AND(E95=Data!R94,Data!AA94&lt;&gt;""),Data!AA94,"")</f>
        <v/>
      </c>
      <c r="K95" s="751">
        <f>IF(AND(E95=Data!R94,Data!AE94&lt;&gt;""),Data!AE94,"")</f>
        <v/>
      </c>
      <c r="L95" s="1039">
        <f>IF(E95=Data!R94,Data!AI94,"")</f>
        <v/>
      </c>
      <c r="M95" s="1039">
        <f>IF(E95=Data!R94,Data!AJ94,"")</f>
        <v/>
      </c>
      <c r="N95">
        <f>IF(AND(Data!R94&lt;&gt;"",Data!L94="Accepté"),Data!K94,"")</f>
        <v/>
      </c>
    </row>
    <row r="96" hidden="1" s="701">
      <c r="A96" s="164">
        <f>IF(AND(Data!R95&lt;&gt;"",Data!L95="Accepté"),Data!G95,"")</f>
        <v/>
      </c>
      <c r="B96" s="164">
        <f>IF(AND(Data!R95&lt;&gt;"",Data!L95="Accepté"),Data!L95,"")</f>
        <v/>
      </c>
      <c r="C96" s="329">
        <f>IF(D96&lt;&gt;"","S"&amp;TEXT(WEEKNUM(D96),"00"),"")</f>
        <v/>
      </c>
      <c r="D96" s="330">
        <f>IF(AND(Data!Q95&lt;&gt;"",Data!L95="Accepté"),Data!Q95,"")</f>
        <v/>
      </c>
      <c r="E96" s="106">
        <f>IF(AND(Data!R95&lt;&gt;"",Data!L95="Accepté"),Data!R95,"")</f>
        <v/>
      </c>
      <c r="F96" s="1037">
        <f>IF(AND(Data!R95&lt;&gt;"",Data!L95="Accepté"),Data!S95,"")</f>
        <v/>
      </c>
      <c r="G96" s="1038">
        <f>IF(Data!R95='Delivery Plan'!E96,Data!U95,"")</f>
        <v/>
      </c>
      <c r="H96" s="327" t="n"/>
      <c r="I96" s="329">
        <f>IF(J96&lt;&gt;"","S"&amp;TEXT(WEEKNUM(J96),"00"),"")</f>
        <v/>
      </c>
      <c r="J96" s="330">
        <f>IF(AND(E96=Data!R95,Data!AA95&lt;&gt;""),Data!AA95,"")</f>
        <v/>
      </c>
      <c r="K96" s="751">
        <f>IF(AND(E96=Data!R95,Data!AE95&lt;&gt;""),Data!AE95,"")</f>
        <v/>
      </c>
      <c r="L96" s="1039">
        <f>IF(E96=Data!R95,Data!AI95,"")</f>
        <v/>
      </c>
      <c r="M96" s="1039">
        <f>IF(E96=Data!R95,Data!AJ95,"")</f>
        <v/>
      </c>
      <c r="N96">
        <f>IF(AND(Data!R95&lt;&gt;"",Data!L95="Accepté"),Data!K95,"")</f>
        <v/>
      </c>
    </row>
    <row r="97">
      <c r="A97" s="164">
        <f>IF(AND(Data!R96&lt;&gt;"",Data!L96="Accepté"),Data!G96,"")</f>
        <v/>
      </c>
      <c r="B97" s="164">
        <f>IF(AND(Data!R96&lt;&gt;"",Data!L96="Accepté"),Data!L96,"")</f>
        <v/>
      </c>
      <c r="C97" s="329">
        <f>IF(D97&lt;&gt;"","S"&amp;TEXT(WEEKNUM(D97),"00"),"")</f>
        <v/>
      </c>
      <c r="D97" s="330">
        <f>IF(AND(Data!Q96&lt;&gt;"",Data!L96="Accepté"),Data!Q96,"")</f>
        <v/>
      </c>
      <c r="E97" s="106">
        <f>IF(AND(Data!R96&lt;&gt;"",Data!L96="Accepté"),Data!R96,"")</f>
        <v/>
      </c>
      <c r="F97" s="1037">
        <f>IF(AND(Data!R96&lt;&gt;"",Data!L96="Accepté"),Data!S96,"")</f>
        <v/>
      </c>
      <c r="G97" s="1038">
        <f>IF(Data!R96='Delivery Plan'!E97,Data!U96,"")</f>
        <v/>
      </c>
      <c r="H97" s="327" t="n"/>
      <c r="I97" s="329">
        <f>IF(J97&lt;&gt;"","S"&amp;TEXT(WEEKNUM(J97),"00"),"")</f>
        <v/>
      </c>
      <c r="J97" s="330">
        <f>IF(AND(E97=Data!R96,Data!AA96&lt;&gt;""),Data!AA96,"")</f>
        <v/>
      </c>
      <c r="K97" s="751">
        <f>IF(AND(E97=Data!R96,Data!AE96&lt;&gt;""),Data!AE96,"")</f>
        <v/>
      </c>
      <c r="L97" s="1039">
        <f>IF(E97=Data!R96,Data!AI96,"")</f>
        <v/>
      </c>
      <c r="M97" s="1039">
        <f>IF(E97=Data!R96,Data!AJ96,"")</f>
        <v/>
      </c>
      <c r="N97">
        <f>IF(AND(Data!R96&lt;&gt;"",Data!L96="Accepté"),Data!K96,"")</f>
        <v/>
      </c>
    </row>
    <row r="98">
      <c r="A98" s="164">
        <f>IF(AND(Data!R97&lt;&gt;"",Data!L97="Accepté"),Data!G97,"")</f>
        <v/>
      </c>
      <c r="B98" s="164">
        <f>IF(AND(Data!R97&lt;&gt;"",Data!L97="Accepté"),Data!L97,"")</f>
        <v/>
      </c>
      <c r="C98" s="329">
        <f>IF(D98&lt;&gt;"","S"&amp;TEXT(WEEKNUM(D98),"00"),"")</f>
        <v/>
      </c>
      <c r="D98" s="330">
        <f>IF(AND(Data!Q97&lt;&gt;"",Data!L97="Accepté"),Data!Q97,"")</f>
        <v/>
      </c>
      <c r="E98" s="106">
        <f>IF(AND(Data!R97&lt;&gt;"",Data!L97="Accepté"),Data!R97,"")</f>
        <v/>
      </c>
      <c r="F98" s="1037">
        <f>IF(AND(Data!R97&lt;&gt;"",Data!L97="Accepté"),Data!S97,"")</f>
        <v/>
      </c>
      <c r="G98" s="1038">
        <f>IF(Data!R97='Delivery Plan'!E98,Data!U97,"")</f>
        <v/>
      </c>
      <c r="H98" s="327" t="n"/>
      <c r="I98" s="329">
        <f>IF(J98&lt;&gt;"","S"&amp;TEXT(WEEKNUM(J98),"00"),"")</f>
        <v/>
      </c>
      <c r="J98" s="330">
        <f>IF(AND(E98=Data!R97,Data!AA97&lt;&gt;""),Data!AA97,"")</f>
        <v/>
      </c>
      <c r="K98" s="751">
        <f>IF(AND(E98=Data!R97,Data!AE97&lt;&gt;""),Data!AE97,"")</f>
        <v/>
      </c>
      <c r="L98" s="1039">
        <f>IF(E98=Data!R97,Data!AI97,"")</f>
        <v/>
      </c>
      <c r="M98" s="1039">
        <f>IF(E98=Data!R97,Data!AJ97,"")</f>
        <v/>
      </c>
      <c r="N98">
        <f>IF(AND(Data!R97&lt;&gt;"",Data!L97="Accepté"),Data!K97,"")</f>
        <v/>
      </c>
    </row>
    <row r="99">
      <c r="A99" s="164">
        <f>IF(AND(Data!R98&lt;&gt;"",Data!L98="Accepté"),Data!G98,"")</f>
        <v/>
      </c>
      <c r="B99" s="164">
        <f>IF(AND(Data!R98&lt;&gt;"",Data!L98="Accepté"),Data!L98,"")</f>
        <v/>
      </c>
      <c r="C99" s="329">
        <f>IF(D99&lt;&gt;"","S"&amp;TEXT(WEEKNUM(D99),"00"),"")</f>
        <v/>
      </c>
      <c r="D99" s="330">
        <f>IF(AND(Data!Q98&lt;&gt;"",Data!L98="Accepté"),Data!Q98,"")</f>
        <v/>
      </c>
      <c r="E99" s="106">
        <f>IF(AND(Data!R98&lt;&gt;"",Data!L98="Accepté"),Data!R98,"")</f>
        <v/>
      </c>
      <c r="F99" s="1037">
        <f>IF(AND(Data!R98&lt;&gt;"",Data!L98="Accepté"),Data!S98,"")</f>
        <v/>
      </c>
      <c r="G99" s="1038">
        <f>IF(Data!R98='Delivery Plan'!E99,Data!U98,"")</f>
        <v/>
      </c>
      <c r="H99" s="327" t="n"/>
      <c r="I99" s="329">
        <f>IF(J99&lt;&gt;"","S"&amp;TEXT(WEEKNUM(J99),"00"),"")</f>
        <v/>
      </c>
      <c r="J99" s="330">
        <f>IF(AND(E99=Data!R98,Data!AA98&lt;&gt;""),Data!AA98,"")</f>
        <v/>
      </c>
      <c r="K99" s="751">
        <f>IF(AND(E99=Data!R98,Data!AE98&lt;&gt;""),Data!AE98,"")</f>
        <v/>
      </c>
      <c r="L99" s="1039">
        <f>IF(E99=Data!R98,Data!AI98,"")</f>
        <v/>
      </c>
      <c r="M99" s="1039">
        <f>IF(E99=Data!R98,Data!AJ98,"")</f>
        <v/>
      </c>
      <c r="N99">
        <f>IF(AND(Data!R98&lt;&gt;"",Data!L98="Accepté"),Data!K98,"")</f>
        <v/>
      </c>
    </row>
    <row r="100" hidden="1" s="701">
      <c r="A100" s="164">
        <f>IF(AND(Data!R99&lt;&gt;"",Data!L99="Accepté"),Data!G99,"")</f>
        <v/>
      </c>
      <c r="B100" s="164">
        <f>IF(AND(Data!R99&lt;&gt;"",Data!L99="Accepté"),Data!L99,"")</f>
        <v/>
      </c>
      <c r="C100" s="329">
        <f>IF(D100&lt;&gt;"","S"&amp;TEXT(WEEKNUM(D100),"00"),"")</f>
        <v/>
      </c>
      <c r="D100" s="330">
        <f>IF(AND(Data!Q99&lt;&gt;"",Data!L99="Accepté"),Data!Q99,"")</f>
        <v/>
      </c>
      <c r="E100" s="106">
        <f>IF(AND(Data!R99&lt;&gt;"",Data!L99="Accepté"),Data!R99,"")</f>
        <v/>
      </c>
      <c r="F100" s="1037">
        <f>IF(AND(Data!R99&lt;&gt;"",Data!L99="Accepté"),Data!S99,"")</f>
        <v/>
      </c>
      <c r="G100" s="1038">
        <f>IF(Data!R99='Delivery Plan'!E100,Data!U99,"")</f>
        <v/>
      </c>
      <c r="H100" s="327" t="n"/>
      <c r="I100" s="329">
        <f>IF(J100&lt;&gt;"","S"&amp;TEXT(WEEKNUM(J100),"00"),"")</f>
        <v/>
      </c>
      <c r="J100" s="330">
        <f>IF(AND(E100=Data!R99,Data!AA99&lt;&gt;""),Data!AA99,"")</f>
        <v/>
      </c>
      <c r="K100" s="751">
        <f>IF(AND(E100=Data!R99,Data!AE99&lt;&gt;""),Data!AE99,"")</f>
        <v/>
      </c>
      <c r="L100" s="1039">
        <f>IF(E100=Data!R99,Data!AI99,"")</f>
        <v/>
      </c>
      <c r="M100" s="1039">
        <f>IF(E100=Data!R99,Data!AJ99,"")</f>
        <v/>
      </c>
      <c r="N100">
        <f>IF(AND(Data!R99&lt;&gt;"",Data!L99="Accepté"),Data!K99,"")</f>
        <v/>
      </c>
    </row>
    <row r="101" hidden="1" s="701">
      <c r="A101" s="164">
        <f>IF(AND(Data!R100&lt;&gt;"",Data!L100="Accepté"),Data!G100,"")</f>
        <v/>
      </c>
      <c r="B101" s="164">
        <f>IF(AND(Data!R100&lt;&gt;"",Data!L100="Accepté"),Data!L100,"")</f>
        <v/>
      </c>
      <c r="C101" s="329">
        <f>IF(D101&lt;&gt;"","S"&amp;TEXT(WEEKNUM(D101),"00"),"")</f>
        <v/>
      </c>
      <c r="D101" s="330">
        <f>IF(AND(Data!Q100&lt;&gt;"",Data!L100="Accepté"),Data!Q100,"")</f>
        <v/>
      </c>
      <c r="E101" s="106">
        <f>IF(AND(Data!R100&lt;&gt;"",Data!L100="Accepté"),Data!R100,"")</f>
        <v/>
      </c>
      <c r="F101" s="1037">
        <f>IF(AND(Data!R100&lt;&gt;"",Data!L100="Accepté"),Data!S100,"")</f>
        <v/>
      </c>
      <c r="G101" s="1038">
        <f>IF(Data!R100='Delivery Plan'!E101,Data!U100,"")</f>
        <v/>
      </c>
      <c r="H101" s="327" t="n"/>
      <c r="I101" s="329">
        <f>IF(J101&lt;&gt;"","S"&amp;TEXT(WEEKNUM(J101),"00"),"")</f>
        <v/>
      </c>
      <c r="J101" s="330">
        <f>IF(AND(E101=Data!R100,Data!AA100&lt;&gt;""),Data!AA100,"")</f>
        <v/>
      </c>
      <c r="K101" s="751">
        <f>IF(AND(E101=Data!R100,Data!AE100&lt;&gt;""),Data!AE100,"")</f>
        <v/>
      </c>
      <c r="L101" s="1039">
        <f>IF(E101=Data!R100,Data!AI100,"")</f>
        <v/>
      </c>
      <c r="M101" s="1039">
        <f>IF(E101=Data!R100,Data!AJ100,"")</f>
        <v/>
      </c>
      <c r="N101">
        <f>IF(AND(Data!R100&lt;&gt;"",Data!L100="Accepté"),Data!K100,"")</f>
        <v/>
      </c>
    </row>
    <row r="102" hidden="1" s="701">
      <c r="A102" s="164">
        <f>IF(AND(Data!R101&lt;&gt;"",Data!L101="Accepté"),Data!G101,"")</f>
        <v/>
      </c>
      <c r="B102" s="164">
        <f>IF(AND(Data!R101&lt;&gt;"",Data!L101="Accepté"),Data!L101,"")</f>
        <v/>
      </c>
      <c r="C102" s="329">
        <f>IF(D102&lt;&gt;"","S"&amp;TEXT(WEEKNUM(D102),"00"),"")</f>
        <v/>
      </c>
      <c r="D102" s="330">
        <f>IF(AND(Data!Q101&lt;&gt;"",Data!L101="Accepté"),Data!Q101,"")</f>
        <v/>
      </c>
      <c r="E102" s="106">
        <f>IF(AND(Data!R101&lt;&gt;"",Data!L101="Accepté"),Data!R101,"")</f>
        <v/>
      </c>
      <c r="F102" s="1037">
        <f>IF(AND(Data!R101&lt;&gt;"",Data!L101="Accepté"),Data!S101,"")</f>
        <v/>
      </c>
      <c r="G102" s="1038">
        <f>IF(Data!R101='Delivery Plan'!E102,Data!U101,"")</f>
        <v/>
      </c>
      <c r="H102" s="327" t="n"/>
      <c r="I102" s="329">
        <f>IF(J102&lt;&gt;"","S"&amp;TEXT(WEEKNUM(J102),"00"),"")</f>
        <v/>
      </c>
      <c r="J102" s="330">
        <f>IF(AND(E102=Data!R101,Data!AA101&lt;&gt;""),Data!AA101,"")</f>
        <v/>
      </c>
      <c r="K102" s="751">
        <f>IF(AND(E102=Data!R101,Data!AE101&lt;&gt;""),Data!AE101,"")</f>
        <v/>
      </c>
      <c r="L102" s="1039">
        <f>IF(E102=Data!R101,Data!AI101,"")</f>
        <v/>
      </c>
      <c r="M102" s="1039">
        <f>IF(E102=Data!R101,Data!AJ101,"")</f>
        <v/>
      </c>
      <c r="N102">
        <f>IF(AND(Data!R101&lt;&gt;"",Data!L101="Accepté"),Data!K101,"")</f>
        <v/>
      </c>
    </row>
    <row r="103">
      <c r="A103" s="164">
        <f>IF(AND(Data!R102&lt;&gt;"",Data!L102="Accepté"),Data!G102,"")</f>
        <v/>
      </c>
      <c r="B103" s="164">
        <f>IF(AND(Data!R102&lt;&gt;"",Data!L102="Accepté"),Data!L102,"")</f>
        <v/>
      </c>
      <c r="C103" s="329">
        <f>IF(D103&lt;&gt;"","S"&amp;TEXT(WEEKNUM(D103),"00"),"")</f>
        <v/>
      </c>
      <c r="D103" s="330">
        <f>IF(AND(Data!Q102&lt;&gt;"",Data!L102="Accepté"),Data!Q102,"")</f>
        <v/>
      </c>
      <c r="E103" s="106">
        <f>IF(AND(Data!R102&lt;&gt;"",Data!L102="Accepté"),Data!R102,"")</f>
        <v/>
      </c>
      <c r="F103" s="1037">
        <f>IF(AND(Data!R102&lt;&gt;"",Data!L102="Accepté"),Data!S102,"")</f>
        <v/>
      </c>
      <c r="G103" s="1038">
        <f>IF(Data!R102='Delivery Plan'!E103,Data!U102,"")</f>
        <v/>
      </c>
      <c r="H103" s="327" t="n"/>
      <c r="I103" s="329">
        <f>IF(J103&lt;&gt;"","S"&amp;TEXT(WEEKNUM(J103),"00"),"")</f>
        <v/>
      </c>
      <c r="J103" s="330">
        <f>IF(AND(E103=Data!R102,Data!AA102&lt;&gt;""),Data!AA102,"")</f>
        <v/>
      </c>
      <c r="K103" s="751">
        <f>IF(AND(E103=Data!R102,Data!AE102&lt;&gt;""),Data!AE102,"")</f>
        <v/>
      </c>
      <c r="L103" s="1039">
        <f>IF(E103=Data!R102,Data!AI102,"")</f>
        <v/>
      </c>
      <c r="M103" s="1039">
        <f>IF(E103=Data!R102,Data!AJ102,"")</f>
        <v/>
      </c>
      <c r="N103">
        <f>IF(AND(Data!R102&lt;&gt;"",Data!L102="Accepté"),Data!K102,"")</f>
        <v/>
      </c>
    </row>
    <row r="104" hidden="1" s="701">
      <c r="A104" s="164">
        <f>IF(AND(Data!R103&lt;&gt;"",Data!L103="Accepté"),Data!G103,"")</f>
        <v/>
      </c>
      <c r="B104" s="164">
        <f>IF(AND(Data!R103&lt;&gt;"",Data!L103="Accepté"),Data!L103,"")</f>
        <v/>
      </c>
      <c r="C104" s="329">
        <f>IF(D104&lt;&gt;"","S"&amp;TEXT(WEEKNUM(D104),"00"),"")</f>
        <v/>
      </c>
      <c r="D104" s="330">
        <f>IF(AND(Data!Q103&lt;&gt;"",Data!L103="Accepté"),Data!Q103,"")</f>
        <v/>
      </c>
      <c r="E104" s="106">
        <f>IF(AND(Data!R103&lt;&gt;"",Data!L103="Accepté"),Data!R103,"")</f>
        <v/>
      </c>
      <c r="F104" s="1037">
        <f>IF(AND(Data!R103&lt;&gt;"",Data!L103="Accepté"),Data!S103,"")</f>
        <v/>
      </c>
      <c r="G104" s="1038">
        <f>IF(Data!R103='Delivery Plan'!E104,Data!U103,"")</f>
        <v/>
      </c>
      <c r="H104" s="327" t="n"/>
      <c r="I104" s="329">
        <f>IF(J104&lt;&gt;"","S"&amp;TEXT(WEEKNUM(J104),"00"),"")</f>
        <v/>
      </c>
      <c r="J104" s="330">
        <f>IF(AND(E104=Data!R103,Data!AA103&lt;&gt;""),Data!AA103,"")</f>
        <v/>
      </c>
      <c r="K104" s="751">
        <f>IF(AND(E104=Data!R103,Data!AE103&lt;&gt;""),Data!AE103,"")</f>
        <v/>
      </c>
      <c r="L104" s="1039">
        <f>IF(E104=Data!R103,Data!AI103,"")</f>
        <v/>
      </c>
      <c r="M104" s="1039">
        <f>IF(E104=Data!R103,Data!AJ103,"")</f>
        <v/>
      </c>
      <c r="N104">
        <f>IF(AND(Data!R103&lt;&gt;"",Data!L103="Accepté"),Data!K103,"")</f>
        <v/>
      </c>
    </row>
    <row r="105" hidden="1" s="701">
      <c r="A105" s="164">
        <f>IF(AND(Data!R104&lt;&gt;"",Data!L104="Accepté"),Data!G104,"")</f>
        <v/>
      </c>
      <c r="B105" s="164">
        <f>IF(AND(Data!R104&lt;&gt;"",Data!L104="Accepté"),Data!L104,"")</f>
        <v/>
      </c>
      <c r="C105" s="329">
        <f>IF(D105&lt;&gt;"","S"&amp;TEXT(WEEKNUM(D105),"00"),"")</f>
        <v/>
      </c>
      <c r="D105" s="330">
        <f>IF(AND(Data!Q104&lt;&gt;"",Data!L104="Accepté"),Data!Q104,"")</f>
        <v/>
      </c>
      <c r="E105" s="106">
        <f>IF(AND(Data!R104&lt;&gt;"",Data!L104="Accepté"),Data!R104,"")</f>
        <v/>
      </c>
      <c r="F105" s="1037">
        <f>IF(AND(Data!R104&lt;&gt;"",Data!L104="Accepté"),Data!S104,"")</f>
        <v/>
      </c>
      <c r="G105" s="1038">
        <f>IF(Data!R104='Delivery Plan'!E105,Data!U104,"")</f>
        <v/>
      </c>
      <c r="H105" s="327" t="n"/>
      <c r="I105" s="329">
        <f>IF(J105&lt;&gt;"","S"&amp;TEXT(WEEKNUM(J105),"00"),"")</f>
        <v/>
      </c>
      <c r="J105" s="330">
        <f>IF(AND(E105=Data!R104,Data!AA104&lt;&gt;""),Data!AA104,"")</f>
        <v/>
      </c>
      <c r="K105" s="751">
        <f>IF(AND(E105=Data!R104,Data!AE104&lt;&gt;""),Data!AE104,"")</f>
        <v/>
      </c>
      <c r="L105" s="1039">
        <f>IF(E105=Data!R104,Data!AI104,"")</f>
        <v/>
      </c>
      <c r="M105" s="1039">
        <f>IF(E105=Data!R104,Data!AJ104,"")</f>
        <v/>
      </c>
      <c r="N105">
        <f>IF(AND(Data!R104&lt;&gt;"",Data!L104="Accepté"),Data!K104,"")</f>
        <v/>
      </c>
    </row>
    <row r="106" hidden="1" s="701">
      <c r="A106" s="164">
        <f>IF(AND(Data!R105&lt;&gt;"",Data!L105="Accepté"),Data!G105,"")</f>
        <v/>
      </c>
      <c r="B106" s="164">
        <f>IF(AND(Data!R105&lt;&gt;"",Data!L105="Accepté"),Data!L105,"")</f>
        <v/>
      </c>
      <c r="C106" s="329">
        <f>IF(D106&lt;&gt;"","S"&amp;TEXT(WEEKNUM(D106),"00"),"")</f>
        <v/>
      </c>
      <c r="D106" s="330">
        <f>IF(AND(Data!Q105&lt;&gt;"",Data!L105="Accepté"),Data!Q105,"")</f>
        <v/>
      </c>
      <c r="E106" s="106">
        <f>IF(AND(Data!R105&lt;&gt;"",Data!L105="Accepté"),Data!R105,"")</f>
        <v/>
      </c>
      <c r="F106" s="1037">
        <f>IF(AND(Data!R105&lt;&gt;"",Data!L105="Accepté"),Data!S105,"")</f>
        <v/>
      </c>
      <c r="G106" s="1038">
        <f>IF(Data!R105='Delivery Plan'!E106,Data!U105,"")</f>
        <v/>
      </c>
      <c r="H106" s="327" t="n"/>
      <c r="I106" s="329">
        <f>IF(J106&lt;&gt;"","S"&amp;TEXT(WEEKNUM(J106),"00"),"")</f>
        <v/>
      </c>
      <c r="J106" s="330">
        <f>IF(AND(E106=Data!R105,Data!AA105&lt;&gt;""),Data!AA105,"")</f>
        <v/>
      </c>
      <c r="K106" s="751">
        <f>IF(AND(E106=Data!R105,Data!AE105&lt;&gt;""),Data!AE105,"")</f>
        <v/>
      </c>
      <c r="L106" s="1039">
        <f>IF(E106=Data!R105,Data!AI105,"")</f>
        <v/>
      </c>
      <c r="M106" s="1039">
        <f>IF(E106=Data!R105,Data!AJ105,"")</f>
        <v/>
      </c>
      <c r="N106">
        <f>IF(AND(Data!R105&lt;&gt;"",Data!L105="Accepté"),Data!K105,"")</f>
        <v/>
      </c>
    </row>
    <row r="107" hidden="1" s="701">
      <c r="A107" s="164">
        <f>IF(AND(Data!R106&lt;&gt;"",Data!L106="Accepté"),Data!G106,"")</f>
        <v/>
      </c>
      <c r="B107" s="164">
        <f>IF(AND(Data!R106&lt;&gt;"",Data!L106="Accepté"),Data!L106,"")</f>
        <v/>
      </c>
      <c r="C107" s="329">
        <f>IF(D107&lt;&gt;"","S"&amp;TEXT(WEEKNUM(D107),"00"),"")</f>
        <v/>
      </c>
      <c r="D107" s="330">
        <f>IF(AND(Data!Q106&lt;&gt;"",Data!L106="Accepté"),Data!Q106,"")</f>
        <v/>
      </c>
      <c r="E107" s="106">
        <f>IF(AND(Data!R106&lt;&gt;"",Data!L106="Accepté"),Data!R106,"")</f>
        <v/>
      </c>
      <c r="F107" s="1037">
        <f>IF(AND(Data!R106&lt;&gt;"",Data!L106="Accepté"),Data!S106,"")</f>
        <v/>
      </c>
      <c r="G107" s="1038">
        <f>IF(Data!R106='Delivery Plan'!E107,Data!U106,"")</f>
        <v/>
      </c>
      <c r="H107" s="327" t="n"/>
      <c r="I107" s="329">
        <f>IF(J107&lt;&gt;"","S"&amp;TEXT(WEEKNUM(J107),"00"),"")</f>
        <v/>
      </c>
      <c r="J107" s="330">
        <f>IF(AND(E107=Data!R106,Data!AA106&lt;&gt;""),Data!AA106,"")</f>
        <v/>
      </c>
      <c r="K107" s="751">
        <f>IF(AND(E107=Data!R106,Data!AE106&lt;&gt;""),Data!AE106,"")</f>
        <v/>
      </c>
      <c r="L107" s="1039">
        <f>IF(E107=Data!R106,Data!AI106,"")</f>
        <v/>
      </c>
      <c r="M107" s="1039">
        <f>IF(E107=Data!R106,Data!AJ106,"")</f>
        <v/>
      </c>
      <c r="N107">
        <f>IF(AND(Data!R106&lt;&gt;"",Data!L106="Accepté"),Data!K106,"")</f>
        <v/>
      </c>
    </row>
    <row r="108" hidden="1" s="701">
      <c r="A108" s="164">
        <f>IF(AND(Data!R107&lt;&gt;"",Data!L107="Accepté"),Data!G107,"")</f>
        <v/>
      </c>
      <c r="B108" s="164">
        <f>IF(AND(Data!R107&lt;&gt;"",Data!L107="Accepté"),Data!L107,"")</f>
        <v/>
      </c>
      <c r="C108" s="329">
        <f>IF(D108&lt;&gt;"","S"&amp;TEXT(WEEKNUM(D108),"00"),"")</f>
        <v/>
      </c>
      <c r="D108" s="330">
        <f>IF(AND(Data!Q107&lt;&gt;"",Data!L107="Accepté"),Data!Q107,"")</f>
        <v/>
      </c>
      <c r="E108" s="106">
        <f>IF(AND(Data!R107&lt;&gt;"",Data!L107="Accepté"),Data!R107,"")</f>
        <v/>
      </c>
      <c r="F108" s="1037">
        <f>IF(AND(Data!R107&lt;&gt;"",Data!L107="Accepté"),Data!S107,"")</f>
        <v/>
      </c>
      <c r="G108" s="1038">
        <f>IF(Data!R107='Delivery Plan'!E108,Data!U107,"")</f>
        <v/>
      </c>
      <c r="H108" s="327" t="n"/>
      <c r="I108" s="329">
        <f>IF(J108&lt;&gt;"","S"&amp;TEXT(WEEKNUM(J108),"00"),"")</f>
        <v/>
      </c>
      <c r="J108" s="330">
        <f>IF(AND(E108=Data!R107,Data!AA107&lt;&gt;""),Data!AA107,"")</f>
        <v/>
      </c>
      <c r="K108" s="751">
        <f>IF(AND(E108=Data!R107,Data!AE107&lt;&gt;""),Data!AE107,"")</f>
        <v/>
      </c>
      <c r="L108" s="1039">
        <f>IF(E108=Data!R107,Data!AI107,"")</f>
        <v/>
      </c>
      <c r="M108" s="1039">
        <f>IF(E108=Data!R107,Data!AJ107,"")</f>
        <v/>
      </c>
      <c r="N108">
        <f>IF(AND(Data!R107&lt;&gt;"",Data!L107="Accepté"),Data!K107,"")</f>
        <v/>
      </c>
    </row>
    <row r="109" hidden="1" s="701">
      <c r="A109" s="164">
        <f>IF(AND(Data!R108&lt;&gt;"",Data!L108="Accepté"),Data!G108,"")</f>
        <v/>
      </c>
      <c r="B109" s="164">
        <f>IF(AND(Data!R108&lt;&gt;"",Data!L108="Accepté"),Data!L108,"")</f>
        <v/>
      </c>
      <c r="C109" s="329">
        <f>IF(D109&lt;&gt;"","S"&amp;TEXT(WEEKNUM(D109),"00"),"")</f>
        <v/>
      </c>
      <c r="D109" s="330">
        <f>IF(AND(Data!Q108&lt;&gt;"",Data!L108="Accepté"),Data!Q108,"")</f>
        <v/>
      </c>
      <c r="E109" s="106">
        <f>IF(AND(Data!R108&lt;&gt;"",Data!L108="Accepté"),Data!R108,"")</f>
        <v/>
      </c>
      <c r="F109" s="1037">
        <f>IF(AND(Data!R108&lt;&gt;"",Data!L108="Accepté"),Data!S108,"")</f>
        <v/>
      </c>
      <c r="G109" s="1038">
        <f>IF(Data!R108='Delivery Plan'!E109,Data!U108,"")</f>
        <v/>
      </c>
      <c r="H109" s="327" t="n"/>
      <c r="I109" s="329">
        <f>IF(J109&lt;&gt;"","S"&amp;TEXT(WEEKNUM(J109),"00"),"")</f>
        <v/>
      </c>
      <c r="J109" s="330">
        <f>IF(AND(E109=Data!R108,Data!AA108&lt;&gt;""),Data!AA108,"")</f>
        <v/>
      </c>
      <c r="K109" s="751">
        <f>IF(AND(E109=Data!R108,Data!AE108&lt;&gt;""),Data!AE108,"")</f>
        <v/>
      </c>
      <c r="L109" s="1039">
        <f>IF(E109=Data!R108,Data!AI108,"")</f>
        <v/>
      </c>
      <c r="M109" s="1039">
        <f>IF(E109=Data!R108,Data!AJ108,"")</f>
        <v/>
      </c>
      <c r="N109">
        <f>IF(AND(Data!R108&lt;&gt;"",Data!L108="Accepté"),Data!K108,"")</f>
        <v/>
      </c>
    </row>
    <row r="110" hidden="1" s="701">
      <c r="A110" s="164">
        <f>IF(AND(Data!R109&lt;&gt;"",Data!L109="Accepté"),Data!G109,"")</f>
        <v/>
      </c>
      <c r="B110" s="164">
        <f>IF(AND(Data!R109&lt;&gt;"",Data!L109="Accepté"),Data!L109,"")</f>
        <v/>
      </c>
      <c r="C110" s="329">
        <f>IF(D110&lt;&gt;"","S"&amp;TEXT(WEEKNUM(D110),"00"),"")</f>
        <v/>
      </c>
      <c r="D110" s="330">
        <f>IF(AND(Data!Q109&lt;&gt;"",Data!L109="Accepté"),Data!Q109,"")</f>
        <v/>
      </c>
      <c r="E110" s="106">
        <f>IF(AND(Data!R109&lt;&gt;"",Data!L109="Accepté"),Data!R109,"")</f>
        <v/>
      </c>
      <c r="F110" s="1037">
        <f>IF(AND(Data!R109&lt;&gt;"",Data!L109="Accepté"),Data!S109,"")</f>
        <v/>
      </c>
      <c r="G110" s="1038">
        <f>IF(Data!R109='Delivery Plan'!E110,Data!U109,"")</f>
        <v/>
      </c>
      <c r="H110" s="327" t="n"/>
      <c r="I110" s="329">
        <f>IF(J110&lt;&gt;"","S"&amp;TEXT(WEEKNUM(J110),"00"),"")</f>
        <v/>
      </c>
      <c r="J110" s="330">
        <f>IF(AND(E110=Data!R109,Data!AA109&lt;&gt;""),Data!AA109,"")</f>
        <v/>
      </c>
      <c r="K110" s="751">
        <f>IF(AND(E110=Data!R109,Data!AE109&lt;&gt;""),Data!AE109,"")</f>
        <v/>
      </c>
      <c r="L110" s="1039">
        <f>IF(E110=Data!R109,Data!AI109,"")</f>
        <v/>
      </c>
      <c r="M110" s="1039">
        <f>IF(E110=Data!R109,Data!AJ109,"")</f>
        <v/>
      </c>
      <c r="N110">
        <f>IF(AND(Data!R109&lt;&gt;"",Data!L109="Accepté"),Data!K109,"")</f>
        <v/>
      </c>
    </row>
    <row r="111" hidden="1" s="701">
      <c r="A111" s="164">
        <f>IF(AND(Data!R110&lt;&gt;"",Data!L110="Accepté"),Data!G110,"")</f>
        <v/>
      </c>
      <c r="B111" s="164">
        <f>IF(AND(Data!R110&lt;&gt;"",Data!L110="Accepté"),Data!L110,"")</f>
        <v/>
      </c>
      <c r="C111" s="329">
        <f>IF(D111&lt;&gt;"","S"&amp;TEXT(WEEKNUM(D111),"00"),"")</f>
        <v/>
      </c>
      <c r="D111" s="330">
        <f>IF(AND(Data!Q110&lt;&gt;"",Data!L110="Accepté"),Data!Q110,"")</f>
        <v/>
      </c>
      <c r="E111" s="106">
        <f>IF(AND(Data!R110&lt;&gt;"",Data!L110="Accepté"),Data!R110,"")</f>
        <v/>
      </c>
      <c r="F111" s="1037">
        <f>IF(AND(Data!R110&lt;&gt;"",Data!L110="Accepté"),Data!S110,"")</f>
        <v/>
      </c>
      <c r="G111" s="1038">
        <f>IF(Data!R110='Delivery Plan'!E111,Data!U110,"")</f>
        <v/>
      </c>
      <c r="H111" s="327" t="n"/>
      <c r="I111" s="329">
        <f>IF(J111&lt;&gt;"","S"&amp;TEXT(WEEKNUM(J111),"00"),"")</f>
        <v/>
      </c>
      <c r="J111" s="330">
        <f>IF(AND(E111=Data!R110,Data!AA110&lt;&gt;""),Data!AA110,"")</f>
        <v/>
      </c>
      <c r="K111" s="751">
        <f>IF(AND(E111=Data!R110,Data!AE110&lt;&gt;""),Data!AE110,"")</f>
        <v/>
      </c>
      <c r="L111" s="1039">
        <f>IF(E111=Data!R110,Data!AI110,"")</f>
        <v/>
      </c>
      <c r="M111" s="1039">
        <f>IF(E111=Data!R110,Data!AJ110,"")</f>
        <v/>
      </c>
      <c r="N111">
        <f>IF(AND(Data!R110&lt;&gt;"",Data!L110="Accepté"),Data!K110,"")</f>
        <v/>
      </c>
    </row>
    <row r="112">
      <c r="A112" s="164">
        <f>IF(AND(Data!R111&lt;&gt;"",Data!L111="Accepté"),Data!G111,"")</f>
        <v/>
      </c>
      <c r="B112" s="164">
        <f>IF(AND(Data!R111&lt;&gt;"",Data!L111="Accepté"),Data!L111,"")</f>
        <v/>
      </c>
      <c r="C112" s="329">
        <f>IF(D112&lt;&gt;"","S"&amp;TEXT(WEEKNUM(D112),"00"),"")</f>
        <v/>
      </c>
      <c r="D112" s="330">
        <f>IF(AND(Data!Q111&lt;&gt;"",Data!L111="Accepté"),Data!Q111,"")</f>
        <v/>
      </c>
      <c r="E112" s="106">
        <f>IF(AND(Data!R111&lt;&gt;"",Data!L111="Accepté"),Data!R111,"")</f>
        <v/>
      </c>
      <c r="F112" s="1037">
        <f>IF(AND(Data!R111&lt;&gt;"",Data!L111="Accepté"),Data!S111,"")</f>
        <v/>
      </c>
      <c r="G112" s="1038">
        <f>IF(Data!R111='Delivery Plan'!E112,Data!U111,"")</f>
        <v/>
      </c>
      <c r="H112" s="327" t="n"/>
      <c r="I112" s="329">
        <f>IF(J112&lt;&gt;"","S"&amp;TEXT(WEEKNUM(J112),"00"),"")</f>
        <v/>
      </c>
      <c r="J112" s="330">
        <f>IF(AND(E112=Data!R111,Data!AA111&lt;&gt;""),Data!AA111,"")</f>
        <v/>
      </c>
      <c r="K112" s="751">
        <f>IF(AND(E112=Data!R111,Data!AE111&lt;&gt;""),Data!AE111,"")</f>
        <v/>
      </c>
      <c r="L112" s="1039">
        <f>IF(E112=Data!R111,Data!AI111,"")</f>
        <v/>
      </c>
      <c r="M112" s="1039">
        <f>IF(E112=Data!R111,Data!AJ111,"")</f>
        <v/>
      </c>
      <c r="N112">
        <f>IF(AND(Data!R111&lt;&gt;"",Data!L111="Accepté"),Data!K111,"")</f>
        <v/>
      </c>
    </row>
    <row r="113" hidden="1" s="701">
      <c r="A113" s="164">
        <f>IF(AND(Data!R112&lt;&gt;"",Data!L112="Accepté"),Data!G112,"")</f>
        <v/>
      </c>
      <c r="B113" s="164">
        <f>IF(AND(Data!R112&lt;&gt;"",Data!L112="Accepté"),Data!L112,"")</f>
        <v/>
      </c>
      <c r="C113" s="329">
        <f>IF(D113&lt;&gt;"","S"&amp;TEXT(WEEKNUM(D113),"00"),"")</f>
        <v/>
      </c>
      <c r="D113" s="330">
        <f>IF(AND(Data!Q112&lt;&gt;"",Data!L112="Accepté"),Data!Q112,"")</f>
        <v/>
      </c>
      <c r="E113" s="106">
        <f>IF(AND(Data!R112&lt;&gt;"",Data!L112="Accepté"),Data!R112,"")</f>
        <v/>
      </c>
      <c r="F113" s="1037">
        <f>IF(AND(Data!R112&lt;&gt;"",Data!L112="Accepté"),Data!S112,"")</f>
        <v/>
      </c>
      <c r="G113" s="1038">
        <f>IF(Data!R112='Delivery Plan'!E113,Data!U112,"")</f>
        <v/>
      </c>
      <c r="H113" s="327" t="n"/>
      <c r="I113" s="329">
        <f>IF(J113&lt;&gt;"","S"&amp;TEXT(WEEKNUM(J113),"00"),"")</f>
        <v/>
      </c>
      <c r="J113" s="330">
        <f>IF(AND(E113=Data!R112,Data!AA112&lt;&gt;""),Data!AA112,"")</f>
        <v/>
      </c>
      <c r="K113" s="751">
        <f>IF(AND(E113=Data!R112,Data!AE112&lt;&gt;""),Data!AE112,"")</f>
        <v/>
      </c>
      <c r="L113" s="1039">
        <f>IF(E113=Data!R112,Data!AI112,"")</f>
        <v/>
      </c>
      <c r="M113" s="1039">
        <f>IF(E113=Data!R112,Data!AJ112,"")</f>
        <v/>
      </c>
      <c r="N113">
        <f>IF(AND(Data!R112&lt;&gt;"",Data!L112="Accepté"),Data!K112,"")</f>
        <v/>
      </c>
    </row>
    <row r="114">
      <c r="A114" s="164">
        <f>IF(AND(Data!R113&lt;&gt;"",Data!L113="Accepté"),Data!G113,"")</f>
        <v/>
      </c>
      <c r="B114" s="164">
        <f>IF(AND(Data!R113&lt;&gt;"",Data!L113="Accepté"),Data!L113,"")</f>
        <v/>
      </c>
      <c r="C114" s="329">
        <f>IF(D114&lt;&gt;"","S"&amp;TEXT(WEEKNUM(D114),"00"),"")</f>
        <v/>
      </c>
      <c r="D114" s="330">
        <f>IF(AND(Data!Q113&lt;&gt;"",Data!L113="Accepté"),Data!Q113,"")</f>
        <v/>
      </c>
      <c r="E114" s="106">
        <f>IF(AND(Data!R113&lt;&gt;"",Data!L113="Accepté"),Data!R113,"")</f>
        <v/>
      </c>
      <c r="F114" s="1037">
        <f>IF(AND(Data!R113&lt;&gt;"",Data!L113="Accepté"),Data!S113,"")</f>
        <v/>
      </c>
      <c r="G114" s="1038">
        <f>IF(Data!R113='Delivery Plan'!E114,Data!U113,"")</f>
        <v/>
      </c>
      <c r="H114" s="327" t="n"/>
      <c r="I114" s="329">
        <f>IF(J114&lt;&gt;"","S"&amp;TEXT(WEEKNUM(J114),"00"),"")</f>
        <v/>
      </c>
      <c r="J114" s="330">
        <f>IF(AND(E114=Data!R113,Data!AA113&lt;&gt;""),Data!AA113,"")</f>
        <v/>
      </c>
      <c r="K114" s="751">
        <f>IF(AND(E114=Data!R113,Data!AE113&lt;&gt;""),Data!AE113,"")</f>
        <v/>
      </c>
      <c r="L114" s="1039">
        <f>IF(E114=Data!R113,Data!AI113,"")</f>
        <v/>
      </c>
      <c r="M114" s="1039">
        <f>IF(E114=Data!R113,Data!AJ113,"")</f>
        <v/>
      </c>
      <c r="N114">
        <f>IF(AND(Data!R113&lt;&gt;"",Data!L113="Accepté"),Data!K113,"")</f>
        <v/>
      </c>
    </row>
    <row r="115" hidden="1" s="701">
      <c r="A115" s="164">
        <f>IF(AND(Data!R114&lt;&gt;"",Data!L114="Accepté"),Data!G114,"")</f>
        <v/>
      </c>
      <c r="B115" s="164">
        <f>IF(AND(Data!R114&lt;&gt;"",Data!L114="Accepté"),Data!L114,"")</f>
        <v/>
      </c>
      <c r="C115" s="329">
        <f>IF(D115&lt;&gt;"","S"&amp;TEXT(WEEKNUM(D115),"00"),"")</f>
        <v/>
      </c>
      <c r="D115" s="330">
        <f>IF(AND(Data!Q114&lt;&gt;"",Data!L114="Accepté"),Data!Q114,"")</f>
        <v/>
      </c>
      <c r="E115" s="106">
        <f>IF(AND(Data!R114&lt;&gt;"",Data!L114="Accepté"),Data!R114,"")</f>
        <v/>
      </c>
      <c r="F115" s="1037">
        <f>IF(AND(Data!R114&lt;&gt;"",Data!L114="Accepté"),Data!S114,"")</f>
        <v/>
      </c>
      <c r="G115" s="1038">
        <f>IF(Data!R114='Delivery Plan'!E115,Data!U114,"")</f>
        <v/>
      </c>
      <c r="H115" s="327" t="n"/>
      <c r="I115" s="329">
        <f>IF(J115&lt;&gt;"","S"&amp;TEXT(WEEKNUM(J115),"00"),"")</f>
        <v/>
      </c>
      <c r="J115" s="330">
        <f>IF(AND(E115=Data!R114,Data!AA114&lt;&gt;""),Data!AA114,"")</f>
        <v/>
      </c>
      <c r="K115" s="751">
        <f>IF(AND(E115=Data!R114,Data!AE114&lt;&gt;""),Data!AE114,"")</f>
        <v/>
      </c>
      <c r="L115" s="1039">
        <f>IF(E115=Data!R114,Data!AI114,"")</f>
        <v/>
      </c>
      <c r="M115" s="1039">
        <f>IF(E115=Data!R114,Data!AJ114,"")</f>
        <v/>
      </c>
      <c r="N115">
        <f>IF(AND(Data!R114&lt;&gt;"",Data!L114="Accepté"),Data!K114,"")</f>
        <v/>
      </c>
    </row>
    <row r="116" hidden="1" s="701">
      <c r="A116" s="164">
        <f>IF(AND(Data!R115&lt;&gt;"",Data!L115="Accepté"),Data!G115,"")</f>
        <v/>
      </c>
      <c r="B116" s="164">
        <f>IF(AND(Data!R115&lt;&gt;"",Data!L115="Accepté"),Data!L115,"")</f>
        <v/>
      </c>
      <c r="C116" s="329">
        <f>IF(D116&lt;&gt;"","S"&amp;TEXT(WEEKNUM(D116),"00"),"")</f>
        <v/>
      </c>
      <c r="D116" s="330">
        <f>IF(AND(Data!Q115&lt;&gt;"",Data!L115="Accepté"),Data!Q115,"")</f>
        <v/>
      </c>
      <c r="E116" s="106">
        <f>IF(AND(Data!R115&lt;&gt;"",Data!L115="Accepté"),Data!R115,"")</f>
        <v/>
      </c>
      <c r="F116" s="1037">
        <f>IF(AND(Data!R115&lt;&gt;"",Data!L115="Accepté"),Data!S115,"")</f>
        <v/>
      </c>
      <c r="G116" s="1038">
        <f>IF(Data!R115='Delivery Plan'!E116,Data!U115,"")</f>
        <v/>
      </c>
      <c r="H116" s="327" t="n"/>
      <c r="I116" s="329">
        <f>IF(J116&lt;&gt;"","S"&amp;TEXT(WEEKNUM(J116),"00"),"")</f>
        <v/>
      </c>
      <c r="J116" s="330">
        <f>IF(AND(E116=Data!R115,Data!AA115&lt;&gt;""),Data!AA115,"")</f>
        <v/>
      </c>
      <c r="K116" s="751">
        <f>IF(AND(E116=Data!R115,Data!AE115&lt;&gt;""),Data!AE115,"")</f>
        <v/>
      </c>
      <c r="L116" s="1039">
        <f>IF(E116=Data!R115,Data!AI115,"")</f>
        <v/>
      </c>
      <c r="M116" s="1039">
        <f>IF(E116=Data!R115,Data!AJ115,"")</f>
        <v/>
      </c>
      <c r="N116">
        <f>IF(AND(Data!R115&lt;&gt;"",Data!L115="Accepté"),Data!K115,"")</f>
        <v/>
      </c>
    </row>
    <row r="117" hidden="1" s="701">
      <c r="A117" s="164">
        <f>IF(AND(Data!R116&lt;&gt;"",Data!L116="Accepté"),Data!G116,"")</f>
        <v/>
      </c>
      <c r="B117" s="164">
        <f>IF(AND(Data!R116&lt;&gt;"",Data!L116="Accepté"),Data!L116,"")</f>
        <v/>
      </c>
      <c r="C117" s="329">
        <f>IF(D117&lt;&gt;"","S"&amp;TEXT(WEEKNUM(D117),"00"),"")</f>
        <v/>
      </c>
      <c r="D117" s="330">
        <f>IF(AND(Data!Q116&lt;&gt;"",Data!L116="Accepté"),Data!Q116,"")</f>
        <v/>
      </c>
      <c r="E117" s="106">
        <f>IF(AND(Data!R116&lt;&gt;"",Data!L116="Accepté"),Data!R116,"")</f>
        <v/>
      </c>
      <c r="F117" s="1037">
        <f>IF(AND(Data!R116&lt;&gt;"",Data!L116="Accepté"),Data!S116,"")</f>
        <v/>
      </c>
      <c r="G117" s="1038">
        <f>IF(Data!R116='Delivery Plan'!E117,Data!U116,"")</f>
        <v/>
      </c>
      <c r="H117" s="327" t="n"/>
      <c r="I117" s="329">
        <f>IF(J117&lt;&gt;"","S"&amp;TEXT(WEEKNUM(J117),"00"),"")</f>
        <v/>
      </c>
      <c r="J117" s="330">
        <f>IF(AND(E117=Data!R116,Data!AA116&lt;&gt;""),Data!AA116,"")</f>
        <v/>
      </c>
      <c r="K117" s="751">
        <f>IF(AND(E117=Data!R116,Data!AE116&lt;&gt;""),Data!AE116,"")</f>
        <v/>
      </c>
      <c r="L117" s="1039">
        <f>IF(E117=Data!R116,Data!AI116,"")</f>
        <v/>
      </c>
      <c r="M117" s="1039">
        <f>IF(E117=Data!R116,Data!AJ116,"")</f>
        <v/>
      </c>
      <c r="N117">
        <f>IF(AND(Data!R116&lt;&gt;"",Data!L116="Accepté"),Data!K116,"")</f>
        <v/>
      </c>
    </row>
    <row r="118" hidden="1" s="701">
      <c r="A118" s="164">
        <f>IF(AND(Data!R117&lt;&gt;"",Data!L117="Accepté"),Data!G117,"")</f>
        <v/>
      </c>
      <c r="B118" s="164">
        <f>IF(AND(Data!R117&lt;&gt;"",Data!L117="Accepté"),Data!L117,"")</f>
        <v/>
      </c>
      <c r="C118" s="329">
        <f>IF(D118&lt;&gt;"","S"&amp;TEXT(WEEKNUM(D118),"00"),"")</f>
        <v/>
      </c>
      <c r="D118" s="330">
        <f>IF(AND(Data!Q117&lt;&gt;"",Data!L117="Accepté"),Data!Q117,"")</f>
        <v/>
      </c>
      <c r="E118" s="106">
        <f>IF(AND(Data!R117&lt;&gt;"",Data!L117="Accepté"),Data!R117,"")</f>
        <v/>
      </c>
      <c r="F118" s="1037">
        <f>IF(AND(Data!R117&lt;&gt;"",Data!L117="Accepté"),Data!S117,"")</f>
        <v/>
      </c>
      <c r="G118" s="1038">
        <f>IF(Data!R117='Delivery Plan'!E118,Data!U117,"")</f>
        <v/>
      </c>
      <c r="H118" s="327" t="n"/>
      <c r="I118" s="329">
        <f>IF(J118&lt;&gt;"","S"&amp;TEXT(WEEKNUM(J118),"00"),"")</f>
        <v/>
      </c>
      <c r="J118" s="330">
        <f>IF(AND(E118=Data!R117,Data!AA117&lt;&gt;""),Data!AA117,"")</f>
        <v/>
      </c>
      <c r="K118" s="751">
        <f>IF(AND(E118=Data!R117,Data!AE117&lt;&gt;""),Data!AE117,"")</f>
        <v/>
      </c>
      <c r="L118" s="1039">
        <f>IF(E118=Data!R117,Data!AI117,"")</f>
        <v/>
      </c>
      <c r="M118" s="1039">
        <f>IF(E118=Data!R117,Data!AJ117,"")</f>
        <v/>
      </c>
      <c r="N118">
        <f>IF(AND(Data!R117&lt;&gt;"",Data!L117="Accepté"),Data!K117,"")</f>
        <v/>
      </c>
    </row>
    <row r="119">
      <c r="A119" s="164">
        <f>IF(AND(Data!R118&lt;&gt;"",Data!L118="Accepté"),Data!G118,"")</f>
        <v/>
      </c>
      <c r="B119" s="164">
        <f>IF(AND(Data!R118&lt;&gt;"",Data!L118="Accepté"),Data!L118,"")</f>
        <v/>
      </c>
      <c r="C119" s="329">
        <f>IF(D119&lt;&gt;"","S"&amp;TEXT(WEEKNUM(D119),"00"),"")</f>
        <v/>
      </c>
      <c r="D119" s="330">
        <f>IF(AND(Data!Q118&lt;&gt;"",Data!L118="Accepté"),Data!Q118,"")</f>
        <v/>
      </c>
      <c r="E119" s="106">
        <f>IF(AND(Data!R118&lt;&gt;"",Data!L118="Accepté"),Data!R118,"")</f>
        <v/>
      </c>
      <c r="F119" s="1037">
        <f>IF(AND(Data!R118&lt;&gt;"",Data!L118="Accepté"),Data!S118,"")</f>
        <v/>
      </c>
      <c r="G119" s="1038">
        <f>IF(Data!R118='Delivery Plan'!E119,Data!U118,"")</f>
        <v/>
      </c>
      <c r="H119" s="327" t="n"/>
      <c r="I119" s="329">
        <f>IF(J119&lt;&gt;"","S"&amp;TEXT(WEEKNUM(J119),"00"),"")</f>
        <v/>
      </c>
      <c r="J119" s="330">
        <f>IF(AND(E119=Data!R118,Data!AA118&lt;&gt;""),Data!AA118,"")</f>
        <v/>
      </c>
      <c r="K119" s="751">
        <f>IF(AND(E119=Data!R118,Data!AE118&lt;&gt;""),Data!AE118,"")</f>
        <v/>
      </c>
      <c r="L119" s="1039">
        <f>IF(E119=Data!R118,Data!AI118,"")</f>
        <v/>
      </c>
      <c r="M119" s="1039">
        <f>IF(E119=Data!R118,Data!AJ118,"")</f>
        <v/>
      </c>
      <c r="N119">
        <f>IF(AND(Data!R118&lt;&gt;"",Data!L118="Accepté"),Data!K118,"")</f>
        <v/>
      </c>
    </row>
    <row r="120" hidden="1" s="701">
      <c r="A120" s="164">
        <f>IF(AND(Data!R119&lt;&gt;"",Data!L119="Accepté"),Data!G119,"")</f>
        <v/>
      </c>
      <c r="B120" s="164">
        <f>IF(AND(Data!R119&lt;&gt;"",Data!L119="Accepté"),Data!L119,"")</f>
        <v/>
      </c>
      <c r="C120" s="329">
        <f>IF(D120&lt;&gt;"","S"&amp;TEXT(WEEKNUM(D120),"00"),"")</f>
        <v/>
      </c>
      <c r="D120" s="330">
        <f>IF(AND(Data!Q119&lt;&gt;"",Data!L119="Accepté"),Data!Q119,"")</f>
        <v/>
      </c>
      <c r="E120" s="106">
        <f>IF(AND(Data!R119&lt;&gt;"",Data!L119="Accepté"),Data!R119,"")</f>
        <v/>
      </c>
      <c r="F120" s="1037">
        <f>IF(AND(Data!R119&lt;&gt;"",Data!L119="Accepté"),Data!S119,"")</f>
        <v/>
      </c>
      <c r="G120" s="1038">
        <f>IF(Data!R119='Delivery Plan'!E120,Data!U119,"")</f>
        <v/>
      </c>
      <c r="H120" s="327" t="n"/>
      <c r="I120" s="329">
        <f>IF(J120&lt;&gt;"","S"&amp;TEXT(WEEKNUM(J120),"00"),"")</f>
        <v/>
      </c>
      <c r="J120" s="330">
        <f>IF(AND(E120=Data!R119,Data!AA119&lt;&gt;""),Data!AA119,"")</f>
        <v/>
      </c>
      <c r="K120" s="751">
        <f>IF(AND(E120=Data!R119,Data!AE119&lt;&gt;""),Data!AE119,"")</f>
        <v/>
      </c>
      <c r="L120" s="1039">
        <f>IF(E120=Data!R119,Data!AI119,"")</f>
        <v/>
      </c>
      <c r="M120" s="1039">
        <f>IF(E120=Data!R119,Data!AJ119,"")</f>
        <v/>
      </c>
      <c r="N120">
        <f>IF(AND(Data!R119&lt;&gt;"",Data!L119="Accepté"),Data!K119,"")</f>
        <v/>
      </c>
    </row>
    <row r="121">
      <c r="A121" s="164">
        <f>IF(AND(Data!R120&lt;&gt;"",Data!L120="Accepté"),Data!G120,"")</f>
        <v/>
      </c>
      <c r="B121" s="164">
        <f>IF(AND(Data!R120&lt;&gt;"",Data!L120="Accepté"),Data!L120,"")</f>
        <v/>
      </c>
      <c r="C121" s="329">
        <f>IF(D121&lt;&gt;"","S"&amp;TEXT(WEEKNUM(D121),"00"),"")</f>
        <v/>
      </c>
      <c r="D121" s="330">
        <f>IF(AND(Data!Q120&lt;&gt;"",Data!L120="Accepté"),Data!Q120,"")</f>
        <v/>
      </c>
      <c r="E121" s="106">
        <f>IF(AND(Data!R120&lt;&gt;"",Data!L120="Accepté"),Data!R120,"")</f>
        <v/>
      </c>
      <c r="F121" s="1037">
        <f>IF(AND(Data!R120&lt;&gt;"",Data!L120="Accepté"),Data!S120,"")</f>
        <v/>
      </c>
      <c r="G121" s="1038">
        <f>IF(Data!R120='Delivery Plan'!E121,Data!U120,"")</f>
        <v/>
      </c>
      <c r="H121" s="327" t="n"/>
      <c r="I121" s="329">
        <f>IF(J121&lt;&gt;"","S"&amp;TEXT(WEEKNUM(J121),"00"),"")</f>
        <v/>
      </c>
      <c r="J121" s="330">
        <f>IF(AND(E121=Data!R120,Data!AA120&lt;&gt;""),Data!AA120,"")</f>
        <v/>
      </c>
      <c r="K121" s="751">
        <f>IF(AND(E121=Data!R120,Data!AE120&lt;&gt;""),Data!AE120,"")</f>
        <v/>
      </c>
      <c r="L121" s="1039">
        <f>IF(E121=Data!R120,Data!AI120,"")</f>
        <v/>
      </c>
      <c r="M121" s="1039">
        <f>IF(E121=Data!R120,Data!AJ120,"")</f>
        <v/>
      </c>
      <c r="N121">
        <f>IF(AND(Data!R120&lt;&gt;"",Data!L120="Accepté"),Data!K120,"")</f>
        <v/>
      </c>
    </row>
    <row r="122" hidden="1" s="701">
      <c r="A122" s="164">
        <f>IF(AND(Data!R121&lt;&gt;"",Data!L121="Accepté"),Data!G121,"")</f>
        <v/>
      </c>
      <c r="B122" s="164">
        <f>IF(AND(Data!R121&lt;&gt;"",Data!L121="Accepté"),Data!L121,"")</f>
        <v/>
      </c>
      <c r="C122" s="329">
        <f>IF(D122&lt;&gt;"","S"&amp;TEXT(WEEKNUM(D122),"00"),"")</f>
        <v/>
      </c>
      <c r="D122" s="330">
        <f>IF(AND(Data!Q121&lt;&gt;"",Data!L121="Accepté"),Data!Q121,"")</f>
        <v/>
      </c>
      <c r="E122" s="106">
        <f>IF(AND(Data!R121&lt;&gt;"",Data!L121="Accepté"),Data!R121,"")</f>
        <v/>
      </c>
      <c r="F122" s="1037">
        <f>IF(AND(Data!R121&lt;&gt;"",Data!L121="Accepté"),Data!S121,"")</f>
        <v/>
      </c>
      <c r="G122" s="1038">
        <f>IF(Data!R121='Delivery Plan'!E122,Data!U121,"")</f>
        <v/>
      </c>
      <c r="H122" s="327" t="n"/>
      <c r="I122" s="329">
        <f>IF(J122&lt;&gt;"","S"&amp;TEXT(WEEKNUM(J122),"00"),"")</f>
        <v/>
      </c>
      <c r="J122" s="330">
        <f>IF(AND(E122=Data!R121,Data!AA121&lt;&gt;""),Data!AA121,"")</f>
        <v/>
      </c>
      <c r="K122" s="751">
        <f>IF(AND(E122=Data!R121,Data!AE121&lt;&gt;""),Data!AE121,"")</f>
        <v/>
      </c>
      <c r="L122" s="1039">
        <f>IF(E122=Data!R121,Data!AI121,"")</f>
        <v/>
      </c>
      <c r="M122" s="1039">
        <f>IF(E122=Data!R121,Data!AJ121,"")</f>
        <v/>
      </c>
      <c r="N122">
        <f>IF(AND(Data!R121&lt;&gt;"",Data!L121="Accepté"),Data!K121,"")</f>
        <v/>
      </c>
    </row>
    <row r="123">
      <c r="A123" s="164">
        <f>IF(AND(Data!R122&lt;&gt;"",Data!L122="Accepté"),Data!G122,"")</f>
        <v/>
      </c>
      <c r="B123" s="164">
        <f>IF(AND(Data!R122&lt;&gt;"",Data!L122="Accepté"),Data!L122,"")</f>
        <v/>
      </c>
      <c r="C123" s="329">
        <f>IF(D123&lt;&gt;"","S"&amp;TEXT(WEEKNUM(D123),"00"),"")</f>
        <v/>
      </c>
      <c r="D123" s="330">
        <f>IF(AND(Data!Q122&lt;&gt;"",Data!L122="Accepté"),Data!Q122,"")</f>
        <v/>
      </c>
      <c r="E123" s="106">
        <f>IF(AND(Data!R122&lt;&gt;"",Data!L122="Accepté"),Data!R122,"")</f>
        <v/>
      </c>
      <c r="F123" s="1037">
        <f>IF(AND(Data!R122&lt;&gt;"",Data!L122="Accepté"),Data!S122,"")</f>
        <v/>
      </c>
      <c r="G123" s="1038">
        <f>IF(Data!R122='Delivery Plan'!E123,Data!U122,"")</f>
        <v/>
      </c>
      <c r="H123" s="327" t="n"/>
      <c r="I123" s="329">
        <f>IF(J123&lt;&gt;"","S"&amp;TEXT(WEEKNUM(J123),"00"),"")</f>
        <v/>
      </c>
      <c r="J123" s="330">
        <f>IF(AND(E123=Data!R122,Data!AA122&lt;&gt;""),Data!AA122,"")</f>
        <v/>
      </c>
      <c r="K123" s="751">
        <f>IF(AND(E123=Data!R122,Data!AE122&lt;&gt;""),Data!AE122,"")</f>
        <v/>
      </c>
      <c r="L123" s="1039">
        <f>IF(E123=Data!R122,Data!AI122,"")</f>
        <v/>
      </c>
      <c r="M123" s="1039">
        <f>IF(E123=Data!R122,Data!AJ122,"")</f>
        <v/>
      </c>
      <c r="N123">
        <f>IF(AND(Data!R122&lt;&gt;"",Data!L122="Accepté"),Data!K122,"")</f>
        <v/>
      </c>
    </row>
    <row r="124" hidden="1" s="701">
      <c r="A124" s="164">
        <f>IF(AND(Data!R123&lt;&gt;"",Data!L123="Accepté"),Data!G123,"")</f>
        <v/>
      </c>
      <c r="B124" s="164">
        <f>IF(AND(Data!R123&lt;&gt;"",Data!L123="Accepté"),Data!L123,"")</f>
        <v/>
      </c>
      <c r="C124" s="329">
        <f>IF(D124&lt;&gt;"","S"&amp;TEXT(WEEKNUM(D124),"00"),"")</f>
        <v/>
      </c>
      <c r="D124" s="330">
        <f>IF(AND(Data!Q123&lt;&gt;"",Data!L123="Accepté"),Data!Q123,"")</f>
        <v/>
      </c>
      <c r="E124" s="106">
        <f>IF(AND(Data!R123&lt;&gt;"",Data!L123="Accepté"),Data!R123,"")</f>
        <v/>
      </c>
      <c r="F124" s="1037">
        <f>IF(AND(Data!R123&lt;&gt;"",Data!L123="Accepté"),Data!S123,"")</f>
        <v/>
      </c>
      <c r="G124" s="1038">
        <f>IF(Data!R123='Delivery Plan'!E124,Data!U123,"")</f>
        <v/>
      </c>
      <c r="H124" s="327" t="n"/>
      <c r="I124" s="329">
        <f>IF(J124&lt;&gt;"","S"&amp;TEXT(WEEKNUM(J124),"00"),"")</f>
        <v/>
      </c>
      <c r="J124" s="330">
        <f>IF(AND(E124=Data!R123,Data!AA123&lt;&gt;""),Data!AA123,"")</f>
        <v/>
      </c>
      <c r="K124" s="751">
        <f>IF(AND(E124=Data!R123,Data!AE123&lt;&gt;""),Data!AE123,"")</f>
        <v/>
      </c>
      <c r="L124" s="1039">
        <f>IF(E124=Data!R123,Data!AI123,"")</f>
        <v/>
      </c>
      <c r="M124" s="1039">
        <f>IF(E124=Data!R123,Data!AJ123,"")</f>
        <v/>
      </c>
      <c r="N124">
        <f>IF(AND(Data!R123&lt;&gt;"",Data!L123="Accepté"),Data!K123,"")</f>
        <v/>
      </c>
    </row>
    <row r="125" hidden="1" s="701">
      <c r="A125" s="164">
        <f>IF(AND(Data!R124&lt;&gt;"",Data!L124="Accepté"),Data!G124,"")</f>
        <v/>
      </c>
      <c r="B125" s="164">
        <f>IF(AND(Data!R124&lt;&gt;"",Data!L124="Accepté"),Data!L124,"")</f>
        <v/>
      </c>
      <c r="C125" s="329">
        <f>IF(D125&lt;&gt;"","S"&amp;TEXT(WEEKNUM(D125),"00"),"")</f>
        <v/>
      </c>
      <c r="D125" s="330">
        <f>IF(AND(Data!Q124&lt;&gt;"",Data!L124="Accepté"),Data!Q124,"")</f>
        <v/>
      </c>
      <c r="E125" s="106">
        <f>IF(AND(Data!R124&lt;&gt;"",Data!L124="Accepté"),Data!R124,"")</f>
        <v/>
      </c>
      <c r="F125" s="1037">
        <f>IF(AND(Data!R124&lt;&gt;"",Data!L124="Accepté"),Data!S124,"")</f>
        <v/>
      </c>
      <c r="G125" s="1038">
        <f>IF(Data!R124='Delivery Plan'!E125,Data!U124,"")</f>
        <v/>
      </c>
      <c r="H125" s="327" t="n"/>
      <c r="I125" s="329">
        <f>IF(J125&lt;&gt;"","S"&amp;TEXT(WEEKNUM(J125),"00"),"")</f>
        <v/>
      </c>
      <c r="J125" s="330">
        <f>IF(AND(E125=Data!R124,Data!AA124&lt;&gt;""),Data!AA124,"")</f>
        <v/>
      </c>
      <c r="K125" s="751">
        <f>IF(AND(E125=Data!R124,Data!AE124&lt;&gt;""),Data!AE124,"")</f>
        <v/>
      </c>
      <c r="L125" s="1039">
        <f>IF(E125=Data!R124,Data!AI124,"")</f>
        <v/>
      </c>
      <c r="M125" s="1039">
        <f>IF(E125=Data!R124,Data!AJ124,"")</f>
        <v/>
      </c>
      <c r="N125">
        <f>IF(AND(Data!R124&lt;&gt;"",Data!L124="Accepté"),Data!K124,"")</f>
        <v/>
      </c>
    </row>
    <row r="126" hidden="1" s="701">
      <c r="A126" s="164">
        <f>IF(AND(Data!R125&lt;&gt;"",Data!L125="Accepté"),Data!G125,"")</f>
        <v/>
      </c>
      <c r="B126" s="164">
        <f>IF(AND(Data!R125&lt;&gt;"",Data!L125="Accepté"),Data!L125,"")</f>
        <v/>
      </c>
      <c r="C126" s="329">
        <f>IF(D126&lt;&gt;"","S"&amp;TEXT(WEEKNUM(D126),"00"),"")</f>
        <v/>
      </c>
      <c r="D126" s="330">
        <f>IF(AND(Data!Q125&lt;&gt;"",Data!L125="Accepté"),Data!Q125,"")</f>
        <v/>
      </c>
      <c r="E126" s="106">
        <f>IF(AND(Data!R125&lt;&gt;"",Data!L125="Accepté"),Data!R125,"")</f>
        <v/>
      </c>
      <c r="F126" s="1037">
        <f>IF(AND(Data!R125&lt;&gt;"",Data!L125="Accepté"),Data!S125,"")</f>
        <v/>
      </c>
      <c r="G126" s="1038">
        <f>IF(Data!R125='Delivery Plan'!E126,Data!U125,"")</f>
        <v/>
      </c>
      <c r="H126" s="327" t="n"/>
      <c r="I126" s="329">
        <f>IF(J126&lt;&gt;"","S"&amp;TEXT(WEEKNUM(J126),"00"),"")</f>
        <v/>
      </c>
      <c r="J126" s="330">
        <f>IF(AND(E126=Data!R125,Data!AA125&lt;&gt;""),Data!AA125,"")</f>
        <v/>
      </c>
      <c r="K126" s="751">
        <f>IF(AND(E126=Data!R125,Data!AE125&lt;&gt;""),Data!AE125,"")</f>
        <v/>
      </c>
      <c r="L126" s="1039">
        <f>IF(E126=Data!R125,Data!AI125,"")</f>
        <v/>
      </c>
      <c r="M126" s="1039">
        <f>IF(E126=Data!R125,Data!AJ125,"")</f>
        <v/>
      </c>
      <c r="N126">
        <f>IF(AND(Data!R125&lt;&gt;"",Data!L125="Accepté"),Data!K125,"")</f>
        <v/>
      </c>
    </row>
    <row r="127">
      <c r="A127" s="164">
        <f>IF(AND(Data!R126&lt;&gt;"",Data!L126="Accepté"),Data!G126,"")</f>
        <v/>
      </c>
      <c r="B127" s="164">
        <f>IF(AND(Data!R126&lt;&gt;"",Data!L126="Accepté"),Data!L126,"")</f>
        <v/>
      </c>
      <c r="C127" s="329">
        <f>IF(D127&lt;&gt;"","S"&amp;TEXT(WEEKNUM(D127),"00"),"")</f>
        <v/>
      </c>
      <c r="D127" s="330">
        <f>IF(AND(Data!Q126&lt;&gt;"",Data!L126="Accepté"),Data!Q126,"")</f>
        <v/>
      </c>
      <c r="E127" s="106">
        <f>IF(AND(Data!R126&lt;&gt;"",Data!L126="Accepté"),Data!R126,"")</f>
        <v/>
      </c>
      <c r="F127" s="1037">
        <f>IF(AND(Data!R126&lt;&gt;"",Data!L126="Accepté"),Data!S126,"")</f>
        <v/>
      </c>
      <c r="G127" s="1038">
        <f>IF(Data!R126='Delivery Plan'!E127,Data!U126,"")</f>
        <v/>
      </c>
      <c r="H127" s="327" t="n"/>
      <c r="I127" s="329">
        <f>IF(J127&lt;&gt;"","S"&amp;TEXT(WEEKNUM(J127),"00"),"")</f>
        <v/>
      </c>
      <c r="J127" s="330">
        <f>IF(AND(E127=Data!R126,Data!AA126&lt;&gt;""),Data!AA126,"")</f>
        <v/>
      </c>
      <c r="K127" s="751">
        <f>IF(AND(E127=Data!R126,Data!AE126&lt;&gt;""),Data!AE126,"")</f>
        <v/>
      </c>
      <c r="L127" s="1039">
        <f>IF(E127=Data!R126,Data!AI126,"")</f>
        <v/>
      </c>
      <c r="M127" s="1039">
        <f>IF(E127=Data!R126,Data!AJ126,"")</f>
        <v/>
      </c>
      <c r="N127">
        <f>IF(AND(Data!R126&lt;&gt;"",Data!L126="Accepté"),Data!K126,"")</f>
        <v/>
      </c>
    </row>
    <row r="128" hidden="1" s="701">
      <c r="A128" s="164">
        <f>IF(AND(Data!R127&lt;&gt;"",Data!L127="Accepté"),Data!G127,"")</f>
        <v/>
      </c>
      <c r="B128" s="164">
        <f>IF(AND(Data!R127&lt;&gt;"",Data!L127="Accepté"),Data!L127,"")</f>
        <v/>
      </c>
      <c r="C128" s="329">
        <f>IF(D128&lt;&gt;"","S"&amp;TEXT(WEEKNUM(D128),"00"),"")</f>
        <v/>
      </c>
      <c r="D128" s="330">
        <f>IF(AND(Data!Q127&lt;&gt;"",Data!L127="Accepté"),Data!Q127,"")</f>
        <v/>
      </c>
      <c r="E128" s="106">
        <f>IF(AND(Data!R127&lt;&gt;"",Data!L127="Accepté"),Data!R127,"")</f>
        <v/>
      </c>
      <c r="F128" s="1037">
        <f>IF(AND(Data!R127&lt;&gt;"",Data!L127="Accepté"),Data!S127,"")</f>
        <v/>
      </c>
      <c r="G128" s="1038">
        <f>IF(Data!R127='Delivery Plan'!E128,Data!U127,"")</f>
        <v/>
      </c>
      <c r="H128" s="327" t="n"/>
      <c r="I128" s="329">
        <f>IF(J128&lt;&gt;"","S"&amp;TEXT(WEEKNUM(J128),"00"),"")</f>
        <v/>
      </c>
      <c r="J128" s="330">
        <f>IF(AND(E128=Data!R127,Data!AA127&lt;&gt;""),Data!AA127,"")</f>
        <v/>
      </c>
      <c r="K128" s="751">
        <f>IF(AND(E128=Data!R127,Data!AE127&lt;&gt;""),Data!AE127,"")</f>
        <v/>
      </c>
      <c r="L128" s="1039">
        <f>IF(E128=Data!R127,Data!AI127,"")</f>
        <v/>
      </c>
      <c r="M128" s="1039">
        <f>IF(E128=Data!R127,Data!AJ127,"")</f>
        <v/>
      </c>
      <c r="N128">
        <f>IF(AND(Data!R127&lt;&gt;"",Data!L127="Accepté"),Data!K127,"")</f>
        <v/>
      </c>
    </row>
    <row r="129" hidden="1" s="701">
      <c r="A129" s="164">
        <f>IF(AND(Data!R128&lt;&gt;"",Data!L128="Accepté"),Data!G128,"")</f>
        <v/>
      </c>
      <c r="B129" s="164">
        <f>IF(AND(Data!R128&lt;&gt;"",Data!L128="Accepté"),Data!L128,"")</f>
        <v/>
      </c>
      <c r="C129" s="329">
        <f>IF(D129&lt;&gt;"","S"&amp;TEXT(WEEKNUM(D129),"00"),"")</f>
        <v/>
      </c>
      <c r="D129" s="330">
        <f>IF(AND(Data!Q128&lt;&gt;"",Data!L128="Accepté"),Data!Q128,"")</f>
        <v/>
      </c>
      <c r="E129" s="106">
        <f>IF(AND(Data!R128&lt;&gt;"",Data!L128="Accepté"),Data!R128,"")</f>
        <v/>
      </c>
      <c r="F129" s="1037">
        <f>IF(AND(Data!R128&lt;&gt;"",Data!L128="Accepté"),Data!S128,"")</f>
        <v/>
      </c>
      <c r="G129" s="1038">
        <f>IF(Data!R128='Delivery Plan'!E129,Data!U128,"")</f>
        <v/>
      </c>
      <c r="H129" s="327" t="n"/>
      <c r="I129" s="329">
        <f>IF(J129&lt;&gt;"","S"&amp;TEXT(WEEKNUM(J129),"00"),"")</f>
        <v/>
      </c>
      <c r="J129" s="330">
        <f>IF(AND(E129=Data!R128,Data!AA128&lt;&gt;""),Data!AA128,"")</f>
        <v/>
      </c>
      <c r="K129" s="751">
        <f>IF(AND(E129=Data!R128,Data!AE128&lt;&gt;""),Data!AE128,"")</f>
        <v/>
      </c>
      <c r="L129" s="1039">
        <f>IF(E129=Data!R128,Data!AI128,"")</f>
        <v/>
      </c>
      <c r="M129" s="1039">
        <f>IF(E129=Data!R128,Data!AJ128,"")</f>
        <v/>
      </c>
      <c r="N129">
        <f>IF(AND(Data!R128&lt;&gt;"",Data!L128="Accepté"),Data!K128,"")</f>
        <v/>
      </c>
    </row>
    <row r="130" hidden="1" s="701">
      <c r="A130" s="164">
        <f>IF(AND(Data!R129&lt;&gt;"",Data!L129="Accepté"),Data!G129,"")</f>
        <v/>
      </c>
      <c r="B130" s="164">
        <f>IF(AND(Data!R129&lt;&gt;"",Data!L129="Accepté"),Data!L129,"")</f>
        <v/>
      </c>
      <c r="C130" s="329">
        <f>IF(D130&lt;&gt;"","S"&amp;TEXT(WEEKNUM(D130),"00"),"")</f>
        <v/>
      </c>
      <c r="D130" s="330">
        <f>IF(AND(Data!Q129&lt;&gt;"",Data!L129="Accepté"),Data!Q129,"")</f>
        <v/>
      </c>
      <c r="E130" s="106">
        <f>IF(AND(Data!R129&lt;&gt;"",Data!L129="Accepté"),Data!R129,"")</f>
        <v/>
      </c>
      <c r="F130" s="1037">
        <f>IF(AND(Data!R129&lt;&gt;"",Data!L129="Accepté"),Data!S129,"")</f>
        <v/>
      </c>
      <c r="G130" s="1038">
        <f>IF(Data!R129='Delivery Plan'!E130,Data!U129,"")</f>
        <v/>
      </c>
      <c r="H130" s="327" t="n"/>
      <c r="I130" s="329">
        <f>IF(J130&lt;&gt;"","S"&amp;TEXT(WEEKNUM(J130),"00"),"")</f>
        <v/>
      </c>
      <c r="J130" s="330">
        <f>IF(AND(E130=Data!R129,Data!AA129&lt;&gt;""),Data!AA129,"")</f>
        <v/>
      </c>
      <c r="K130" s="751">
        <f>IF(AND(E130=Data!R129,Data!AE129&lt;&gt;""),Data!AE129,"")</f>
        <v/>
      </c>
      <c r="L130" s="1039">
        <f>IF(E130=Data!R129,Data!AI129,"")</f>
        <v/>
      </c>
      <c r="M130" s="1039">
        <f>IF(E130=Data!R129,Data!AJ129,"")</f>
        <v/>
      </c>
      <c r="N130">
        <f>IF(AND(Data!R129&lt;&gt;"",Data!L129="Accepté"),Data!K129,"")</f>
        <v/>
      </c>
    </row>
    <row r="131" hidden="1" s="701">
      <c r="A131" s="164">
        <f>IF(AND(Data!R130&lt;&gt;"",Data!L130="Accepté"),Data!G130,"")</f>
        <v/>
      </c>
      <c r="B131" s="164">
        <f>IF(AND(Data!R130&lt;&gt;"",Data!L130="Accepté"),Data!L130,"")</f>
        <v/>
      </c>
      <c r="C131" s="329">
        <f>IF(D131&lt;&gt;"","S"&amp;TEXT(WEEKNUM(D131),"00"),"")</f>
        <v/>
      </c>
      <c r="D131" s="330">
        <f>IF(AND(Data!Q130&lt;&gt;"",Data!L130="Accepté"),Data!Q130,"")</f>
        <v/>
      </c>
      <c r="E131" s="106">
        <f>IF(AND(Data!R130&lt;&gt;"",Data!L130="Accepté"),Data!R130,"")</f>
        <v/>
      </c>
      <c r="F131" s="1037">
        <f>IF(AND(Data!R130&lt;&gt;"",Data!L130="Accepté"),Data!S130,"")</f>
        <v/>
      </c>
      <c r="G131" s="1038">
        <f>IF(Data!R130='Delivery Plan'!E131,Data!U130,"")</f>
        <v/>
      </c>
      <c r="H131" s="327" t="n"/>
      <c r="I131" s="329">
        <f>IF(J131&lt;&gt;"","S"&amp;TEXT(WEEKNUM(J131),"00"),"")</f>
        <v/>
      </c>
      <c r="J131" s="330">
        <f>IF(AND(E131=Data!R130,Data!AA130&lt;&gt;""),Data!AA130,"")</f>
        <v/>
      </c>
      <c r="K131" s="751">
        <f>IF(AND(E131=Data!R130,Data!AE130&lt;&gt;""),Data!AE130,"")</f>
        <v/>
      </c>
      <c r="L131" s="1039">
        <f>IF(E131=Data!R130,Data!AI130,"")</f>
        <v/>
      </c>
      <c r="M131" s="1039">
        <f>IF(E131=Data!R130,Data!AJ130,"")</f>
        <v/>
      </c>
      <c r="N131">
        <f>IF(AND(Data!R130&lt;&gt;"",Data!L130="Accepté"),Data!K130,"")</f>
        <v/>
      </c>
    </row>
    <row r="132" hidden="1" s="701">
      <c r="A132" s="164">
        <f>IF(AND(Data!R131&lt;&gt;"",Data!L131="Accepté"),Data!G131,"")</f>
        <v/>
      </c>
      <c r="B132" s="164">
        <f>IF(AND(Data!R131&lt;&gt;"",Data!L131="Accepté"),Data!L131,"")</f>
        <v/>
      </c>
      <c r="C132" s="329">
        <f>IF(D132&lt;&gt;"","S"&amp;TEXT(WEEKNUM(D132),"00"),"")</f>
        <v/>
      </c>
      <c r="D132" s="330">
        <f>IF(AND(Data!Q131&lt;&gt;"",Data!L131="Accepté"),Data!Q131,"")</f>
        <v/>
      </c>
      <c r="E132" s="106">
        <f>IF(AND(Data!R131&lt;&gt;"",Data!L131="Accepté"),Data!R131,"")</f>
        <v/>
      </c>
      <c r="F132" s="1037">
        <f>IF(AND(Data!R131&lt;&gt;"",Data!L131="Accepté"),Data!S131,"")</f>
        <v/>
      </c>
      <c r="G132" s="1038">
        <f>IF(Data!R131='Delivery Plan'!E132,Data!U131,"")</f>
        <v/>
      </c>
      <c r="H132" s="327" t="n"/>
      <c r="I132" s="329">
        <f>IF(J132&lt;&gt;"","S"&amp;TEXT(WEEKNUM(J132),"00"),"")</f>
        <v/>
      </c>
      <c r="J132" s="330">
        <f>IF(AND(E132=Data!R131,Data!AA131&lt;&gt;""),Data!AA131,"")</f>
        <v/>
      </c>
      <c r="K132" s="751">
        <f>IF(AND(E132=Data!R131,Data!AE131&lt;&gt;""),Data!AE131,"")</f>
        <v/>
      </c>
      <c r="L132" s="1039">
        <f>IF(E132=Data!R131,Data!AI131,"")</f>
        <v/>
      </c>
      <c r="M132" s="1039">
        <f>IF(E132=Data!R131,Data!AJ131,"")</f>
        <v/>
      </c>
      <c r="N132">
        <f>IF(AND(Data!R131&lt;&gt;"",Data!L131="Accepté"),Data!K131,"")</f>
        <v/>
      </c>
    </row>
    <row r="133">
      <c r="A133" s="164">
        <f>IF(AND(Data!R132&lt;&gt;"",Data!L132="Accepté"),Data!G132,"")</f>
        <v/>
      </c>
      <c r="B133" s="164">
        <f>IF(AND(Data!R132&lt;&gt;"",Data!L132="Accepté"),Data!L132,"")</f>
        <v/>
      </c>
      <c r="C133" s="329">
        <f>IF(D133&lt;&gt;"","S"&amp;TEXT(WEEKNUM(D133),"00"),"")</f>
        <v/>
      </c>
      <c r="D133" s="330">
        <f>IF(AND(Data!Q132&lt;&gt;"",Data!L132="Accepté"),Data!Q132,"")</f>
        <v/>
      </c>
      <c r="E133" s="106">
        <f>IF(AND(Data!R132&lt;&gt;"",Data!L132="Accepté"),Data!R132,"")</f>
        <v/>
      </c>
      <c r="F133" s="1037">
        <f>IF(AND(Data!R132&lt;&gt;"",Data!L132="Accepté"),Data!S132,"")</f>
        <v/>
      </c>
      <c r="G133" s="1038">
        <f>IF(Data!R132='Delivery Plan'!E133,Data!U132,"")</f>
        <v/>
      </c>
      <c r="H133" s="327" t="n"/>
      <c r="I133" s="329">
        <f>IF(J133&lt;&gt;"","S"&amp;TEXT(WEEKNUM(J133),"00"),"")</f>
        <v/>
      </c>
      <c r="J133" s="330">
        <f>IF(AND(E133=Data!R132,Data!AA132&lt;&gt;""),Data!AA132,"")</f>
        <v/>
      </c>
      <c r="K133" s="751">
        <f>IF(AND(E133=Data!R132,Data!AE132&lt;&gt;""),Data!AE132,"")</f>
        <v/>
      </c>
      <c r="L133" s="1039">
        <f>IF(E133=Data!R132,Data!AI132,"")</f>
        <v/>
      </c>
      <c r="M133" s="1039">
        <f>IF(E133=Data!R132,Data!AJ132,"")</f>
        <v/>
      </c>
      <c r="N133">
        <f>IF(AND(Data!R132&lt;&gt;"",Data!L132="Accepté"),Data!K132,"")</f>
        <v/>
      </c>
    </row>
    <row r="134">
      <c r="A134" s="164">
        <f>IF(AND(Data!R133&lt;&gt;"",Data!L133="Accepté"),Data!G133,"")</f>
        <v/>
      </c>
      <c r="B134" s="164">
        <f>IF(AND(Data!R133&lt;&gt;"",Data!L133="Accepté"),Data!L133,"")</f>
        <v/>
      </c>
      <c r="C134" s="329">
        <f>IF(D134&lt;&gt;"","S"&amp;TEXT(WEEKNUM(D134),"00"),"")</f>
        <v/>
      </c>
      <c r="D134" s="330">
        <f>IF(AND(Data!Q133&lt;&gt;"",Data!L133="Accepté"),Data!Q133,"")</f>
        <v/>
      </c>
      <c r="E134" s="106">
        <f>IF(AND(Data!R133&lt;&gt;"",Data!L133="Accepté"),Data!R133,"")</f>
        <v/>
      </c>
      <c r="F134" s="1037">
        <f>IF(AND(Data!R133&lt;&gt;"",Data!L133="Accepté"),Data!S133,"")</f>
        <v/>
      </c>
      <c r="G134" s="1038">
        <f>IF(Data!R133='Delivery Plan'!E134,Data!U133,"")</f>
        <v/>
      </c>
      <c r="H134" s="327" t="n"/>
      <c r="I134" s="329">
        <f>IF(J134&lt;&gt;"","S"&amp;TEXT(WEEKNUM(J134),"00"),"")</f>
        <v/>
      </c>
      <c r="J134" s="330">
        <f>IF(AND(E134=Data!R133,Data!AA133&lt;&gt;""),Data!AA133,"")</f>
        <v/>
      </c>
      <c r="K134" s="751">
        <f>IF(AND(E134=Data!R133,Data!AE133&lt;&gt;""),Data!AE133,"")</f>
        <v/>
      </c>
      <c r="L134" s="1039">
        <f>IF(E134=Data!R133,Data!AI133,"")</f>
        <v/>
      </c>
      <c r="M134" s="1039">
        <f>IF(E134=Data!R133,Data!AJ133,"")</f>
        <v/>
      </c>
      <c r="N134">
        <f>IF(AND(Data!R133&lt;&gt;"",Data!L133="Accepté"),Data!K133,"")</f>
        <v/>
      </c>
    </row>
    <row r="135" hidden="1" s="701">
      <c r="A135" s="164">
        <f>IF(AND(Data!R134&lt;&gt;"",Data!L134="Accepté"),Data!G134,"")</f>
        <v/>
      </c>
      <c r="B135" s="164">
        <f>IF(AND(Data!R134&lt;&gt;"",Data!L134="Accepté"),Data!L134,"")</f>
        <v/>
      </c>
      <c r="C135" s="329">
        <f>IF(D135&lt;&gt;"","S"&amp;TEXT(WEEKNUM(D135),"00"),"")</f>
        <v/>
      </c>
      <c r="D135" s="330">
        <f>IF(AND(Data!Q134&lt;&gt;"",Data!L134="Accepté"),Data!Q134,"")</f>
        <v/>
      </c>
      <c r="E135" s="106">
        <f>IF(AND(Data!R134&lt;&gt;"",Data!L134="Accepté"),Data!R134,"")</f>
        <v/>
      </c>
      <c r="F135" s="1037">
        <f>IF(AND(Data!R134&lt;&gt;"",Data!L134="Accepté"),Data!S134,"")</f>
        <v/>
      </c>
      <c r="G135" s="1038">
        <f>IF(Data!R134='Delivery Plan'!E135,Data!U134,"")</f>
        <v/>
      </c>
      <c r="H135" s="327" t="n"/>
      <c r="I135" s="329">
        <f>IF(J135&lt;&gt;"","S"&amp;TEXT(WEEKNUM(J135),"00"),"")</f>
        <v/>
      </c>
      <c r="J135" s="330">
        <f>IF(AND(E135=Data!R134,Data!AA134&lt;&gt;""),Data!AA134,"")</f>
        <v/>
      </c>
      <c r="K135" s="751">
        <f>IF(AND(E135=Data!R134,Data!AE134&lt;&gt;""),Data!AE134,"")</f>
        <v/>
      </c>
      <c r="L135" s="1039">
        <f>IF(E135=Data!R134,Data!AI134,"")</f>
        <v/>
      </c>
      <c r="M135" s="1039">
        <f>IF(E135=Data!R134,Data!AJ134,"")</f>
        <v/>
      </c>
      <c r="N135">
        <f>IF(AND(Data!R134&lt;&gt;"",Data!L134="Accepté"),Data!K134,"")</f>
        <v/>
      </c>
    </row>
    <row r="136" hidden="1" s="701">
      <c r="A136" s="164">
        <f>IF(AND(Data!R135&lt;&gt;"",Data!L135="Accepté"),Data!G135,"")</f>
        <v/>
      </c>
      <c r="B136" s="164">
        <f>IF(AND(Data!R135&lt;&gt;"",Data!L135="Accepté"),Data!L135,"")</f>
        <v/>
      </c>
      <c r="C136" s="329">
        <f>IF(D136&lt;&gt;"","S"&amp;TEXT(WEEKNUM(D136),"00"),"")</f>
        <v/>
      </c>
      <c r="D136" s="330">
        <f>IF(AND(Data!Q135&lt;&gt;"",Data!L135="Accepté"),Data!Q135,"")</f>
        <v/>
      </c>
      <c r="E136" s="106">
        <f>IF(AND(Data!R135&lt;&gt;"",Data!L135="Accepté"),Data!R135,"")</f>
        <v/>
      </c>
      <c r="F136" s="1037">
        <f>IF(AND(Data!R135&lt;&gt;"",Data!L135="Accepté"),Data!S135,"")</f>
        <v/>
      </c>
      <c r="G136" s="1038">
        <f>IF(Data!R135='Delivery Plan'!E136,Data!U135,"")</f>
        <v/>
      </c>
      <c r="H136" s="327" t="n"/>
      <c r="I136" s="329">
        <f>IF(J136&lt;&gt;"","S"&amp;TEXT(WEEKNUM(J136),"00"),"")</f>
        <v/>
      </c>
      <c r="J136" s="330">
        <f>IF(AND(E136=Data!R135,Data!AA135&lt;&gt;""),Data!AA135,"")</f>
        <v/>
      </c>
      <c r="K136" s="751">
        <f>IF(AND(E136=Data!R135,Data!AE135&lt;&gt;""),Data!AE135,"")</f>
        <v/>
      </c>
      <c r="L136" s="1039">
        <f>IF(E136=Data!R135,Data!AI135,"")</f>
        <v/>
      </c>
      <c r="M136" s="1039">
        <f>IF(E136=Data!R135,Data!AJ135,"")</f>
        <v/>
      </c>
      <c r="N136">
        <f>IF(AND(Data!R135&lt;&gt;"",Data!L135="Accepté"),Data!K135,"")</f>
        <v/>
      </c>
    </row>
    <row r="137" hidden="1" s="701">
      <c r="A137" s="164">
        <f>IF(AND(Data!R136&lt;&gt;"",Data!L136="Accepté"),Data!G136,"")</f>
        <v/>
      </c>
      <c r="B137" s="164">
        <f>IF(AND(Data!R136&lt;&gt;"",Data!L136="Accepté"),Data!L136,"")</f>
        <v/>
      </c>
      <c r="C137" s="329">
        <f>IF(D137&lt;&gt;"","S"&amp;TEXT(WEEKNUM(D137),"00"),"")</f>
        <v/>
      </c>
      <c r="D137" s="330">
        <f>IF(AND(Data!Q136&lt;&gt;"",Data!L136="Accepté"),Data!Q136,"")</f>
        <v/>
      </c>
      <c r="E137" s="106">
        <f>IF(AND(Data!R136&lt;&gt;"",Data!L136="Accepté"),Data!R136,"")</f>
        <v/>
      </c>
      <c r="F137" s="1037">
        <f>IF(AND(Data!R136&lt;&gt;"",Data!L136="Accepté"),Data!S136,"")</f>
        <v/>
      </c>
      <c r="G137" s="1038">
        <f>IF(Data!R136='Delivery Plan'!E137,Data!U136,"")</f>
        <v/>
      </c>
      <c r="H137" s="327" t="n"/>
      <c r="I137" s="329">
        <f>IF(J137&lt;&gt;"","S"&amp;TEXT(WEEKNUM(J137),"00"),"")</f>
        <v/>
      </c>
      <c r="J137" s="330">
        <f>IF(AND(E137=Data!R136,Data!AA136&lt;&gt;""),Data!AA136,"")</f>
        <v/>
      </c>
      <c r="K137" s="751">
        <f>IF(AND(E137=Data!R136,Data!AE136&lt;&gt;""),Data!AE136,"")</f>
        <v/>
      </c>
      <c r="L137" s="1039">
        <f>IF(E137=Data!R136,Data!AI136,"")</f>
        <v/>
      </c>
      <c r="M137" s="1039">
        <f>IF(E137=Data!R136,Data!AJ136,"")</f>
        <v/>
      </c>
      <c r="N137">
        <f>IF(AND(Data!R136&lt;&gt;"",Data!L136="Accepté"),Data!K136,"")</f>
        <v/>
      </c>
    </row>
    <row r="138" hidden="1" s="701">
      <c r="A138" s="164">
        <f>IF(AND(Data!R137&lt;&gt;"",Data!L137="Accepté"),Data!G137,"")</f>
        <v/>
      </c>
      <c r="B138" s="164">
        <f>IF(AND(Data!R137&lt;&gt;"",Data!L137="Accepté"),Data!L137,"")</f>
        <v/>
      </c>
      <c r="C138" s="329">
        <f>IF(D138&lt;&gt;"","S"&amp;TEXT(WEEKNUM(D138),"00"),"")</f>
        <v/>
      </c>
      <c r="D138" s="330">
        <f>IF(AND(Data!Q137&lt;&gt;"",Data!L137="Accepté"),Data!Q137,"")</f>
        <v/>
      </c>
      <c r="E138" s="106">
        <f>IF(AND(Data!R137&lt;&gt;"",Data!L137="Accepté"),Data!R137,"")</f>
        <v/>
      </c>
      <c r="F138" s="1037">
        <f>IF(AND(Data!R137&lt;&gt;"",Data!L137="Accepté"),Data!S137,"")</f>
        <v/>
      </c>
      <c r="G138" s="1038">
        <f>IF(Data!R137='Delivery Plan'!E138,Data!U137,"")</f>
        <v/>
      </c>
      <c r="H138" s="327" t="n"/>
      <c r="I138" s="329">
        <f>IF(J138&lt;&gt;"","S"&amp;TEXT(WEEKNUM(J138),"00"),"")</f>
        <v/>
      </c>
      <c r="J138" s="330">
        <f>IF(AND(E138=Data!R137,Data!AA137&lt;&gt;""),Data!AA137,"")</f>
        <v/>
      </c>
      <c r="K138" s="751">
        <f>IF(AND(E138=Data!R137,Data!AE137&lt;&gt;""),Data!AE137,"")</f>
        <v/>
      </c>
      <c r="L138" s="1039">
        <f>IF(E138=Data!R137,Data!AI137,"")</f>
        <v/>
      </c>
      <c r="M138" s="1039">
        <f>IF(E138=Data!R137,Data!AJ137,"")</f>
        <v/>
      </c>
      <c r="N138">
        <f>IF(AND(Data!R137&lt;&gt;"",Data!L137="Accepté"),Data!K137,"")</f>
        <v/>
      </c>
    </row>
    <row r="139" hidden="1" s="701">
      <c r="A139" s="164">
        <f>IF(AND(Data!R138&lt;&gt;"",Data!L138="Accepté"),Data!G138,"")</f>
        <v/>
      </c>
      <c r="B139" s="164">
        <f>IF(AND(Data!R138&lt;&gt;"",Data!L138="Accepté"),Data!L138,"")</f>
        <v/>
      </c>
      <c r="C139" s="329">
        <f>IF(D139&lt;&gt;"","S"&amp;TEXT(WEEKNUM(D139),"00"),"")</f>
        <v/>
      </c>
      <c r="D139" s="330">
        <f>IF(AND(Data!Q138&lt;&gt;"",Data!L138="Accepté"),Data!Q138,"")</f>
        <v/>
      </c>
      <c r="E139" s="106">
        <f>IF(AND(Data!R138&lt;&gt;"",Data!L138="Accepté"),Data!R138,"")</f>
        <v/>
      </c>
      <c r="F139" s="1037">
        <f>IF(AND(Data!R138&lt;&gt;"",Data!L138="Accepté"),Data!S138,"")</f>
        <v/>
      </c>
      <c r="G139" s="1038">
        <f>IF(Data!R138='Delivery Plan'!E139,Data!U138,"")</f>
        <v/>
      </c>
      <c r="H139" s="327" t="n"/>
      <c r="I139" s="329">
        <f>IF(J139&lt;&gt;"","S"&amp;TEXT(WEEKNUM(J139),"00"),"")</f>
        <v/>
      </c>
      <c r="J139" s="330">
        <f>IF(AND(E139=Data!R138,Data!AA138&lt;&gt;""),Data!AA138,"")</f>
        <v/>
      </c>
      <c r="K139" s="751">
        <f>IF(AND(E139=Data!R138,Data!AE138&lt;&gt;""),Data!AE138,"")</f>
        <v/>
      </c>
      <c r="L139" s="1039">
        <f>IF(E139=Data!R138,Data!AI138,"")</f>
        <v/>
      </c>
      <c r="M139" s="1039">
        <f>IF(E139=Data!R138,Data!AJ138,"")</f>
        <v/>
      </c>
      <c r="N139">
        <f>IF(AND(Data!R138&lt;&gt;"",Data!L138="Accepté"),Data!K138,"")</f>
        <v/>
      </c>
    </row>
    <row r="140" hidden="1" s="701">
      <c r="A140" s="164">
        <f>IF(AND(Data!R139&lt;&gt;"",Data!L139="Accepté"),Data!G139,"")</f>
        <v/>
      </c>
      <c r="B140" s="164">
        <f>IF(AND(Data!R139&lt;&gt;"",Data!L139="Accepté"),Data!L139,"")</f>
        <v/>
      </c>
      <c r="C140" s="329">
        <f>IF(D140&lt;&gt;"","S"&amp;TEXT(WEEKNUM(D140),"00"),"")</f>
        <v/>
      </c>
      <c r="D140" s="330">
        <f>IF(AND(Data!Q139&lt;&gt;"",Data!L139="Accepté"),Data!Q139,"")</f>
        <v/>
      </c>
      <c r="E140" s="106">
        <f>IF(AND(Data!R139&lt;&gt;"",Data!L139="Accepté"),Data!R139,"")</f>
        <v/>
      </c>
      <c r="F140" s="1037">
        <f>IF(AND(Data!R139&lt;&gt;"",Data!L139="Accepté"),Data!S139,"")</f>
        <v/>
      </c>
      <c r="G140" s="1038">
        <f>IF(Data!R139='Delivery Plan'!E140,Data!U139,"")</f>
        <v/>
      </c>
      <c r="H140" s="327" t="n"/>
      <c r="I140" s="329">
        <f>IF(J140&lt;&gt;"","S"&amp;TEXT(WEEKNUM(J140),"00"),"")</f>
        <v/>
      </c>
      <c r="J140" s="330">
        <f>IF(AND(E140=Data!R139,Data!AA139&lt;&gt;""),Data!AA139,"")</f>
        <v/>
      </c>
      <c r="K140" s="751">
        <f>IF(AND(E140=Data!R139,Data!AE139&lt;&gt;""),Data!AE139,"")</f>
        <v/>
      </c>
      <c r="L140" s="1039">
        <f>IF(E140=Data!R139,Data!AI139,"")</f>
        <v/>
      </c>
      <c r="M140" s="1039">
        <f>IF(E140=Data!R139,Data!AJ139,"")</f>
        <v/>
      </c>
      <c r="N140">
        <f>IF(AND(Data!R139&lt;&gt;"",Data!L139="Accepté"),Data!K139,"")</f>
        <v/>
      </c>
    </row>
    <row r="141" hidden="1" s="701">
      <c r="A141" s="164">
        <f>IF(AND(Data!R140&lt;&gt;"",Data!L140="Accepté"),Data!G140,"")</f>
        <v/>
      </c>
      <c r="B141" s="164">
        <f>IF(AND(Data!R140&lt;&gt;"",Data!L140="Accepté"),Data!L140,"")</f>
        <v/>
      </c>
      <c r="C141" s="329">
        <f>IF(D141&lt;&gt;"","S"&amp;TEXT(WEEKNUM(D141),"00"),"")</f>
        <v/>
      </c>
      <c r="D141" s="330">
        <f>IF(AND(Data!Q140&lt;&gt;"",Data!L140="Accepté"),Data!Q140,"")</f>
        <v/>
      </c>
      <c r="E141" s="106">
        <f>IF(AND(Data!R140&lt;&gt;"",Data!L140="Accepté"),Data!R140,"")</f>
        <v/>
      </c>
      <c r="F141" s="1037">
        <f>IF(AND(Data!R140&lt;&gt;"",Data!L140="Accepté"),Data!S140,"")</f>
        <v/>
      </c>
      <c r="G141" s="1038">
        <f>IF(Data!R140='Delivery Plan'!E141,Data!U140,"")</f>
        <v/>
      </c>
      <c r="H141" s="327" t="n"/>
      <c r="I141" s="329">
        <f>IF(J141&lt;&gt;"","S"&amp;TEXT(WEEKNUM(J141),"00"),"")</f>
        <v/>
      </c>
      <c r="J141" s="330">
        <f>IF(AND(E141=Data!R140,Data!AA140&lt;&gt;""),Data!AA140,"")</f>
        <v/>
      </c>
      <c r="K141" s="751">
        <f>IF(AND(E141=Data!R140,Data!AE140&lt;&gt;""),Data!AE140,"")</f>
        <v/>
      </c>
      <c r="L141" s="1039">
        <f>IF(E141=Data!R140,Data!AI140,"")</f>
        <v/>
      </c>
      <c r="M141" s="1039">
        <f>IF(E141=Data!R140,Data!AJ140,"")</f>
        <v/>
      </c>
      <c r="N141">
        <f>IF(AND(Data!R140&lt;&gt;"",Data!L140="Accepté"),Data!K140,"")</f>
        <v/>
      </c>
    </row>
    <row r="142" hidden="1" s="701">
      <c r="A142" s="164">
        <f>IF(AND(Data!R141&lt;&gt;"",Data!L141="Accepté"),Data!G141,"")</f>
        <v/>
      </c>
      <c r="B142" s="164">
        <f>IF(AND(Data!R141&lt;&gt;"",Data!L141="Accepté"),Data!L141,"")</f>
        <v/>
      </c>
      <c r="C142" s="329">
        <f>IF(D142&lt;&gt;"","S"&amp;TEXT(WEEKNUM(D142),"00"),"")</f>
        <v/>
      </c>
      <c r="D142" s="330">
        <f>IF(AND(Data!Q141&lt;&gt;"",Data!L141="Accepté"),Data!Q141,"")</f>
        <v/>
      </c>
      <c r="E142" s="106">
        <f>IF(AND(Data!R141&lt;&gt;"",Data!L141="Accepté"),Data!R141,"")</f>
        <v/>
      </c>
      <c r="F142" s="1037">
        <f>IF(AND(Data!R141&lt;&gt;"",Data!L141="Accepté"),Data!S141,"")</f>
        <v/>
      </c>
      <c r="G142" s="1038">
        <f>IF(Data!R141='Delivery Plan'!E142,Data!U141,"")</f>
        <v/>
      </c>
      <c r="H142" s="327" t="n"/>
      <c r="I142" s="329">
        <f>IF(J142&lt;&gt;"","S"&amp;TEXT(WEEKNUM(J142),"00"),"")</f>
        <v/>
      </c>
      <c r="J142" s="330">
        <f>IF(AND(E142=Data!R141,Data!AA141&lt;&gt;""),Data!AA141,"")</f>
        <v/>
      </c>
      <c r="K142" s="751">
        <f>IF(AND(E142=Data!R141,Data!AE141&lt;&gt;""),Data!AE141,"")</f>
        <v/>
      </c>
      <c r="L142" s="1039">
        <f>IF(E142=Data!R141,Data!AI141,"")</f>
        <v/>
      </c>
      <c r="M142" s="1039">
        <f>IF(E142=Data!R141,Data!AJ141,"")</f>
        <v/>
      </c>
      <c r="N142">
        <f>IF(AND(Data!R141&lt;&gt;"",Data!L141="Accepté"),Data!K141,"")</f>
        <v/>
      </c>
    </row>
    <row r="143" hidden="1" s="701">
      <c r="A143" s="164">
        <f>IF(AND(Data!R142&lt;&gt;"",Data!L142="Accepté"),Data!G142,"")</f>
        <v/>
      </c>
      <c r="B143" s="164">
        <f>IF(AND(Data!R142&lt;&gt;"",Data!L142="Accepté"),Data!L142,"")</f>
        <v/>
      </c>
      <c r="C143" s="329">
        <f>IF(D143&lt;&gt;"","S"&amp;TEXT(WEEKNUM(D143),"00"),"")</f>
        <v/>
      </c>
      <c r="D143" s="330">
        <f>IF(AND(Data!Q142&lt;&gt;"",Data!L142="Accepté"),Data!Q142,"")</f>
        <v/>
      </c>
      <c r="E143" s="106">
        <f>IF(AND(Data!R142&lt;&gt;"",Data!L142="Accepté"),Data!R142,"")</f>
        <v/>
      </c>
      <c r="F143" s="1037">
        <f>IF(AND(Data!R142&lt;&gt;"",Data!L142="Accepté"),Data!S142,"")</f>
        <v/>
      </c>
      <c r="G143" s="1038">
        <f>IF(Data!R142='Delivery Plan'!E143,Data!U142,"")</f>
        <v/>
      </c>
      <c r="H143" s="327" t="n"/>
      <c r="I143" s="329">
        <f>IF(J143&lt;&gt;"","S"&amp;TEXT(WEEKNUM(J143),"00"),"")</f>
        <v/>
      </c>
      <c r="J143" s="330">
        <f>IF(AND(E143=Data!R142,Data!AA142&lt;&gt;""),Data!AA142,"")</f>
        <v/>
      </c>
      <c r="K143" s="751">
        <f>IF(AND(E143=Data!R142,Data!AE142&lt;&gt;""),Data!AE142,"")</f>
        <v/>
      </c>
      <c r="L143" s="1039">
        <f>IF(E143=Data!R142,Data!AI142,"")</f>
        <v/>
      </c>
      <c r="M143" s="1039">
        <f>IF(E143=Data!R142,Data!AJ142,"")</f>
        <v/>
      </c>
      <c r="N143">
        <f>IF(AND(Data!R142&lt;&gt;"",Data!L142="Accepté"),Data!K142,"")</f>
        <v/>
      </c>
    </row>
    <row r="144" hidden="1" s="701">
      <c r="A144" s="164">
        <f>IF(AND(Data!R143&lt;&gt;"",Data!L143="Accepté"),Data!G143,"")</f>
        <v/>
      </c>
      <c r="B144" s="164">
        <f>IF(AND(Data!R143&lt;&gt;"",Data!L143="Accepté"),Data!L143,"")</f>
        <v/>
      </c>
      <c r="C144" s="329">
        <f>IF(D144&lt;&gt;"","S"&amp;TEXT(WEEKNUM(D144),"00"),"")</f>
        <v/>
      </c>
      <c r="D144" s="330">
        <f>IF(AND(Data!Q143&lt;&gt;"",Data!L143="Accepté"),Data!Q143,"")</f>
        <v/>
      </c>
      <c r="E144" s="106">
        <f>IF(AND(Data!R143&lt;&gt;"",Data!L143="Accepté"),Data!R143,"")</f>
        <v/>
      </c>
      <c r="F144" s="1037">
        <f>IF(AND(Data!R143&lt;&gt;"",Data!L143="Accepté"),Data!S143,"")</f>
        <v/>
      </c>
      <c r="G144" s="1038">
        <f>IF(Data!R143='Delivery Plan'!E144,Data!U143,"")</f>
        <v/>
      </c>
      <c r="H144" s="327" t="n"/>
      <c r="I144" s="329">
        <f>IF(J144&lt;&gt;"","S"&amp;TEXT(WEEKNUM(J144),"00"),"")</f>
        <v/>
      </c>
      <c r="J144" s="330">
        <f>IF(AND(E144=Data!R143,Data!AA143&lt;&gt;""),Data!AA143,"")</f>
        <v/>
      </c>
      <c r="K144" s="751">
        <f>IF(AND(E144=Data!R143,Data!AE143&lt;&gt;""),Data!AE143,"")</f>
        <v/>
      </c>
      <c r="L144" s="1039">
        <f>IF(E144=Data!R143,Data!AI143,"")</f>
        <v/>
      </c>
      <c r="M144" s="1039">
        <f>IF(E144=Data!R143,Data!AJ143,"")</f>
        <v/>
      </c>
      <c r="N144">
        <f>IF(AND(Data!R143&lt;&gt;"",Data!L143="Accepté"),Data!K143,"")</f>
        <v/>
      </c>
    </row>
    <row r="145" hidden="1" s="701">
      <c r="A145" s="164">
        <f>IF(AND(Data!R144&lt;&gt;"",Data!L144="Accepté"),Data!G144,"")</f>
        <v/>
      </c>
      <c r="B145" s="164">
        <f>IF(AND(Data!R144&lt;&gt;"",Data!L144="Accepté"),Data!L144,"")</f>
        <v/>
      </c>
      <c r="C145" s="329">
        <f>IF(D145&lt;&gt;"","S"&amp;TEXT(WEEKNUM(D145),"00"),"")</f>
        <v/>
      </c>
      <c r="D145" s="330">
        <f>IF(AND(Data!Q144&lt;&gt;"",Data!L144="Accepté"),Data!Q144,"")</f>
        <v/>
      </c>
      <c r="E145" s="106">
        <f>IF(AND(Data!R144&lt;&gt;"",Data!L144="Accepté"),Data!R144,"")</f>
        <v/>
      </c>
      <c r="F145" s="1037">
        <f>IF(AND(Data!R144&lt;&gt;"",Data!L144="Accepté"),Data!S144,"")</f>
        <v/>
      </c>
      <c r="G145" s="1038">
        <f>IF(Data!R144='Delivery Plan'!E145,Data!U144,"")</f>
        <v/>
      </c>
      <c r="H145" s="327" t="n"/>
      <c r="I145" s="329">
        <f>IF(J145&lt;&gt;"","S"&amp;TEXT(WEEKNUM(J145),"00"),"")</f>
        <v/>
      </c>
      <c r="J145" s="330">
        <f>IF(AND(E145=Data!R144,Data!AA144&lt;&gt;""),Data!AA144,"")</f>
        <v/>
      </c>
      <c r="K145" s="751">
        <f>IF(AND(E145=Data!R144,Data!AE144&lt;&gt;""),Data!AE144,"")</f>
        <v/>
      </c>
      <c r="L145" s="1039">
        <f>IF(E145=Data!R144,Data!AI144,"")</f>
        <v/>
      </c>
      <c r="M145" s="1039">
        <f>IF(E145=Data!R144,Data!AJ144,"")</f>
        <v/>
      </c>
      <c r="N145">
        <f>IF(AND(Data!R144&lt;&gt;"",Data!L144="Accepté"),Data!K144,"")</f>
        <v/>
      </c>
    </row>
    <row r="146" hidden="1" s="701">
      <c r="A146" s="164">
        <f>IF(AND(Data!R145&lt;&gt;"",Data!L145="Accepté"),Data!G145,"")</f>
        <v/>
      </c>
      <c r="B146" s="164">
        <f>IF(AND(Data!R145&lt;&gt;"",Data!L145="Accepté"),Data!L145,"")</f>
        <v/>
      </c>
      <c r="C146" s="329">
        <f>IF(D146&lt;&gt;"","S"&amp;TEXT(WEEKNUM(D146),"00"),"")</f>
        <v/>
      </c>
      <c r="D146" s="330">
        <f>IF(AND(Data!Q145&lt;&gt;"",Data!L145="Accepté"),Data!Q145,"")</f>
        <v/>
      </c>
      <c r="E146" s="106">
        <f>IF(AND(Data!R145&lt;&gt;"",Data!L145="Accepté"),Data!R145,"")</f>
        <v/>
      </c>
      <c r="F146" s="1037">
        <f>IF(AND(Data!R145&lt;&gt;"",Data!L145="Accepté"),Data!S145,"")</f>
        <v/>
      </c>
      <c r="G146" s="1038">
        <f>IF(Data!R145='Delivery Plan'!E146,Data!U145,"")</f>
        <v/>
      </c>
      <c r="H146" s="327" t="n"/>
      <c r="I146" s="329">
        <f>IF(J146&lt;&gt;"","S"&amp;TEXT(WEEKNUM(J146),"00"),"")</f>
        <v/>
      </c>
      <c r="J146" s="330">
        <f>IF(AND(E146=Data!R145,Data!AA145&lt;&gt;""),Data!AA145,"")</f>
        <v/>
      </c>
      <c r="K146" s="751">
        <f>IF(AND(E146=Data!R145,Data!AE145&lt;&gt;""),Data!AE145,"")</f>
        <v/>
      </c>
      <c r="L146" s="1039">
        <f>IF(E146=Data!R145,Data!AI145,"")</f>
        <v/>
      </c>
      <c r="M146" s="1039">
        <f>IF(E146=Data!R145,Data!AJ145,"")</f>
        <v/>
      </c>
      <c r="N146">
        <f>IF(AND(Data!R145&lt;&gt;"",Data!L145="Accepté"),Data!K145,"")</f>
        <v/>
      </c>
    </row>
    <row r="147" hidden="1" s="701">
      <c r="A147" s="164">
        <f>IF(AND(Data!R146&lt;&gt;"",Data!L146="Accepté"),Data!G146,"")</f>
        <v/>
      </c>
      <c r="B147" s="164">
        <f>IF(AND(Data!R146&lt;&gt;"",Data!L146="Accepté"),Data!L146,"")</f>
        <v/>
      </c>
      <c r="C147" s="329">
        <f>IF(D147&lt;&gt;"","S"&amp;TEXT(WEEKNUM(D147),"00"),"")</f>
        <v/>
      </c>
      <c r="D147" s="330">
        <f>IF(AND(Data!Q146&lt;&gt;"",Data!L146="Accepté"),Data!Q146,"")</f>
        <v/>
      </c>
      <c r="E147" s="106">
        <f>IF(AND(Data!R146&lt;&gt;"",Data!L146="Accepté"),Data!R146,"")</f>
        <v/>
      </c>
      <c r="F147" s="1037">
        <f>IF(AND(Data!R146&lt;&gt;"",Data!L146="Accepté"),Data!S146,"")</f>
        <v/>
      </c>
      <c r="G147" s="1038">
        <f>IF(Data!R146='Delivery Plan'!E147,Data!U146,"")</f>
        <v/>
      </c>
      <c r="H147" s="327" t="n"/>
      <c r="I147" s="329">
        <f>IF(J147&lt;&gt;"","S"&amp;TEXT(WEEKNUM(J147),"00"),"")</f>
        <v/>
      </c>
      <c r="J147" s="330">
        <f>IF(AND(E147=Data!R146,Data!AA146&lt;&gt;""),Data!AA146,"")</f>
        <v/>
      </c>
      <c r="K147" s="751">
        <f>IF(AND(E147=Data!R146,Data!AE146&lt;&gt;""),Data!AE146,"")</f>
        <v/>
      </c>
      <c r="L147" s="1039">
        <f>IF(E147=Data!R146,Data!AI146,"")</f>
        <v/>
      </c>
      <c r="M147" s="1039">
        <f>IF(E147=Data!R146,Data!AJ146,"")</f>
        <v/>
      </c>
      <c r="N147">
        <f>IF(AND(Data!R146&lt;&gt;"",Data!L146="Accepté"),Data!K146,"")</f>
        <v/>
      </c>
    </row>
    <row r="148" hidden="1" s="701">
      <c r="A148" s="164">
        <f>IF(AND(Data!R147&lt;&gt;"",Data!L147="Accepté"),Data!G147,"")</f>
        <v/>
      </c>
      <c r="B148" s="164">
        <f>IF(AND(Data!R147&lt;&gt;"",Data!L147="Accepté"),Data!L147,"")</f>
        <v/>
      </c>
      <c r="C148" s="329">
        <f>IF(D148&lt;&gt;"","S"&amp;TEXT(WEEKNUM(D148),"00"),"")</f>
        <v/>
      </c>
      <c r="D148" s="330">
        <f>IF(AND(Data!Q147&lt;&gt;"",Data!L147="Accepté"),Data!Q147,"")</f>
        <v/>
      </c>
      <c r="E148" s="106">
        <f>IF(AND(Data!R147&lt;&gt;"",Data!L147="Accepté"),Data!R147,"")</f>
        <v/>
      </c>
      <c r="F148" s="1037">
        <f>IF(AND(Data!R147&lt;&gt;"",Data!L147="Accepté"),Data!S147,"")</f>
        <v/>
      </c>
      <c r="G148" s="1038">
        <f>IF(Data!R147='Delivery Plan'!E148,Data!U147,"")</f>
        <v/>
      </c>
      <c r="H148" s="327" t="n"/>
      <c r="I148" s="329">
        <f>IF(J148&lt;&gt;"","S"&amp;TEXT(WEEKNUM(J148),"00"),"")</f>
        <v/>
      </c>
      <c r="J148" s="330">
        <f>IF(AND(E148=Data!R147,Data!AA147&lt;&gt;""),Data!AA147,"")</f>
        <v/>
      </c>
      <c r="K148" s="751">
        <f>IF(AND(E148=Data!R147,Data!AE147&lt;&gt;""),Data!AE147,"")</f>
        <v/>
      </c>
      <c r="L148" s="1039">
        <f>IF(E148=Data!R147,Data!AI147,"")</f>
        <v/>
      </c>
      <c r="M148" s="1039">
        <f>IF(E148=Data!R147,Data!AJ147,"")</f>
        <v/>
      </c>
      <c r="N148">
        <f>IF(AND(Data!R147&lt;&gt;"",Data!L147="Accepté"),Data!K147,"")</f>
        <v/>
      </c>
    </row>
    <row r="149" hidden="1" s="701">
      <c r="A149" s="164">
        <f>IF(AND(Data!R148&lt;&gt;"",Data!L148="Accepté"),Data!G148,"")</f>
        <v/>
      </c>
      <c r="B149" s="164">
        <f>IF(AND(Data!R148&lt;&gt;"",Data!L148="Accepté"),Data!L148,"")</f>
        <v/>
      </c>
      <c r="C149" s="329">
        <f>IF(D149&lt;&gt;"","S"&amp;TEXT(WEEKNUM(D149),"00"),"")</f>
        <v/>
      </c>
      <c r="D149" s="330">
        <f>IF(AND(Data!Q148&lt;&gt;"",Data!L148="Accepté"),Data!Q148,"")</f>
        <v/>
      </c>
      <c r="E149" s="106">
        <f>IF(AND(Data!R148&lt;&gt;"",Data!L148="Accepté"),Data!R148,"")</f>
        <v/>
      </c>
      <c r="F149" s="1037">
        <f>IF(AND(Data!R148&lt;&gt;"",Data!L148="Accepté"),Data!S148,"")</f>
        <v/>
      </c>
      <c r="G149" s="1038">
        <f>IF(Data!R148='Delivery Plan'!E149,Data!U148,"")</f>
        <v/>
      </c>
      <c r="H149" s="327" t="n"/>
      <c r="I149" s="329">
        <f>IF(J149&lt;&gt;"","S"&amp;TEXT(WEEKNUM(J149),"00"),"")</f>
        <v/>
      </c>
      <c r="J149" s="330">
        <f>IF(AND(E149=Data!R148,Data!AA148&lt;&gt;""),Data!AA148,"")</f>
        <v/>
      </c>
      <c r="K149" s="751">
        <f>IF(AND(E149=Data!R148,Data!AE148&lt;&gt;""),Data!AE148,"")</f>
        <v/>
      </c>
      <c r="L149" s="1039">
        <f>IF(E149=Data!R148,Data!AI148,"")</f>
        <v/>
      </c>
      <c r="M149" s="1039">
        <f>IF(E149=Data!R148,Data!AJ148,"")</f>
        <v/>
      </c>
      <c r="N149">
        <f>IF(AND(Data!R148&lt;&gt;"",Data!L148="Accepté"),Data!K148,"")</f>
        <v/>
      </c>
    </row>
    <row r="150" hidden="1" s="701">
      <c r="A150" s="164">
        <f>IF(AND(Data!R149&lt;&gt;"",Data!L149="Accepté"),Data!G149,"")</f>
        <v/>
      </c>
      <c r="B150" s="164">
        <f>IF(AND(Data!R149&lt;&gt;"",Data!L149="Accepté"),Data!L149,"")</f>
        <v/>
      </c>
      <c r="C150" s="329">
        <f>IF(D150&lt;&gt;"","S"&amp;TEXT(WEEKNUM(D150),"00"),"")</f>
        <v/>
      </c>
      <c r="D150" s="330">
        <f>IF(AND(Data!Q149&lt;&gt;"",Data!L149="Accepté"),Data!Q149,"")</f>
        <v/>
      </c>
      <c r="E150" s="106">
        <f>IF(AND(Data!R149&lt;&gt;"",Data!L149="Accepté"),Data!R149,"")</f>
        <v/>
      </c>
      <c r="F150" s="1037">
        <f>IF(AND(Data!R149&lt;&gt;"",Data!L149="Accepté"),Data!S149,"")</f>
        <v/>
      </c>
      <c r="G150" s="1038">
        <f>IF(Data!R149='Delivery Plan'!E150,Data!U149,"")</f>
        <v/>
      </c>
      <c r="H150" s="327" t="n"/>
      <c r="I150" s="329">
        <f>IF(J150&lt;&gt;"","S"&amp;TEXT(WEEKNUM(J150),"00"),"")</f>
        <v/>
      </c>
      <c r="J150" s="330">
        <f>IF(AND(E150=Data!R149,Data!AA149&lt;&gt;""),Data!AA149,"")</f>
        <v/>
      </c>
      <c r="K150" s="751">
        <f>IF(AND(E150=Data!R149,Data!AE149&lt;&gt;""),Data!AE149,"")</f>
        <v/>
      </c>
      <c r="L150" s="1039">
        <f>IF(E150=Data!R149,Data!AI149,"")</f>
        <v/>
      </c>
      <c r="M150" s="1039">
        <f>IF(E150=Data!R149,Data!AJ149,"")</f>
        <v/>
      </c>
      <c r="N150">
        <f>IF(AND(Data!R149&lt;&gt;"",Data!L149="Accepté"),Data!K149,"")</f>
        <v/>
      </c>
    </row>
    <row r="151" hidden="1" s="701">
      <c r="A151" s="164">
        <f>IF(AND(Data!R150&lt;&gt;"",Data!L150="Accepté"),Data!G150,"")</f>
        <v/>
      </c>
      <c r="B151" s="164">
        <f>IF(AND(Data!R150&lt;&gt;"",Data!L150="Accepté"),Data!L150,"")</f>
        <v/>
      </c>
      <c r="C151" s="329">
        <f>IF(D151&lt;&gt;"","S"&amp;TEXT(WEEKNUM(D151),"00"),"")</f>
        <v/>
      </c>
      <c r="D151" s="330">
        <f>IF(AND(Data!Q150&lt;&gt;"",Data!L150="Accepté"),Data!Q150,"")</f>
        <v/>
      </c>
      <c r="E151" s="106">
        <f>IF(AND(Data!R150&lt;&gt;"",Data!L150="Accepté"),Data!R150,"")</f>
        <v/>
      </c>
      <c r="F151" s="1037">
        <f>IF(AND(Data!R150&lt;&gt;"",Data!L150="Accepté"),Data!S150,"")</f>
        <v/>
      </c>
      <c r="G151" s="1038">
        <f>IF(Data!R150='Delivery Plan'!E151,Data!U150,"")</f>
        <v/>
      </c>
      <c r="H151" s="327" t="n"/>
      <c r="I151" s="329">
        <f>IF(J151&lt;&gt;"","S"&amp;TEXT(WEEKNUM(J151),"00"),"")</f>
        <v/>
      </c>
      <c r="J151" s="330">
        <f>IF(AND(E151=Data!R150,Data!AA150&lt;&gt;""),Data!AA150,"")</f>
        <v/>
      </c>
      <c r="K151" s="751">
        <f>IF(AND(E151=Data!R150,Data!AE150&lt;&gt;""),Data!AE150,"")</f>
        <v/>
      </c>
      <c r="L151" s="1039">
        <f>IF(E151=Data!R150,Data!AI150,"")</f>
        <v/>
      </c>
      <c r="M151" s="1039">
        <f>IF(E151=Data!R150,Data!AJ150,"")</f>
        <v/>
      </c>
      <c r="N151">
        <f>IF(AND(Data!R150&lt;&gt;"",Data!L150="Accepté"),Data!K150,"")</f>
        <v/>
      </c>
    </row>
    <row r="152" hidden="1" s="701">
      <c r="A152" s="164">
        <f>IF(AND(Data!R151&lt;&gt;"",Data!L151="Accepté"),Data!G151,"")</f>
        <v/>
      </c>
      <c r="B152" s="164">
        <f>IF(AND(Data!R151&lt;&gt;"",Data!L151="Accepté"),Data!L151,"")</f>
        <v/>
      </c>
      <c r="C152" s="329">
        <f>IF(D152&lt;&gt;"","S"&amp;TEXT(WEEKNUM(D152),"00"),"")</f>
        <v/>
      </c>
      <c r="D152" s="330">
        <f>IF(AND(Data!Q151&lt;&gt;"",Data!L151="Accepté"),Data!Q151,"")</f>
        <v/>
      </c>
      <c r="E152" s="106">
        <f>IF(AND(Data!R151&lt;&gt;"",Data!L151="Accepté"),Data!R151,"")</f>
        <v/>
      </c>
      <c r="F152" s="1037">
        <f>IF(AND(Data!R151&lt;&gt;"",Data!L151="Accepté"),Data!S151,"")</f>
        <v/>
      </c>
      <c r="G152" s="1038">
        <f>IF(Data!R151='Delivery Plan'!E152,Data!U151,"")</f>
        <v/>
      </c>
      <c r="H152" s="327" t="n"/>
      <c r="I152" s="329">
        <f>IF(J152&lt;&gt;"","S"&amp;TEXT(WEEKNUM(J152),"00"),"")</f>
        <v/>
      </c>
      <c r="J152" s="330">
        <f>IF(AND(E152=Data!R151,Data!AA151&lt;&gt;""),Data!AA151,"")</f>
        <v/>
      </c>
      <c r="K152" s="751">
        <f>IF(AND(E152=Data!R151,Data!AE151&lt;&gt;""),Data!AE151,"")</f>
        <v/>
      </c>
      <c r="L152" s="1039">
        <f>IF(E152=Data!R151,Data!AI151,"")</f>
        <v/>
      </c>
      <c r="M152" s="1039">
        <f>IF(E152=Data!R151,Data!AJ151,"")</f>
        <v/>
      </c>
      <c r="N152">
        <f>IF(AND(Data!R151&lt;&gt;"",Data!L151="Accepté"),Data!K151,"")</f>
        <v/>
      </c>
    </row>
    <row r="153" hidden="1" s="701">
      <c r="A153" s="164">
        <f>IF(AND(Data!R152&lt;&gt;"",Data!L152="Accepté"),Data!G152,"")</f>
        <v/>
      </c>
      <c r="B153" s="164">
        <f>IF(AND(Data!R152&lt;&gt;"",Data!L152="Accepté"),Data!L152,"")</f>
        <v/>
      </c>
      <c r="C153" s="329">
        <f>IF(D153&lt;&gt;"","S"&amp;TEXT(WEEKNUM(D153),"00"),"")</f>
        <v/>
      </c>
      <c r="D153" s="330">
        <f>IF(AND(Data!Q152&lt;&gt;"",Data!L152="Accepté"),Data!Q152,"")</f>
        <v/>
      </c>
      <c r="E153" s="106">
        <f>IF(AND(Data!R152&lt;&gt;"",Data!L152="Accepté"),Data!R152,"")</f>
        <v/>
      </c>
      <c r="F153" s="1037">
        <f>IF(AND(Data!R152&lt;&gt;"",Data!L152="Accepté"),Data!S152,"")</f>
        <v/>
      </c>
      <c r="G153" s="1038">
        <f>IF(Data!R152='Delivery Plan'!E153,Data!U152,"")</f>
        <v/>
      </c>
      <c r="H153" s="327" t="n"/>
      <c r="I153" s="329">
        <f>IF(J153&lt;&gt;"","S"&amp;TEXT(WEEKNUM(J153),"00"),"")</f>
        <v/>
      </c>
      <c r="J153" s="330">
        <f>IF(AND(E153=Data!R152,Data!AA152&lt;&gt;""),Data!AA152,"")</f>
        <v/>
      </c>
      <c r="K153" s="751">
        <f>IF(AND(E153=Data!R152,Data!AE152&lt;&gt;""),Data!AE152,"")</f>
        <v/>
      </c>
      <c r="L153" s="1039">
        <f>IF(E153=Data!R152,Data!AI152,"")</f>
        <v/>
      </c>
      <c r="M153" s="1039">
        <f>IF(E153=Data!R152,Data!AJ152,"")</f>
        <v/>
      </c>
      <c r="N153">
        <f>IF(AND(Data!R152&lt;&gt;"",Data!L152="Accepté"),Data!K152,"")</f>
        <v/>
      </c>
    </row>
    <row r="154" hidden="1" s="701">
      <c r="A154" s="164">
        <f>IF(AND(Data!R153&lt;&gt;"",Data!L153="Accepté"),Data!G153,"")</f>
        <v/>
      </c>
      <c r="B154" s="164">
        <f>IF(AND(Data!R153&lt;&gt;"",Data!L153="Accepté"),Data!L153,"")</f>
        <v/>
      </c>
      <c r="C154" s="329">
        <f>IF(D154&lt;&gt;"","S"&amp;TEXT(WEEKNUM(D154),"00"),"")</f>
        <v/>
      </c>
      <c r="D154" s="330">
        <f>IF(AND(Data!Q153&lt;&gt;"",Data!L153="Accepté"),Data!Q153,"")</f>
        <v/>
      </c>
      <c r="E154" s="106">
        <f>IF(AND(Data!R153&lt;&gt;"",Data!L153="Accepté"),Data!R153,"")</f>
        <v/>
      </c>
      <c r="F154" s="1037">
        <f>IF(AND(Data!R153&lt;&gt;"",Data!L153="Accepté"),Data!S153,"")</f>
        <v/>
      </c>
      <c r="G154" s="1038">
        <f>IF(Data!R153='Delivery Plan'!E154,Data!U153,"")</f>
        <v/>
      </c>
      <c r="H154" s="327" t="n"/>
      <c r="I154" s="329">
        <f>IF(J154&lt;&gt;"","S"&amp;TEXT(WEEKNUM(J154),"00"),"")</f>
        <v/>
      </c>
      <c r="J154" s="330">
        <f>IF(AND(E154=Data!R153,Data!AA153&lt;&gt;""),Data!AA153,"")</f>
        <v/>
      </c>
      <c r="K154" s="751">
        <f>IF(AND(E154=Data!R153,Data!AE153&lt;&gt;""),Data!AE153,"")</f>
        <v/>
      </c>
      <c r="L154" s="1039">
        <f>IF(E154=Data!R153,Data!AI153,"")</f>
        <v/>
      </c>
      <c r="M154" s="1039">
        <f>IF(E154=Data!R153,Data!AJ153,"")</f>
        <v/>
      </c>
      <c r="N154">
        <f>IF(AND(Data!R153&lt;&gt;"",Data!L153="Accepté"),Data!K153,"")</f>
        <v/>
      </c>
    </row>
    <row r="155" hidden="1" s="701">
      <c r="A155" s="164">
        <f>IF(AND(Data!R154&lt;&gt;"",Data!L154="Accepté"),Data!G154,"")</f>
        <v/>
      </c>
      <c r="B155" s="164">
        <f>IF(AND(Data!R154&lt;&gt;"",Data!L154="Accepté"),Data!L154,"")</f>
        <v/>
      </c>
      <c r="C155" s="329">
        <f>IF(D155&lt;&gt;"","S"&amp;TEXT(WEEKNUM(D155),"00"),"")</f>
        <v/>
      </c>
      <c r="D155" s="330">
        <f>IF(AND(Data!Q154&lt;&gt;"",Data!L154="Accepté"),Data!Q154,"")</f>
        <v/>
      </c>
      <c r="E155" s="106">
        <f>IF(AND(Data!R154&lt;&gt;"",Data!L154="Accepté"),Data!R154,"")</f>
        <v/>
      </c>
      <c r="F155" s="1037">
        <f>IF(AND(Data!R154&lt;&gt;"",Data!L154="Accepté"),Data!S154,"")</f>
        <v/>
      </c>
      <c r="G155" s="1038">
        <f>IF(Data!R154='Delivery Plan'!E155,Data!U154,"")</f>
        <v/>
      </c>
      <c r="H155" s="327" t="n"/>
      <c r="I155" s="329">
        <f>IF(J155&lt;&gt;"","S"&amp;TEXT(WEEKNUM(J155),"00"),"")</f>
        <v/>
      </c>
      <c r="J155" s="330">
        <f>IF(AND(E155=Data!R154,Data!AA154&lt;&gt;""),Data!AA154,"")</f>
        <v/>
      </c>
      <c r="K155" s="751">
        <f>IF(AND(E155=Data!R154,Data!AE154&lt;&gt;""),Data!AE154,"")</f>
        <v/>
      </c>
      <c r="L155" s="1039">
        <f>IF(E155=Data!R154,Data!AI154,"")</f>
        <v/>
      </c>
      <c r="M155" s="1039">
        <f>IF(E155=Data!R154,Data!AJ154,"")</f>
        <v/>
      </c>
      <c r="N155">
        <f>IF(AND(Data!R154&lt;&gt;"",Data!L154="Accepté"),Data!K154,"")</f>
        <v/>
      </c>
    </row>
    <row r="156" hidden="1" s="701">
      <c r="A156" s="164">
        <f>IF(AND(Data!R155&lt;&gt;"",Data!L155="Accepté"),Data!G155,"")</f>
        <v/>
      </c>
      <c r="B156" s="164">
        <f>IF(AND(Data!R155&lt;&gt;"",Data!L155="Accepté"),Data!L155,"")</f>
        <v/>
      </c>
      <c r="C156" s="329">
        <f>IF(D156&lt;&gt;"","S"&amp;TEXT(WEEKNUM(D156),"00"),"")</f>
        <v/>
      </c>
      <c r="D156" s="330">
        <f>IF(AND(Data!Q155&lt;&gt;"",Data!L155="Accepté"),Data!Q155,"")</f>
        <v/>
      </c>
      <c r="E156" s="106">
        <f>IF(AND(Data!R155&lt;&gt;"",Data!L155="Accepté"),Data!R155,"")</f>
        <v/>
      </c>
      <c r="F156" s="1037">
        <f>IF(AND(Data!R155&lt;&gt;"",Data!L155="Accepté"),Data!S155,"")</f>
        <v/>
      </c>
      <c r="G156" s="1038">
        <f>IF(Data!R155='Delivery Plan'!E156,Data!U155,"")</f>
        <v/>
      </c>
      <c r="H156" s="327" t="n"/>
      <c r="I156" s="329">
        <f>IF(J156&lt;&gt;"","S"&amp;TEXT(WEEKNUM(J156),"00"),"")</f>
        <v/>
      </c>
      <c r="J156" s="330">
        <f>IF(AND(E156=Data!R155,Data!AA155&lt;&gt;""),Data!AA155,"")</f>
        <v/>
      </c>
      <c r="K156" s="751">
        <f>IF(AND(E156=Data!R155,Data!AE155&lt;&gt;""),Data!AE155,"")</f>
        <v/>
      </c>
      <c r="L156" s="1039">
        <f>IF(E156=Data!R155,Data!AI155,"")</f>
        <v/>
      </c>
      <c r="M156" s="1039">
        <f>IF(E156=Data!R155,Data!AJ155,"")</f>
        <v/>
      </c>
      <c r="N156">
        <f>IF(AND(Data!R155&lt;&gt;"",Data!L155="Accepté"),Data!K155,"")</f>
        <v/>
      </c>
    </row>
    <row r="157" hidden="1" s="701">
      <c r="A157" s="164">
        <f>IF(AND(Data!R156&lt;&gt;"",Data!L156="Accepté"),Data!G156,"")</f>
        <v/>
      </c>
      <c r="B157" s="164">
        <f>IF(AND(Data!R156&lt;&gt;"",Data!L156="Accepté"),Data!L156,"")</f>
        <v/>
      </c>
      <c r="C157" s="329">
        <f>IF(D157&lt;&gt;"","S"&amp;TEXT(WEEKNUM(D157),"00"),"")</f>
        <v/>
      </c>
      <c r="D157" s="330">
        <f>IF(AND(Data!Q156&lt;&gt;"",Data!L156="Accepté"),Data!Q156,"")</f>
        <v/>
      </c>
      <c r="E157" s="106">
        <f>IF(AND(Data!R156&lt;&gt;"",Data!L156="Accepté"),Data!R156,"")</f>
        <v/>
      </c>
      <c r="F157" s="1037">
        <f>IF(AND(Data!R156&lt;&gt;"",Data!L156="Accepté"),Data!S156,"")</f>
        <v/>
      </c>
      <c r="G157" s="1038">
        <f>IF(Data!R156='Delivery Plan'!E157,Data!U156,"")</f>
        <v/>
      </c>
      <c r="H157" s="327" t="n"/>
      <c r="I157" s="329">
        <f>IF(J157&lt;&gt;"","S"&amp;TEXT(WEEKNUM(J157),"00"),"")</f>
        <v/>
      </c>
      <c r="J157" s="330">
        <f>IF(AND(E157=Data!R156,Data!AA156&lt;&gt;""),Data!AA156,"")</f>
        <v/>
      </c>
      <c r="K157" s="751">
        <f>IF(AND(E157=Data!R156,Data!AE156&lt;&gt;""),Data!AE156,"")</f>
        <v/>
      </c>
      <c r="L157" s="1039">
        <f>IF(E157=Data!R156,Data!AI156,"")</f>
        <v/>
      </c>
      <c r="M157" s="1039">
        <f>IF(E157=Data!R156,Data!AJ156,"")</f>
        <v/>
      </c>
      <c r="N157">
        <f>IF(AND(Data!R156&lt;&gt;"",Data!L156="Accepté"),Data!K156,"")</f>
        <v/>
      </c>
    </row>
    <row r="158" hidden="1" s="701">
      <c r="A158" s="164">
        <f>IF(AND(Data!R157&lt;&gt;"",Data!L157="Accepté"),Data!G157,"")</f>
        <v/>
      </c>
      <c r="B158" s="164">
        <f>IF(AND(Data!R157&lt;&gt;"",Data!L157="Accepté"),Data!L157,"")</f>
        <v/>
      </c>
      <c r="C158" s="329">
        <f>IF(D158&lt;&gt;"","S"&amp;TEXT(WEEKNUM(D158),"00"),"")</f>
        <v/>
      </c>
      <c r="D158" s="330">
        <f>IF(AND(Data!Q157&lt;&gt;"",Data!L157="Accepté"),Data!Q157,"")</f>
        <v/>
      </c>
      <c r="E158" s="106">
        <f>IF(AND(Data!R157&lt;&gt;"",Data!L157="Accepté"),Data!R157,"")</f>
        <v/>
      </c>
      <c r="F158" s="1037">
        <f>IF(AND(Data!R157&lt;&gt;"",Data!L157="Accepté"),Data!S157,"")</f>
        <v/>
      </c>
      <c r="G158" s="1038">
        <f>IF(Data!R157='Delivery Plan'!E158,Data!U157,"")</f>
        <v/>
      </c>
      <c r="H158" s="327" t="n"/>
      <c r="I158" s="329">
        <f>IF(J158&lt;&gt;"","S"&amp;TEXT(WEEKNUM(J158),"00"),"")</f>
        <v/>
      </c>
      <c r="J158" s="330">
        <f>IF(AND(E158=Data!R157,Data!AA157&lt;&gt;""),Data!AA157,"")</f>
        <v/>
      </c>
      <c r="K158" s="751">
        <f>IF(AND(E158=Data!R157,Data!AE157&lt;&gt;""),Data!AE157,"")</f>
        <v/>
      </c>
      <c r="L158" s="1039">
        <f>IF(E158=Data!R157,Data!AI157,"")</f>
        <v/>
      </c>
      <c r="M158" s="1039">
        <f>IF(E158=Data!R157,Data!AJ157,"")</f>
        <v/>
      </c>
      <c r="N158">
        <f>IF(AND(Data!R157&lt;&gt;"",Data!L157="Accepté"),Data!K157,"")</f>
        <v/>
      </c>
    </row>
    <row r="159" hidden="1" s="701">
      <c r="A159" s="164">
        <f>IF(AND(Data!R158&lt;&gt;"",Data!L158="Accepté"),Data!G158,"")</f>
        <v/>
      </c>
      <c r="B159" s="164">
        <f>IF(AND(Data!R158&lt;&gt;"",Data!L158="Accepté"),Data!L158,"")</f>
        <v/>
      </c>
      <c r="C159" s="329">
        <f>IF(D159&lt;&gt;"","S"&amp;TEXT(WEEKNUM(D159),"00"),"")</f>
        <v/>
      </c>
      <c r="D159" s="330">
        <f>IF(AND(Data!Q158&lt;&gt;"",Data!L158="Accepté"),Data!Q158,"")</f>
        <v/>
      </c>
      <c r="E159" s="106">
        <f>IF(AND(Data!R158&lt;&gt;"",Data!L158="Accepté"),Data!R158,"")</f>
        <v/>
      </c>
      <c r="F159" s="1037">
        <f>IF(AND(Data!R158&lt;&gt;"",Data!L158="Accepté"),Data!S158,"")</f>
        <v/>
      </c>
      <c r="G159" s="1038">
        <f>IF(Data!R158='Delivery Plan'!E159,Data!U158,"")</f>
        <v/>
      </c>
      <c r="H159" s="327" t="n"/>
      <c r="I159" s="329">
        <f>IF(J159&lt;&gt;"","S"&amp;TEXT(WEEKNUM(J159),"00"),"")</f>
        <v/>
      </c>
      <c r="J159" s="330">
        <f>IF(AND(E159=Data!R158,Data!AA158&lt;&gt;""),Data!AA158,"")</f>
        <v/>
      </c>
      <c r="K159" s="751">
        <f>IF(AND(E159=Data!R158,Data!AE158&lt;&gt;""),Data!AE158,"")</f>
        <v/>
      </c>
      <c r="L159" s="1039">
        <f>IF(E159=Data!R158,Data!AI158,"")</f>
        <v/>
      </c>
      <c r="M159" s="1039">
        <f>IF(E159=Data!R158,Data!AJ158,"")</f>
        <v/>
      </c>
      <c r="N159">
        <f>IF(AND(Data!R158&lt;&gt;"",Data!L158="Accepté"),Data!K158,"")</f>
        <v/>
      </c>
    </row>
    <row r="160" hidden="1" s="701">
      <c r="A160" s="164">
        <f>IF(AND(Data!R159&lt;&gt;"",Data!L159="Accepté"),Data!G159,"")</f>
        <v/>
      </c>
      <c r="B160" s="164">
        <f>IF(AND(Data!R159&lt;&gt;"",Data!L159="Accepté"),Data!L159,"")</f>
        <v/>
      </c>
      <c r="C160" s="329">
        <f>IF(D160&lt;&gt;"","S"&amp;TEXT(WEEKNUM(D160),"00"),"")</f>
        <v/>
      </c>
      <c r="D160" s="330">
        <f>IF(AND(Data!Q159&lt;&gt;"",Data!L159="Accepté"),Data!Q159,"")</f>
        <v/>
      </c>
      <c r="E160" s="106">
        <f>IF(AND(Data!R159&lt;&gt;"",Data!L159="Accepté"),Data!R159,"")</f>
        <v/>
      </c>
      <c r="F160" s="1037">
        <f>IF(AND(Data!R159&lt;&gt;"",Data!L159="Accepté"),Data!S159,"")</f>
        <v/>
      </c>
      <c r="G160" s="1038">
        <f>IF(Data!R159='Delivery Plan'!E160,Data!U159,"")</f>
        <v/>
      </c>
      <c r="H160" s="327" t="n"/>
      <c r="I160" s="329">
        <f>IF(J160&lt;&gt;"","S"&amp;TEXT(WEEKNUM(J160),"00"),"")</f>
        <v/>
      </c>
      <c r="J160" s="330">
        <f>IF(AND(E160=Data!R159,Data!AA159&lt;&gt;""),Data!AA159,"")</f>
        <v/>
      </c>
      <c r="K160" s="751">
        <f>IF(AND(E160=Data!R159,Data!AE159&lt;&gt;""),Data!AE159,"")</f>
        <v/>
      </c>
      <c r="L160" s="1039">
        <f>IF(E160=Data!R161,Data!AI161,"")</f>
        <v/>
      </c>
      <c r="M160" s="1039">
        <f>IF(E160=Data!R161,Data!AJ161,"")</f>
        <v/>
      </c>
      <c r="N160">
        <f>IF(AND(Data!R161&lt;&gt;"",Data!L161="Accepté"),Data!K161,"")</f>
        <v/>
      </c>
    </row>
    <row r="161" hidden="1" s="701">
      <c r="A161" s="164">
        <f>IF(AND(Data!R160&lt;&gt;"",Data!L160="Accepté"),Data!G160,"")</f>
        <v/>
      </c>
      <c r="B161" s="164">
        <f>IF(AND(Data!R160&lt;&gt;"",Data!L160="Accepté"),Data!L160,"")</f>
        <v/>
      </c>
      <c r="C161" s="329">
        <f>IF(D161&lt;&gt;"","S"&amp;TEXT(WEEKNUM(D161),"00"),"")</f>
        <v/>
      </c>
      <c r="D161" s="330">
        <f>IF(AND(Data!Q160&lt;&gt;"",Data!L160="Accepté"),Data!Q160,"")</f>
        <v/>
      </c>
      <c r="E161" s="106">
        <f>IF(AND(Data!R160&lt;&gt;"",Data!L160="Accepté"),Data!R160,"")</f>
        <v/>
      </c>
      <c r="F161" s="1037">
        <f>IF(AND(Data!R160&lt;&gt;"",Data!L160="Accepté"),Data!S160,"")</f>
        <v/>
      </c>
      <c r="G161" s="1038">
        <f>IF(Data!R160='Delivery Plan'!E161,Data!U160,"")</f>
        <v/>
      </c>
      <c r="H161" s="327" t="n"/>
      <c r="I161" s="329">
        <f>IF(J161&lt;&gt;"","S"&amp;TEXT(WEEKNUM(J161),"00"),"")</f>
        <v/>
      </c>
      <c r="J161" s="330">
        <f>IF(AND(E161=Data!R160,Data!AA160&lt;&gt;""),Data!AA160,"")</f>
        <v/>
      </c>
      <c r="K161" s="751">
        <f>IF(AND(E161=Data!R160,Data!AE160&lt;&gt;""),Data!AE160,"")</f>
        <v/>
      </c>
      <c r="L161" s="1039">
        <f>IF(E161=Data!R162,Data!AI162,"")</f>
        <v/>
      </c>
      <c r="M161" s="1039">
        <f>IF(E161=Data!R162,Data!AJ162,"")</f>
        <v/>
      </c>
      <c r="N161">
        <f>IF(AND(Data!R162&lt;&gt;"",Data!L162="Accepté"),Data!K162,"")</f>
        <v/>
      </c>
    </row>
    <row r="162" hidden="1" s="701">
      <c r="A162" s="164">
        <f>IF(AND(Data!R161&lt;&gt;"",Data!L161="Accepté"),Data!G161,"")</f>
        <v/>
      </c>
      <c r="B162" s="164">
        <f>IF(AND(Data!R161&lt;&gt;"",Data!L161="Accepté"),Data!L161,"")</f>
        <v/>
      </c>
      <c r="C162" s="329">
        <f>IF(D162&lt;&gt;"","S"&amp;TEXT(WEEKNUM(D162),"00"),"")</f>
        <v/>
      </c>
      <c r="D162" s="330">
        <f>IF(AND(Data!Q161&lt;&gt;"",Data!L161="Accepté"),Data!Q161,"")</f>
        <v/>
      </c>
      <c r="E162" s="106">
        <f>IF(AND(Data!R161&lt;&gt;"",Data!L161="Accepté"),Data!R161,"")</f>
        <v/>
      </c>
      <c r="F162" s="1037">
        <f>IF(AND(Data!R161&lt;&gt;"",Data!L161="Accepté"),Data!S161,"")</f>
        <v/>
      </c>
      <c r="G162" s="1038">
        <f>IF(Data!R161='Delivery Plan'!E162,Data!U161,"")</f>
        <v/>
      </c>
      <c r="H162" s="327" t="n"/>
      <c r="I162" s="329">
        <f>IF(J162&lt;&gt;"","S"&amp;TEXT(WEEKNUM(J162),"00"),"")</f>
        <v/>
      </c>
      <c r="J162" s="330">
        <f>IF(AND(E162=Data!R161,Data!AA161&lt;&gt;""),Data!AA161,"")</f>
        <v/>
      </c>
      <c r="K162" s="751">
        <f>IF(AND(E162=Data!R161,Data!AE161&lt;&gt;""),Data!AE161,"")</f>
        <v/>
      </c>
      <c r="L162" s="1039">
        <f>IF(E162=Data!R163,Data!AI163,"")</f>
        <v/>
      </c>
      <c r="M162" s="1039">
        <f>IF(E162=Data!R163,Data!AJ163,"")</f>
        <v/>
      </c>
      <c r="N162">
        <f>IF(AND(Data!R163&lt;&gt;"",Data!L163="Accepté"),Data!K163,"")</f>
        <v/>
      </c>
    </row>
    <row r="163" hidden="1" s="701">
      <c r="A163" s="164">
        <f>IF(AND(Data!R162&lt;&gt;"",Data!L162="Accepté"),Data!G162,"")</f>
        <v/>
      </c>
      <c r="B163" s="164">
        <f>IF(AND(Data!R162&lt;&gt;"",Data!L162="Accepté"),Data!L162,"")</f>
        <v/>
      </c>
      <c r="C163" s="329">
        <f>IF(D163&lt;&gt;"","S"&amp;TEXT(WEEKNUM(D163),"00"),"")</f>
        <v/>
      </c>
      <c r="D163" s="330">
        <f>IF(AND(Data!Q162&lt;&gt;"",Data!L162="Accepté"),Data!Q162,"")</f>
        <v/>
      </c>
      <c r="E163" s="106">
        <f>IF(AND(Data!R162&lt;&gt;"",Data!L162="Accepté"),Data!R162,"")</f>
        <v/>
      </c>
      <c r="F163" s="1037">
        <f>IF(AND(Data!R162&lt;&gt;"",Data!L162="Accepté"),Data!S162,"")</f>
        <v/>
      </c>
      <c r="G163" s="1038">
        <f>IF(Data!R162='Delivery Plan'!E163,Data!U162,"")</f>
        <v/>
      </c>
      <c r="H163" s="327" t="n"/>
      <c r="I163" s="329">
        <f>IF(J163&lt;&gt;"","S"&amp;TEXT(WEEKNUM(J163),"00"),"")</f>
        <v/>
      </c>
      <c r="J163" s="330">
        <f>IF(AND(E163=Data!R162,Data!AA162&lt;&gt;""),Data!AA162,"")</f>
        <v/>
      </c>
      <c r="K163" s="751">
        <f>IF(AND(E163=Data!R162,Data!AE162&lt;&gt;""),Data!AE162,"")</f>
        <v/>
      </c>
      <c r="L163" s="1039">
        <f>IF(E163=Data!R164,Data!AI164,"")</f>
        <v/>
      </c>
      <c r="M163" s="1039">
        <f>IF(E163=Data!R164,Data!AJ164,"")</f>
        <v/>
      </c>
      <c r="N163">
        <f>IF(AND(Data!R164&lt;&gt;"",Data!L164="Accepté"),Data!K164,"")</f>
        <v/>
      </c>
    </row>
    <row r="164" hidden="1" s="701">
      <c r="A164" s="164">
        <f>IF(AND(Data!R163&lt;&gt;"",Data!L163="Accepté"),Data!G163,"")</f>
        <v/>
      </c>
      <c r="B164" s="164">
        <f>IF(AND(Data!R163&lt;&gt;"",Data!L163="Accepté"),Data!L163,"")</f>
        <v/>
      </c>
      <c r="C164" s="329">
        <f>IF(D164&lt;&gt;"","S"&amp;TEXT(WEEKNUM(D164),"00"),"")</f>
        <v/>
      </c>
      <c r="D164" s="330">
        <f>IF(AND(Data!Q163&lt;&gt;"",Data!L163="Accepté"),Data!Q163,"")</f>
        <v/>
      </c>
      <c r="E164" s="106">
        <f>IF(AND(Data!R163&lt;&gt;"",Data!L163="Accepté"),Data!R163,"")</f>
        <v/>
      </c>
      <c r="F164" s="1037">
        <f>IF(AND(Data!R163&lt;&gt;"",Data!L163="Accepté"),Data!S163,"")</f>
        <v/>
      </c>
      <c r="G164" s="1038">
        <f>IF(Data!R163='Delivery Plan'!E164,Data!U163,"")</f>
        <v/>
      </c>
      <c r="H164" s="327" t="n"/>
      <c r="I164" s="329">
        <f>IF(J164&lt;&gt;"","S"&amp;TEXT(WEEKNUM(J164),"00"),"")</f>
        <v/>
      </c>
      <c r="J164" s="330">
        <f>IF(AND(E164=Data!R163,Data!AA163&lt;&gt;""),Data!AA163,"")</f>
        <v/>
      </c>
      <c r="K164" s="751">
        <f>IF(AND(E164=Data!R163,Data!AE163&lt;&gt;""),Data!AE163,"")</f>
        <v/>
      </c>
      <c r="L164" s="1039">
        <f>IF(E164=Data!R165,Data!AI165,"")</f>
        <v/>
      </c>
      <c r="M164" s="1039">
        <f>IF(E164=Data!R165,Data!AJ165,"")</f>
        <v/>
      </c>
      <c r="N164">
        <f>IF(AND(Data!R165&lt;&gt;"",Data!L165="Accepté"),Data!K165,"")</f>
        <v/>
      </c>
    </row>
    <row r="165" hidden="1" s="701">
      <c r="A165" s="164">
        <f>IF(AND(Data!R164&lt;&gt;"",Data!L164="Accepté"),Data!G164,"")</f>
        <v/>
      </c>
      <c r="B165" s="164">
        <f>IF(AND(Data!R164&lt;&gt;"",Data!L164="Accepté"),Data!L164,"")</f>
        <v/>
      </c>
      <c r="C165" s="329">
        <f>IF(D165&lt;&gt;"","S"&amp;TEXT(WEEKNUM(D165),"00"),"")</f>
        <v/>
      </c>
      <c r="D165" s="330">
        <f>IF(AND(Data!Q164&lt;&gt;"",Data!L164="Accepté"),Data!Q164,"")</f>
        <v/>
      </c>
      <c r="E165" s="106">
        <f>IF(AND(Data!R164&lt;&gt;"",Data!L164="Accepté"),Data!R164,"")</f>
        <v/>
      </c>
      <c r="F165" s="1037">
        <f>IF(AND(Data!R164&lt;&gt;"",Data!L164="Accepté"),Data!S164,"")</f>
        <v/>
      </c>
      <c r="G165" s="1038">
        <f>IF(Data!R164='Delivery Plan'!E165,Data!U164,"")</f>
        <v/>
      </c>
      <c r="H165" s="327" t="n"/>
      <c r="I165" s="329">
        <f>IF(J165&lt;&gt;"","S"&amp;TEXT(WEEKNUM(J165),"00"),"")</f>
        <v/>
      </c>
      <c r="J165" s="330">
        <f>IF(AND(E165=Data!R164,Data!AA164&lt;&gt;""),Data!AA164,"")</f>
        <v/>
      </c>
      <c r="K165" s="751">
        <f>IF(AND(E165=Data!R164,Data!AE164&lt;&gt;""),Data!AE164,"")</f>
        <v/>
      </c>
      <c r="L165" s="1039">
        <f>IF(E165=Data!R166,Data!AI166,"")</f>
        <v/>
      </c>
      <c r="M165" s="1039">
        <f>IF(E165=Data!R166,Data!AJ166,"")</f>
        <v/>
      </c>
      <c r="N165">
        <f>IF(AND(Data!R166&lt;&gt;"",Data!L166="Accepté"),Data!K166,"")</f>
        <v/>
      </c>
    </row>
    <row r="166" hidden="1" s="701">
      <c r="A166" s="164">
        <f>IF(AND(Data!R165&lt;&gt;"",Data!L165="Accepté"),Data!G165,"")</f>
        <v/>
      </c>
      <c r="B166" s="164">
        <f>IF(AND(Data!R165&lt;&gt;"",Data!L165="Accepté"),Data!L165,"")</f>
        <v/>
      </c>
      <c r="C166" s="329">
        <f>IF(D166&lt;&gt;"","S"&amp;TEXT(WEEKNUM(D166),"00"),"")</f>
        <v/>
      </c>
      <c r="D166" s="330">
        <f>IF(AND(Data!Q165&lt;&gt;"",Data!L165="Accepté"),Data!Q165,"")</f>
        <v/>
      </c>
      <c r="E166" s="106">
        <f>IF(AND(Data!R165&lt;&gt;"",Data!L165="Accepté"),Data!R165,"")</f>
        <v/>
      </c>
      <c r="F166" s="1037">
        <f>IF(AND(Data!R165&lt;&gt;"",Data!L165="Accepté"),Data!S165,"")</f>
        <v/>
      </c>
      <c r="G166" s="1038">
        <f>IF(Data!R165='Delivery Plan'!E166,Data!U165,"")</f>
        <v/>
      </c>
      <c r="H166" s="327" t="n"/>
      <c r="I166" s="329">
        <f>IF(J166&lt;&gt;"","S"&amp;TEXT(WEEKNUM(J166),"00"),"")</f>
        <v/>
      </c>
      <c r="J166" s="330">
        <f>IF(AND(E166=Data!R165,Data!AA165&lt;&gt;""),Data!AA165,"")</f>
        <v/>
      </c>
      <c r="K166" s="751">
        <f>IF(AND(E166=Data!R165,Data!AE165&lt;&gt;""),Data!AE165,"")</f>
        <v/>
      </c>
      <c r="L166" s="1039">
        <f>IF(E166=Data!R167,Data!AI167,"")</f>
        <v/>
      </c>
      <c r="M166" s="1039">
        <f>IF(E166=Data!R167,Data!AJ167,"")</f>
        <v/>
      </c>
      <c r="N166">
        <f>IF(AND(Data!R167&lt;&gt;"",Data!L167="Accepté"),Data!K167,"")</f>
        <v/>
      </c>
    </row>
    <row r="167" hidden="1" s="701">
      <c r="A167" s="164">
        <f>IF(AND(Data!R166&lt;&gt;"",Data!L166="Accepté"),Data!G166,"")</f>
        <v/>
      </c>
      <c r="B167" s="164">
        <f>IF(AND(Data!R166&lt;&gt;"",Data!L166="Accepté"),Data!L166,"")</f>
        <v/>
      </c>
      <c r="C167" s="329">
        <f>IF(D167&lt;&gt;"","S"&amp;TEXT(WEEKNUM(D167),"00"),"")</f>
        <v/>
      </c>
      <c r="D167" s="330">
        <f>IF(AND(Data!Q166&lt;&gt;"",Data!L166="Accepté"),Data!Q166,"")</f>
        <v/>
      </c>
      <c r="E167" s="106">
        <f>IF(AND(Data!R166&lt;&gt;"",Data!L166="Accepté"),Data!R166,"")</f>
        <v/>
      </c>
      <c r="F167" s="1037">
        <f>IF(AND(Data!R166&lt;&gt;"",Data!L166="Accepté"),Data!S166,"")</f>
        <v/>
      </c>
      <c r="G167" s="1038">
        <f>IF(Data!R166='Delivery Plan'!E167,Data!U166,"")</f>
        <v/>
      </c>
      <c r="H167" s="327" t="n"/>
      <c r="I167" s="329">
        <f>IF(J167&lt;&gt;"","S"&amp;TEXT(WEEKNUM(J167),"00"),"")</f>
        <v/>
      </c>
      <c r="J167" s="330">
        <f>IF(AND(E167=Data!R166,Data!AA166&lt;&gt;""),Data!AA166,"")</f>
        <v/>
      </c>
      <c r="K167" s="751">
        <f>IF(AND(E167=Data!R166,Data!AE166&lt;&gt;""),Data!AE166,"")</f>
        <v/>
      </c>
      <c r="L167" s="1039">
        <f>IF(E167=Data!R168,Data!AI168,"")</f>
        <v/>
      </c>
      <c r="M167" s="1039">
        <f>IF(E167=Data!R168,Data!AJ168,"")</f>
        <v/>
      </c>
      <c r="N167">
        <f>IF(AND(Data!R168&lt;&gt;"",Data!L168="Accepté"),Data!K168,"")</f>
        <v/>
      </c>
    </row>
    <row r="168" hidden="1" s="701">
      <c r="A168" s="164">
        <f>IF(AND(Data!R167&lt;&gt;"",Data!L167="Accepté"),Data!G167,"")</f>
        <v/>
      </c>
      <c r="B168" s="164">
        <f>IF(AND(Data!R167&lt;&gt;"",Data!L167="Accepté"),Data!L167,"")</f>
        <v/>
      </c>
      <c r="C168" s="329">
        <f>IF(D168&lt;&gt;"","S"&amp;TEXT(WEEKNUM(D168),"00"),"")</f>
        <v/>
      </c>
      <c r="D168" s="330">
        <f>IF(AND(Data!Q167&lt;&gt;"",Data!L167="Accepté"),Data!Q167,"")</f>
        <v/>
      </c>
      <c r="E168" s="106">
        <f>IF(AND(Data!R167&lt;&gt;"",Data!L167="Accepté"),Data!R167,"")</f>
        <v/>
      </c>
      <c r="F168" s="1037">
        <f>IF(AND(Data!R167&lt;&gt;"",Data!L167="Accepté"),Data!S167,"")</f>
        <v/>
      </c>
      <c r="G168" s="1038">
        <f>IF(Data!R167='Delivery Plan'!E168,Data!U167,"")</f>
        <v/>
      </c>
      <c r="H168" s="327" t="n"/>
      <c r="I168" s="329">
        <f>IF(J168&lt;&gt;"","S"&amp;TEXT(WEEKNUM(J168),"00"),"")</f>
        <v/>
      </c>
      <c r="J168" s="330">
        <f>IF(AND(E168=Data!R167,Data!AA167&lt;&gt;""),Data!AA167,"")</f>
        <v/>
      </c>
      <c r="K168" s="751">
        <f>IF(AND(E168=Data!R167,Data!AE167&lt;&gt;""),Data!AE167,"")</f>
        <v/>
      </c>
      <c r="L168" s="1039">
        <f>IF(E168=Data!R169,Data!AI169,"")</f>
        <v/>
      </c>
      <c r="M168" s="1039">
        <f>IF(E168=Data!R169,Data!AJ169,"")</f>
        <v/>
      </c>
      <c r="N168">
        <f>IF(AND(Data!R169&lt;&gt;"",Data!L169="Accepté"),Data!K169,"")</f>
        <v/>
      </c>
    </row>
    <row r="169" hidden="1" s="701">
      <c r="A169" s="164">
        <f>IF(AND(Data!R168&lt;&gt;"",Data!L168="Accepté"),Data!G168,"")</f>
        <v/>
      </c>
      <c r="B169" s="164">
        <f>IF(AND(Data!R168&lt;&gt;"",Data!L168="Accepté"),Data!L168,"")</f>
        <v/>
      </c>
      <c r="C169" s="329">
        <f>IF(D169&lt;&gt;"","S"&amp;TEXT(WEEKNUM(D169),"00"),"")</f>
        <v/>
      </c>
      <c r="D169" s="330">
        <f>IF(AND(Data!Q168&lt;&gt;"",Data!L168="Accepté"),Data!Q168,"")</f>
        <v/>
      </c>
      <c r="E169" s="106">
        <f>IF(AND(Data!R168&lt;&gt;"",Data!L168="Accepté"),Data!R168,"")</f>
        <v/>
      </c>
      <c r="F169" s="1037">
        <f>IF(AND(Data!R168&lt;&gt;"",Data!L168="Accepté"),Data!S168,"")</f>
        <v/>
      </c>
      <c r="G169" s="1038">
        <f>IF(Data!R168='Delivery Plan'!E169,Data!U168,"")</f>
        <v/>
      </c>
      <c r="H169" s="327" t="n"/>
      <c r="I169" s="329">
        <f>IF(J169&lt;&gt;"","S"&amp;TEXT(WEEKNUM(J169),"00"),"")</f>
        <v/>
      </c>
      <c r="J169" s="330">
        <f>IF(AND(E169=Data!R168,Data!AA168&lt;&gt;""),Data!AA168,"")</f>
        <v/>
      </c>
      <c r="K169" s="751">
        <f>IF(AND(E169=Data!R168,Data!AE168&lt;&gt;""),Data!AE168,"")</f>
        <v/>
      </c>
      <c r="L169" s="1039">
        <f>IF(E169=Data!R170,Data!AI170,"")</f>
        <v/>
      </c>
      <c r="M169" s="1039">
        <f>IF(E169=Data!R170,Data!AJ170,"")</f>
        <v/>
      </c>
      <c r="N169">
        <f>IF(AND(Data!R170&lt;&gt;"",Data!L170="Accepté"),Data!K170,"")</f>
        <v/>
      </c>
    </row>
    <row r="170" hidden="1" s="701">
      <c r="A170" s="164">
        <f>IF(AND(Data!R169&lt;&gt;"",Data!L169="Accepté"),Data!G169,"")</f>
        <v/>
      </c>
      <c r="B170" s="164">
        <f>IF(AND(Data!R169&lt;&gt;"",Data!L169="Accepté"),Data!L169,"")</f>
        <v/>
      </c>
      <c r="C170" s="329">
        <f>IF(D170&lt;&gt;"","S"&amp;TEXT(WEEKNUM(D170),"00"),"")</f>
        <v/>
      </c>
      <c r="D170" s="330">
        <f>IF(AND(Data!Q169&lt;&gt;"",Data!L169="Accepté"),Data!Q169,"")</f>
        <v/>
      </c>
      <c r="E170" s="106">
        <f>IF(AND(Data!R169&lt;&gt;"",Data!L169="Accepté"),Data!R169,"")</f>
        <v/>
      </c>
      <c r="F170" s="1037">
        <f>IF(AND(Data!R169&lt;&gt;"",Data!L169="Accepté"),Data!S169,"")</f>
        <v/>
      </c>
      <c r="G170" s="1038">
        <f>IF(Data!R169='Delivery Plan'!E170,Data!U169,"")</f>
        <v/>
      </c>
      <c r="H170" s="327" t="n"/>
      <c r="I170" s="329">
        <f>IF(J170&lt;&gt;"","S"&amp;TEXT(WEEKNUM(J170),"00"),"")</f>
        <v/>
      </c>
      <c r="J170" s="330">
        <f>IF(AND(E170=Data!R169,Data!AA169&lt;&gt;""),Data!AA169,"")</f>
        <v/>
      </c>
      <c r="K170" s="751">
        <f>IF(AND(E170=Data!R169,Data!AE169&lt;&gt;""),Data!AE169,"")</f>
        <v/>
      </c>
      <c r="L170" s="1039">
        <f>IF(E170=Data!R171,Data!AI171,"")</f>
        <v/>
      </c>
      <c r="M170" s="1039">
        <f>IF(E170=Data!R171,Data!AJ171,"")</f>
        <v/>
      </c>
      <c r="N170">
        <f>IF(AND(Data!R171&lt;&gt;"",Data!L171="Accepté"),Data!K171,"")</f>
        <v/>
      </c>
    </row>
    <row r="171" hidden="1" s="701">
      <c r="A171" s="164">
        <f>IF(AND(Data!R170&lt;&gt;"",Data!L170="Accepté"),Data!G170,"")</f>
        <v/>
      </c>
      <c r="B171" s="164">
        <f>IF(AND(Data!R170&lt;&gt;"",Data!L170="Accepté"),Data!L170,"")</f>
        <v/>
      </c>
      <c r="C171" s="329">
        <f>IF(D171&lt;&gt;"","S"&amp;TEXT(WEEKNUM(D171),"00"),"")</f>
        <v/>
      </c>
      <c r="D171" s="330">
        <f>IF(AND(Data!Q170&lt;&gt;"",Data!L170="Accepté"),Data!Q170,"")</f>
        <v/>
      </c>
      <c r="E171" s="106">
        <f>IF(AND(Data!R170&lt;&gt;"",Data!L170="Accepté"),Data!R170,"")</f>
        <v/>
      </c>
      <c r="F171" s="1037">
        <f>IF(AND(Data!R170&lt;&gt;"",Data!L170="Accepté"),Data!S170,"")</f>
        <v/>
      </c>
      <c r="G171" s="1038">
        <f>IF(Data!R170='Delivery Plan'!E171,Data!U170,"")</f>
        <v/>
      </c>
      <c r="H171" s="327" t="n"/>
      <c r="I171" s="329">
        <f>IF(J171&lt;&gt;"","S"&amp;TEXT(WEEKNUM(J171),"00"),"")</f>
        <v/>
      </c>
      <c r="J171" s="330">
        <f>IF(AND(E171=Data!R170,Data!AA170&lt;&gt;""),Data!AA170,"")</f>
        <v/>
      </c>
      <c r="K171" s="751">
        <f>IF(AND(E171=Data!R170,Data!AE170&lt;&gt;""),Data!AE170,"")</f>
        <v/>
      </c>
      <c r="L171" s="1039">
        <f>IF(E171=Data!R172,Data!AI172,"")</f>
        <v/>
      </c>
      <c r="M171" s="1039">
        <f>IF(E171=Data!R172,Data!AJ172,"")</f>
        <v/>
      </c>
      <c r="N171">
        <f>IF(AND(Data!R172&lt;&gt;"",Data!L172="Accepté"),Data!K172,"")</f>
        <v/>
      </c>
    </row>
    <row r="172" hidden="1" s="701">
      <c r="A172" s="164">
        <f>IF(AND(Data!R171&lt;&gt;"",Data!L171="Accepté"),Data!G171,"")</f>
        <v/>
      </c>
      <c r="B172" s="164">
        <f>IF(AND(Data!R171&lt;&gt;"",Data!L171="Accepté"),Data!L171,"")</f>
        <v/>
      </c>
      <c r="C172" s="329">
        <f>IF(D172&lt;&gt;"","S"&amp;TEXT(WEEKNUM(D172),"00"),"")</f>
        <v/>
      </c>
      <c r="D172" s="330">
        <f>IF(AND(Data!Q171&lt;&gt;"",Data!L171="Accepté"),Data!Q171,"")</f>
        <v/>
      </c>
      <c r="E172" s="106">
        <f>IF(AND(Data!R171&lt;&gt;"",Data!L171="Accepté"),Data!R171,"")</f>
        <v/>
      </c>
      <c r="F172" s="1037">
        <f>IF(AND(Data!R171&lt;&gt;"",Data!L171="Accepté"),Data!S171,"")</f>
        <v/>
      </c>
      <c r="G172" s="1038">
        <f>IF(Data!R171='Delivery Plan'!E172,Data!U171,"")</f>
        <v/>
      </c>
      <c r="H172" s="327" t="n"/>
      <c r="I172" s="329">
        <f>IF(J172&lt;&gt;"","S"&amp;TEXT(WEEKNUM(J172),"00"),"")</f>
        <v/>
      </c>
      <c r="J172" s="330">
        <f>IF(AND(E172=Data!R171,Data!AA171&lt;&gt;""),Data!AA171,"")</f>
        <v/>
      </c>
      <c r="K172" s="751">
        <f>IF(AND(E172=Data!R171,Data!AE171&lt;&gt;""),Data!AE171,"")</f>
        <v/>
      </c>
      <c r="L172" s="1039">
        <f>IF(E172=Data!R173,Data!AI173,"")</f>
        <v/>
      </c>
      <c r="M172" s="1039">
        <f>IF(E172=Data!R173,Data!AJ173,"")</f>
        <v/>
      </c>
      <c r="N172">
        <f>IF(AND(Data!R173&lt;&gt;"",Data!L173="Accepté"),Data!K173,"")</f>
        <v/>
      </c>
    </row>
    <row r="173" hidden="1" s="701">
      <c r="A173" s="164">
        <f>IF(AND(Data!R172&lt;&gt;"",Data!L172="Accepté"),Data!G172,"")</f>
        <v/>
      </c>
      <c r="B173" s="164">
        <f>IF(AND(Data!R172&lt;&gt;"",Data!L172="Accepté"),Data!L172,"")</f>
        <v/>
      </c>
      <c r="C173" s="329">
        <f>IF(D173&lt;&gt;"","S"&amp;TEXT(WEEKNUM(D173),"00"),"")</f>
        <v/>
      </c>
      <c r="D173" s="330">
        <f>IF(AND(Data!Q172&lt;&gt;"",Data!L172="Accepté"),Data!Q172,"")</f>
        <v/>
      </c>
      <c r="E173" s="106">
        <f>IF(AND(Data!R172&lt;&gt;"",Data!L172="Accepté"),Data!R172,"")</f>
        <v/>
      </c>
      <c r="F173" s="1037">
        <f>IF(AND(Data!R172&lt;&gt;"",Data!L172="Accepté"),Data!S172,"")</f>
        <v/>
      </c>
      <c r="G173" s="1038">
        <f>IF(Data!R172='Delivery Plan'!E173,Data!U172,"")</f>
        <v/>
      </c>
      <c r="H173" s="327" t="n"/>
      <c r="I173" s="329">
        <f>IF(J173&lt;&gt;"","S"&amp;TEXT(WEEKNUM(J173),"00"),"")</f>
        <v/>
      </c>
      <c r="J173" s="330">
        <f>IF(AND(E173=Data!R172,Data!AA172&lt;&gt;""),Data!AA172,"")</f>
        <v/>
      </c>
      <c r="K173" s="751">
        <f>IF(AND(E173=Data!R172,Data!AE172&lt;&gt;""),Data!AE172,"")</f>
        <v/>
      </c>
      <c r="L173" s="1039">
        <f>IF(E173=Data!R174,Data!AI174,"")</f>
        <v/>
      </c>
      <c r="M173" s="1039">
        <f>IF(E173=Data!R174,Data!AJ174,"")</f>
        <v/>
      </c>
      <c r="N173">
        <f>IF(AND(Data!R174&lt;&gt;"",Data!L174="Accepté"),Data!K174,"")</f>
        <v/>
      </c>
    </row>
    <row r="174" hidden="1" s="701">
      <c r="A174" s="164">
        <f>IF(AND(Data!R173&lt;&gt;"",Data!L173="Accepté"),Data!G173,"")</f>
        <v/>
      </c>
      <c r="B174" s="164">
        <f>IF(AND(Data!R173&lt;&gt;"",Data!L173="Accepté"),Data!L173,"")</f>
        <v/>
      </c>
      <c r="C174" s="329">
        <f>IF(D174&lt;&gt;"","S"&amp;TEXT(WEEKNUM(D174),"00"),"")</f>
        <v/>
      </c>
      <c r="D174" s="330">
        <f>IF(AND(Data!Q173&lt;&gt;"",Data!L173="Accepté"),Data!Q173,"")</f>
        <v/>
      </c>
      <c r="E174" s="106">
        <f>IF(AND(Data!R173&lt;&gt;"",Data!L173="Accepté"),Data!R173,"")</f>
        <v/>
      </c>
      <c r="F174" s="1037">
        <f>IF(AND(Data!R173&lt;&gt;"",Data!L173="Accepté"),Data!S173,"")</f>
        <v/>
      </c>
      <c r="G174" s="1038">
        <f>IF(Data!R173='Delivery Plan'!E174,Data!U173,"")</f>
        <v/>
      </c>
      <c r="H174" s="327" t="n"/>
      <c r="I174" s="329">
        <f>IF(J174&lt;&gt;"","S"&amp;TEXT(WEEKNUM(J174),"00"),"")</f>
        <v/>
      </c>
      <c r="J174" s="330">
        <f>IF(AND(E174=Data!R173,Data!AA173&lt;&gt;""),Data!AA173,"")</f>
        <v/>
      </c>
      <c r="K174" s="751">
        <f>IF(AND(E174=Data!R173,Data!AE173&lt;&gt;""),Data!AE173,"")</f>
        <v/>
      </c>
      <c r="L174" s="1039">
        <f>IF(E174=Data!R175,Data!AI175,"")</f>
        <v/>
      </c>
      <c r="M174" s="1039">
        <f>IF(E174=Data!R175,Data!AJ175,"")</f>
        <v/>
      </c>
      <c r="N174">
        <f>IF(AND(Data!R175&lt;&gt;"",Data!L175="Accepté"),Data!K175,"")</f>
        <v/>
      </c>
    </row>
    <row r="175" hidden="1" s="701">
      <c r="A175" s="164">
        <f>IF(AND(Data!R174&lt;&gt;"",Data!L174="Accepté"),Data!G174,"")</f>
        <v/>
      </c>
      <c r="B175" s="164">
        <f>IF(AND(Data!R174&lt;&gt;"",Data!L174="Accepté"),Data!L174,"")</f>
        <v/>
      </c>
      <c r="C175" s="329">
        <f>IF(D175&lt;&gt;"","S"&amp;TEXT(WEEKNUM(D175),"00"),"")</f>
        <v/>
      </c>
      <c r="D175" s="330">
        <f>IF(AND(Data!Q174&lt;&gt;"",Data!L174="Accepté"),Data!Q174,"")</f>
        <v/>
      </c>
      <c r="E175" s="106">
        <f>IF(AND(Data!R174&lt;&gt;"",Data!L174="Accepté"),Data!R174,"")</f>
        <v/>
      </c>
      <c r="F175" s="1037">
        <f>IF(AND(Data!R174&lt;&gt;"",Data!L174="Accepté"),Data!S174,"")</f>
        <v/>
      </c>
      <c r="G175" s="1038">
        <f>IF(Data!R174='Delivery Plan'!E175,Data!U174,"")</f>
        <v/>
      </c>
      <c r="H175" s="327" t="n"/>
      <c r="I175" s="329">
        <f>IF(J175&lt;&gt;"","S"&amp;TEXT(WEEKNUM(J175),"00"),"")</f>
        <v/>
      </c>
      <c r="J175" s="330">
        <f>IF(AND(E175=Data!R174,Data!AA174&lt;&gt;""),Data!AA174,"")</f>
        <v/>
      </c>
      <c r="K175" s="751">
        <f>IF(AND(E175=Data!R174,Data!AE174&lt;&gt;""),Data!AE174,"")</f>
        <v/>
      </c>
      <c r="L175" s="1039">
        <f>IF(E175=Data!R176,Data!AI176,"")</f>
        <v/>
      </c>
      <c r="M175" s="1039">
        <f>IF(E175=Data!R176,Data!AJ176,"")</f>
        <v/>
      </c>
      <c r="N175">
        <f>IF(AND(Data!R176&lt;&gt;"",Data!L176="Accepté"),Data!K176,"")</f>
        <v/>
      </c>
    </row>
    <row r="176" hidden="1" s="701">
      <c r="A176" s="164">
        <f>IF(AND(Data!R175&lt;&gt;"",Data!L175="Accepté"),Data!G175,"")</f>
        <v/>
      </c>
      <c r="B176" s="164">
        <f>IF(AND(Data!R175&lt;&gt;"",Data!L175="Accepté"),Data!L175,"")</f>
        <v/>
      </c>
      <c r="C176" s="329">
        <f>IF(D176&lt;&gt;"","S"&amp;TEXT(WEEKNUM(D176),"00"),"")</f>
        <v/>
      </c>
      <c r="D176" s="330">
        <f>IF(AND(Data!Q175&lt;&gt;"",Data!L175="Accepté"),Data!Q175,"")</f>
        <v/>
      </c>
      <c r="E176" s="106">
        <f>IF(AND(Data!R175&lt;&gt;"",Data!L175="Accepté"),Data!R175,"")</f>
        <v/>
      </c>
      <c r="F176" s="1037">
        <f>IF(AND(Data!R175&lt;&gt;"",Data!L175="Accepté"),Data!S175,"")</f>
        <v/>
      </c>
      <c r="G176" s="1038">
        <f>IF(Data!R175='Delivery Plan'!E176,Data!U175,"")</f>
        <v/>
      </c>
      <c r="H176" s="327" t="n"/>
      <c r="I176" s="329">
        <f>IF(J176&lt;&gt;"","S"&amp;TEXT(WEEKNUM(J176),"00"),"")</f>
        <v/>
      </c>
      <c r="J176" s="330">
        <f>IF(AND(E176=Data!R175,Data!AA175&lt;&gt;""),Data!AA175,"")</f>
        <v/>
      </c>
      <c r="K176" s="751">
        <f>IF(AND(E176=Data!R175,Data!AE175&lt;&gt;""),Data!AE175,"")</f>
        <v/>
      </c>
      <c r="L176" s="1039">
        <f>IF(E176=Data!R177,Data!AI177,"")</f>
        <v/>
      </c>
      <c r="M176" s="1039">
        <f>IF(E176=Data!R177,Data!AJ177,"")</f>
        <v/>
      </c>
      <c r="N176">
        <f>IF(AND(Data!R177&lt;&gt;"",Data!L177="Accepté"),Data!K177,"")</f>
        <v/>
      </c>
    </row>
    <row r="177" hidden="1" s="701">
      <c r="A177" s="164">
        <f>IF(AND(Data!R176&lt;&gt;"",Data!L176="Accepté"),Data!G176,"")</f>
        <v/>
      </c>
      <c r="B177" s="164">
        <f>IF(AND(Data!R176&lt;&gt;"",Data!L176="Accepté"),Data!L176,"")</f>
        <v/>
      </c>
      <c r="C177" s="329">
        <f>IF(D177&lt;&gt;"","S"&amp;TEXT(WEEKNUM(D177),"00"),"")</f>
        <v/>
      </c>
      <c r="D177" s="330">
        <f>IF(AND(Data!Q176&lt;&gt;"",Data!L176="Accepté"),Data!Q176,"")</f>
        <v/>
      </c>
      <c r="E177" s="106">
        <f>IF(AND(Data!R176&lt;&gt;"",Data!L176="Accepté"),Data!R176,"")</f>
        <v/>
      </c>
      <c r="F177" s="1037">
        <f>IF(AND(Data!R176&lt;&gt;"",Data!L176="Accepté"),Data!S176,"")</f>
        <v/>
      </c>
      <c r="G177" s="1038">
        <f>IF(Data!R176='Delivery Plan'!E177,Data!U176,"")</f>
        <v/>
      </c>
      <c r="H177" s="327" t="n"/>
      <c r="I177" s="329">
        <f>IF(J177&lt;&gt;"","S"&amp;TEXT(WEEKNUM(J177),"00"),"")</f>
        <v/>
      </c>
      <c r="J177" s="330">
        <f>IF(AND(E177=Data!R176,Data!AA176&lt;&gt;""),Data!AA176,"")</f>
        <v/>
      </c>
      <c r="K177" s="751">
        <f>IF(AND(E177=Data!R176,Data!AE176&lt;&gt;""),Data!AE176,"")</f>
        <v/>
      </c>
      <c r="L177" s="1039">
        <f>IF(E177=Data!R178,Data!AI178,"")</f>
        <v/>
      </c>
      <c r="M177" s="1039">
        <f>IF(E177=Data!R178,Data!AJ178,"")</f>
        <v/>
      </c>
      <c r="N177">
        <f>IF(AND(Data!R178&lt;&gt;"",Data!L178="Accepté"),Data!K178,"")</f>
        <v/>
      </c>
    </row>
    <row r="178" hidden="1" s="701">
      <c r="A178" s="164">
        <f>IF(AND(Data!R177&lt;&gt;"",Data!L177="Accepté"),Data!G177,"")</f>
        <v/>
      </c>
      <c r="B178" s="164">
        <f>IF(AND(Data!R177&lt;&gt;"",Data!L177="Accepté"),Data!L177,"")</f>
        <v/>
      </c>
      <c r="C178" s="329">
        <f>IF(D178&lt;&gt;"","S"&amp;TEXT(WEEKNUM(D178),"00"),"")</f>
        <v/>
      </c>
      <c r="D178" s="330">
        <f>IF(AND(Data!Q177&lt;&gt;"",Data!L177="Accepté"),Data!Q177,"")</f>
        <v/>
      </c>
      <c r="E178" s="106">
        <f>IF(AND(Data!R177&lt;&gt;"",Data!L177="Accepté"),Data!R177,"")</f>
        <v/>
      </c>
      <c r="F178" s="1037">
        <f>IF(AND(Data!R177&lt;&gt;"",Data!L177="Accepté"),Data!S177,"")</f>
        <v/>
      </c>
      <c r="G178" s="1038">
        <f>IF(Data!R177='Delivery Plan'!E178,Data!U177,"")</f>
        <v/>
      </c>
      <c r="H178" s="327" t="n"/>
      <c r="I178" s="329">
        <f>IF(J178&lt;&gt;"","S"&amp;TEXT(WEEKNUM(J178),"00"),"")</f>
        <v/>
      </c>
      <c r="J178" s="330">
        <f>IF(AND(E178=Data!R177,Data!AA177&lt;&gt;""),Data!AA177,"")</f>
        <v/>
      </c>
      <c r="K178" s="751">
        <f>IF(AND(E178=Data!R177,Data!AE177&lt;&gt;""),Data!AE177,"")</f>
        <v/>
      </c>
      <c r="L178" s="1039">
        <f>IF(E178=Data!R179,Data!AI179,"")</f>
        <v/>
      </c>
      <c r="M178" s="1039">
        <f>IF(E178=Data!R179,Data!AJ179,"")</f>
        <v/>
      </c>
      <c r="N178">
        <f>IF(AND(Data!R179&lt;&gt;"",Data!L179="Accepté"),Data!K179,"")</f>
        <v/>
      </c>
    </row>
    <row r="179" hidden="1" s="701">
      <c r="A179" s="164">
        <f>IF(AND(Data!R178&lt;&gt;"",Data!L178="Accepté"),Data!G178,"")</f>
        <v/>
      </c>
      <c r="B179" s="164">
        <f>IF(AND(Data!R178&lt;&gt;"",Data!L178="Accepté"),Data!L178,"")</f>
        <v/>
      </c>
      <c r="C179" s="329">
        <f>IF(D179&lt;&gt;"","S"&amp;TEXT(WEEKNUM(D179),"00"),"")</f>
        <v/>
      </c>
      <c r="D179" s="330">
        <f>IF(AND(Data!Q178&lt;&gt;"",Data!L178="Accepté"),Data!Q178,"")</f>
        <v/>
      </c>
      <c r="E179" s="106">
        <f>IF(AND(Data!R178&lt;&gt;"",Data!L178="Accepté"),Data!R178,"")</f>
        <v/>
      </c>
      <c r="F179" s="1037">
        <f>IF(AND(Data!R178&lt;&gt;"",Data!L178="Accepté"),Data!S178,"")</f>
        <v/>
      </c>
      <c r="G179" s="1038">
        <f>IF(Data!R178='Delivery Plan'!E179,Data!U178,"")</f>
        <v/>
      </c>
      <c r="H179" s="327" t="n"/>
      <c r="I179" s="329">
        <f>IF(J179&lt;&gt;"","S"&amp;TEXT(WEEKNUM(J179),"00"),"")</f>
        <v/>
      </c>
      <c r="J179" s="330">
        <f>IF(AND(E179=Data!R178,Data!AA178&lt;&gt;""),Data!AA178,"")</f>
        <v/>
      </c>
      <c r="K179" s="751">
        <f>IF(AND(E179=Data!R178,Data!AE178&lt;&gt;""),Data!AE178,"")</f>
        <v/>
      </c>
      <c r="L179" s="1039">
        <f>IF(E179=Data!R180,Data!AI180,"")</f>
        <v/>
      </c>
      <c r="M179" s="1039">
        <f>IF(E179=Data!R180,Data!AJ180,"")</f>
        <v/>
      </c>
      <c r="N179">
        <f>IF(AND(Data!R180&lt;&gt;"",Data!L180="Accepté"),Data!K180,"")</f>
        <v/>
      </c>
    </row>
    <row r="180" hidden="1" s="701">
      <c r="A180" s="164">
        <f>IF(AND(Data!R179&lt;&gt;"",Data!L179="Accepté"),Data!G179,"")</f>
        <v/>
      </c>
      <c r="B180" s="164">
        <f>IF(AND(Data!R179&lt;&gt;"",Data!L179="Accepté"),Data!L179,"")</f>
        <v/>
      </c>
      <c r="C180" s="329">
        <f>IF(D180&lt;&gt;"","S"&amp;TEXT(WEEKNUM(D180),"00"),"")</f>
        <v/>
      </c>
      <c r="D180" s="330">
        <f>IF(AND(Data!Q179&lt;&gt;"",Data!L179="Accepté"),Data!Q179,"")</f>
        <v/>
      </c>
      <c r="E180" s="106">
        <f>IF(AND(Data!R179&lt;&gt;"",Data!L179="Accepté"),Data!R179,"")</f>
        <v/>
      </c>
      <c r="F180" s="1037">
        <f>IF(AND(Data!R179&lt;&gt;"",Data!L179="Accepté"),Data!S179,"")</f>
        <v/>
      </c>
      <c r="G180" s="1038">
        <f>IF(Data!R179='Delivery Plan'!E180,Data!U179,"")</f>
        <v/>
      </c>
      <c r="H180" s="327" t="n"/>
      <c r="I180" s="329">
        <f>IF(J180&lt;&gt;"","S"&amp;TEXT(WEEKNUM(J180),"00"),"")</f>
        <v/>
      </c>
      <c r="J180" s="330">
        <f>IF(AND(E180=Data!R179,Data!AA179&lt;&gt;""),Data!AA179,"")</f>
        <v/>
      </c>
      <c r="K180" s="751">
        <f>IF(AND(E180=Data!R179,Data!AE179&lt;&gt;""),Data!AE179,"")</f>
        <v/>
      </c>
      <c r="L180" s="1039">
        <f>IF(E180=Data!R181,Data!AI181,"")</f>
        <v/>
      </c>
      <c r="M180" s="1039">
        <f>IF(E180=Data!R181,Data!AJ181,"")</f>
        <v/>
      </c>
      <c r="N180">
        <f>IF(AND(Data!R181&lt;&gt;"",Data!L181="Accepté"),Data!K181,"")</f>
        <v/>
      </c>
    </row>
    <row r="181" hidden="1" s="701">
      <c r="A181" s="164">
        <f>IF(AND(Data!R180&lt;&gt;"",Data!L180="Accepté"),Data!G180,"")</f>
        <v/>
      </c>
      <c r="B181" s="164">
        <f>IF(AND(Data!R180&lt;&gt;"",Data!L180="Accepté"),Data!L180,"")</f>
        <v/>
      </c>
      <c r="C181" s="329">
        <f>IF(D181&lt;&gt;"","S"&amp;TEXT(WEEKNUM(D181),"00"),"")</f>
        <v/>
      </c>
      <c r="D181" s="330">
        <f>IF(AND(Data!Q180&lt;&gt;"",Data!L180="Accepté"),Data!Q180,"")</f>
        <v/>
      </c>
      <c r="E181" s="106">
        <f>IF(AND(Data!R180&lt;&gt;"",Data!L180="Accepté"),Data!R180,"")</f>
        <v/>
      </c>
      <c r="F181" s="1037">
        <f>IF(AND(Data!R180&lt;&gt;"",Data!L180="Accepté"),Data!S180,"")</f>
        <v/>
      </c>
      <c r="G181" s="1038">
        <f>IF(Data!R180='Delivery Plan'!E181,Data!U180,"")</f>
        <v/>
      </c>
      <c r="H181" s="327" t="n"/>
      <c r="I181" s="329">
        <f>IF(J181&lt;&gt;"","S"&amp;TEXT(WEEKNUM(J181),"00"),"")</f>
        <v/>
      </c>
      <c r="J181" s="330">
        <f>IF(AND(E181=Data!R180,Data!AA180&lt;&gt;""),Data!AA180,"")</f>
        <v/>
      </c>
      <c r="K181" s="751">
        <f>IF(AND(E181=Data!R180,Data!AE180&lt;&gt;""),Data!AE180,"")</f>
        <v/>
      </c>
      <c r="L181" s="1039">
        <f>IF(E181=Data!R182,Data!AI182,"")</f>
        <v/>
      </c>
      <c r="M181" s="1039">
        <f>IF(E181=Data!R182,Data!AJ182,"")</f>
        <v/>
      </c>
      <c r="N181">
        <f>IF(AND(Data!R182&lt;&gt;"",Data!L182="Accepté"),Data!K182,"")</f>
        <v/>
      </c>
    </row>
    <row r="182" hidden="1" s="701">
      <c r="A182" s="164">
        <f>IF(AND(Data!R181&lt;&gt;"",Data!L181="Accepté"),Data!G181,"")</f>
        <v/>
      </c>
      <c r="B182" s="164">
        <f>IF(AND(Data!R181&lt;&gt;"",Data!L181="Accepté"),Data!L181,"")</f>
        <v/>
      </c>
      <c r="C182" s="329">
        <f>IF(D182&lt;&gt;"","S"&amp;TEXT(WEEKNUM(D182),"00"),"")</f>
        <v/>
      </c>
      <c r="D182" s="330">
        <f>IF(AND(Data!Q181&lt;&gt;"",Data!L181="Accepté"),Data!Q181,"")</f>
        <v/>
      </c>
      <c r="E182" s="106">
        <f>IF(AND(Data!R181&lt;&gt;"",Data!L181="Accepté"),Data!R181,"")</f>
        <v/>
      </c>
      <c r="F182" s="1037">
        <f>IF(AND(Data!R181&lt;&gt;"",Data!L181="Accepté"),Data!S181,"")</f>
        <v/>
      </c>
      <c r="G182" s="1038">
        <f>IF(Data!R181='Delivery Plan'!E182,Data!U181,"")</f>
        <v/>
      </c>
      <c r="H182" s="327" t="n"/>
      <c r="I182" s="329">
        <f>IF(J182&lt;&gt;"","S"&amp;TEXT(WEEKNUM(J182),"00"),"")</f>
        <v/>
      </c>
      <c r="J182" s="330">
        <f>IF(AND(E182=Data!R181,Data!AA181&lt;&gt;""),Data!AA181,"")</f>
        <v/>
      </c>
      <c r="K182" s="751">
        <f>IF(AND(E182=Data!R181,Data!AE181&lt;&gt;""),Data!AE181,"")</f>
        <v/>
      </c>
      <c r="L182" s="1039">
        <f>IF(E182=Data!R183,Data!AI183,"")</f>
        <v/>
      </c>
      <c r="M182" s="1039">
        <f>IF(E182=Data!R183,Data!AJ183,"")</f>
        <v/>
      </c>
      <c r="N182">
        <f>IF(AND(Data!R183&lt;&gt;"",Data!L183="Accepté"),Data!K183,"")</f>
        <v/>
      </c>
    </row>
    <row r="183" hidden="1" s="701">
      <c r="A183" s="164">
        <f>IF(AND(Data!R182&lt;&gt;"",Data!L182="Accepté"),Data!G182,"")</f>
        <v/>
      </c>
      <c r="B183" s="164">
        <f>IF(AND(Data!R182&lt;&gt;"",Data!L182="Accepté"),Data!L182,"")</f>
        <v/>
      </c>
      <c r="C183" s="329">
        <f>IF(D183&lt;&gt;"","S"&amp;TEXT(WEEKNUM(D183),"00"),"")</f>
        <v/>
      </c>
      <c r="D183" s="330">
        <f>IF(AND(Data!Q182&lt;&gt;"",Data!L182="Accepté"),Data!Q182,"")</f>
        <v/>
      </c>
      <c r="E183" s="106">
        <f>IF(AND(Data!R182&lt;&gt;"",Data!L182="Accepté"),Data!R182,"")</f>
        <v/>
      </c>
      <c r="F183" s="1037">
        <f>IF(AND(Data!R182&lt;&gt;"",Data!L182="Accepté"),Data!S182,"")</f>
        <v/>
      </c>
      <c r="G183" s="1038">
        <f>IF(Data!R182='Delivery Plan'!E183,Data!U182,"")</f>
        <v/>
      </c>
      <c r="H183" s="327" t="n"/>
      <c r="I183" s="329">
        <f>IF(J183&lt;&gt;"","S"&amp;TEXT(WEEKNUM(J183),"00"),"")</f>
        <v/>
      </c>
      <c r="J183" s="330">
        <f>IF(AND(E183=Data!R182,Data!AA182&lt;&gt;""),Data!AA182,"")</f>
        <v/>
      </c>
      <c r="K183" s="751">
        <f>IF(AND(E183=Data!R182,Data!AE182&lt;&gt;""),Data!AE182,"")</f>
        <v/>
      </c>
      <c r="L183" s="1039">
        <f>IF(E183=Data!R184,Data!AI184,"")</f>
        <v/>
      </c>
      <c r="M183" s="1039">
        <f>IF(E183=Data!R184,Data!AJ184,"")</f>
        <v/>
      </c>
      <c r="N183">
        <f>IF(AND(Data!R184&lt;&gt;"",Data!L184="Accepté"),Data!K184,"")</f>
        <v/>
      </c>
    </row>
    <row r="184" hidden="1" s="701">
      <c r="A184" s="164">
        <f>IF(AND(Data!R183&lt;&gt;"",Data!L183="Accepté"),Data!G183,"")</f>
        <v/>
      </c>
      <c r="B184" s="164">
        <f>IF(AND(Data!R183&lt;&gt;"",Data!L183="Accepté"),Data!L183,"")</f>
        <v/>
      </c>
      <c r="C184" s="329">
        <f>IF(D184&lt;&gt;"","S"&amp;TEXT(WEEKNUM(D184),"00"),"")</f>
        <v/>
      </c>
      <c r="D184" s="330">
        <f>IF(AND(Data!Q183&lt;&gt;"",Data!L183="Accepté"),Data!Q183,"")</f>
        <v/>
      </c>
      <c r="E184" s="106">
        <f>IF(AND(Data!R183&lt;&gt;"",Data!L183="Accepté"),Data!R183,"")</f>
        <v/>
      </c>
      <c r="F184" s="1037">
        <f>IF(AND(Data!R183&lt;&gt;"",Data!L183="Accepté"),Data!S183,"")</f>
        <v/>
      </c>
      <c r="G184" s="1038">
        <f>IF(Data!R183='Delivery Plan'!E184,Data!U183,"")</f>
        <v/>
      </c>
      <c r="H184" s="327" t="n"/>
      <c r="I184" s="329">
        <f>IF(J184&lt;&gt;"","S"&amp;TEXT(WEEKNUM(J184),"00"),"")</f>
        <v/>
      </c>
      <c r="J184" s="330">
        <f>IF(AND(E184=Data!R183,Data!AA183&lt;&gt;""),Data!AA183,"")</f>
        <v/>
      </c>
      <c r="K184" s="751">
        <f>IF(AND(E184=Data!R183,Data!AE183&lt;&gt;""),Data!AE183,"")</f>
        <v/>
      </c>
      <c r="L184" s="1039">
        <f>IF(E184=Data!R185,Data!AI185,"")</f>
        <v/>
      </c>
      <c r="M184" s="1039">
        <f>IF(E184=Data!R185,Data!AJ185,"")</f>
        <v/>
      </c>
      <c r="N184">
        <f>IF(AND(Data!R185&lt;&gt;"",Data!L185="Accepté"),Data!K185,"")</f>
        <v/>
      </c>
    </row>
    <row r="185" hidden="1" s="701">
      <c r="A185" s="164">
        <f>IF(AND(Data!R184&lt;&gt;"",Data!L184="Accepté"),Data!G184,"")</f>
        <v/>
      </c>
      <c r="B185" s="164">
        <f>IF(AND(Data!R184&lt;&gt;"",Data!L184="Accepté"),Data!L184,"")</f>
        <v/>
      </c>
      <c r="C185" s="329">
        <f>IF(D185&lt;&gt;"","S"&amp;TEXT(WEEKNUM(D185),"00"),"")</f>
        <v/>
      </c>
      <c r="D185" s="330">
        <f>IF(AND(Data!Q184&lt;&gt;"",Data!L184="Accepté"),Data!Q184,"")</f>
        <v/>
      </c>
      <c r="E185" s="106">
        <f>IF(AND(Data!R184&lt;&gt;"",Data!L184="Accepté"),Data!R184,"")</f>
        <v/>
      </c>
      <c r="F185" s="1037">
        <f>IF(AND(Data!R184&lt;&gt;"",Data!L184="Accepté"),Data!S184,"")</f>
        <v/>
      </c>
      <c r="G185" s="1038">
        <f>IF(Data!R184='Delivery Plan'!E185,Data!U184,"")</f>
        <v/>
      </c>
      <c r="H185" s="327" t="n"/>
      <c r="I185" s="329">
        <f>IF(J185&lt;&gt;"","S"&amp;TEXT(WEEKNUM(J185),"00"),"")</f>
        <v/>
      </c>
      <c r="J185" s="330">
        <f>IF(AND(E185=Data!R184,Data!AA184&lt;&gt;""),Data!AA184,"")</f>
        <v/>
      </c>
      <c r="K185" s="751">
        <f>IF(AND(E185=Data!R184,Data!AE184&lt;&gt;""),Data!AE184,"")</f>
        <v/>
      </c>
      <c r="L185" s="1039">
        <f>IF(E185=Data!R186,Data!AI186,"")</f>
        <v/>
      </c>
      <c r="M185" s="1039">
        <f>IF(E185=Data!R186,Data!AJ186,"")</f>
        <v/>
      </c>
      <c r="N185">
        <f>IF(AND(Data!R186&lt;&gt;"",Data!L186="Accepté"),Data!K186,"")</f>
        <v/>
      </c>
    </row>
    <row r="186" hidden="1" s="701">
      <c r="A186" s="164">
        <f>IF(AND(Data!R185&lt;&gt;"",Data!L185="Accepté"),Data!G185,"")</f>
        <v/>
      </c>
      <c r="B186" s="164">
        <f>IF(AND(Data!R185&lt;&gt;"",Data!L185="Accepté"),Data!L185,"")</f>
        <v/>
      </c>
      <c r="C186" s="329">
        <f>IF(D186&lt;&gt;"","S"&amp;TEXT(WEEKNUM(D186),"00"),"")</f>
        <v/>
      </c>
      <c r="D186" s="330">
        <f>IF(AND(Data!Q185&lt;&gt;"",Data!L185="Accepté"),Data!Q185,"")</f>
        <v/>
      </c>
      <c r="E186" s="106">
        <f>IF(AND(Data!R185&lt;&gt;"",Data!L185="Accepté"),Data!R185,"")</f>
        <v/>
      </c>
      <c r="F186" s="1037">
        <f>IF(AND(Data!R185&lt;&gt;"",Data!L185="Accepté"),Data!S185,"")</f>
        <v/>
      </c>
      <c r="G186" s="1038">
        <f>IF(Data!R185='Delivery Plan'!E186,Data!U185,"")</f>
        <v/>
      </c>
      <c r="H186" s="327" t="n"/>
      <c r="I186" s="329">
        <f>IF(J186&lt;&gt;"","S"&amp;TEXT(WEEKNUM(J186),"00"),"")</f>
        <v/>
      </c>
      <c r="J186" s="330">
        <f>IF(AND(E186=Data!R185,Data!AA185&lt;&gt;""),Data!AA185,"")</f>
        <v/>
      </c>
      <c r="K186" s="751">
        <f>IF(AND(E186=Data!R185,Data!AE185&lt;&gt;""),Data!AE185,"")</f>
        <v/>
      </c>
      <c r="L186" s="1039">
        <f>IF(E186=Data!R187,Data!AI187,"")</f>
        <v/>
      </c>
      <c r="M186" s="1039">
        <f>IF(E186=Data!R187,Data!AJ187,"")</f>
        <v/>
      </c>
      <c r="N186">
        <f>IF(AND(Data!R187&lt;&gt;"",Data!L187="Accepté"),Data!K187,"")</f>
        <v/>
      </c>
    </row>
    <row r="187" hidden="1" s="701">
      <c r="A187" s="164">
        <f>IF(AND(Data!R186&lt;&gt;"",Data!L186="Accepté"),Data!G186,"")</f>
        <v/>
      </c>
      <c r="B187" s="164">
        <f>IF(AND(Data!R186&lt;&gt;"",Data!L186="Accepté"),Data!L186,"")</f>
        <v/>
      </c>
      <c r="C187" s="329">
        <f>IF(D187&lt;&gt;"","S"&amp;TEXT(WEEKNUM(D187),"00"),"")</f>
        <v/>
      </c>
      <c r="D187" s="330">
        <f>IF(AND(Data!Q186&lt;&gt;"",Data!L186="Accepté"),Data!Q186,"")</f>
        <v/>
      </c>
      <c r="E187" s="106">
        <f>IF(AND(Data!R186&lt;&gt;"",Data!L186="Accepté"),Data!R186,"")</f>
        <v/>
      </c>
      <c r="F187" s="1037">
        <f>IF(AND(Data!R186&lt;&gt;"",Data!L186="Accepté"),Data!S186,"")</f>
        <v/>
      </c>
      <c r="G187" s="1038">
        <f>IF(Data!R186='Delivery Plan'!E187,Data!U186,"")</f>
        <v/>
      </c>
      <c r="H187" s="327" t="n"/>
      <c r="I187" s="329">
        <f>IF(J187&lt;&gt;"","S"&amp;TEXT(WEEKNUM(J187),"00"),"")</f>
        <v/>
      </c>
      <c r="J187" s="330">
        <f>IF(AND(E187=Data!R186,Data!AA186&lt;&gt;""),Data!AA186,"")</f>
        <v/>
      </c>
      <c r="K187" s="751">
        <f>IF(AND(E187=Data!R186,Data!AE186&lt;&gt;""),Data!AE186,"")</f>
        <v/>
      </c>
      <c r="L187" s="1039">
        <f>IF(E187=Data!R188,Data!AI188,"")</f>
        <v/>
      </c>
      <c r="M187" s="1039">
        <f>IF(E187=Data!R188,Data!AJ188,"")</f>
        <v/>
      </c>
      <c r="N187">
        <f>IF(AND(Data!R188&lt;&gt;"",Data!L188="Accepté"),Data!K188,"")</f>
        <v/>
      </c>
    </row>
    <row r="188" hidden="1" s="701">
      <c r="A188" s="164">
        <f>IF(AND(Data!R187&lt;&gt;"",Data!L187="Accepté"),Data!G187,"")</f>
        <v/>
      </c>
      <c r="B188" s="164">
        <f>IF(AND(Data!R187&lt;&gt;"",Data!L187="Accepté"),Data!L187,"")</f>
        <v/>
      </c>
      <c r="C188" s="329">
        <f>IF(D188&lt;&gt;"","S"&amp;TEXT(WEEKNUM(D188),"00"),"")</f>
        <v/>
      </c>
      <c r="D188" s="330">
        <f>IF(AND(Data!Q187&lt;&gt;"",Data!L187="Accepté"),Data!Q187,"")</f>
        <v/>
      </c>
      <c r="E188" s="106">
        <f>IF(AND(Data!R187&lt;&gt;"",Data!L187="Accepté"),Data!R187,"")</f>
        <v/>
      </c>
      <c r="F188" s="1037">
        <f>IF(AND(Data!R187&lt;&gt;"",Data!L187="Accepté"),Data!S187,"")</f>
        <v/>
      </c>
      <c r="G188" s="1038">
        <f>IF(Data!R187='Delivery Plan'!E188,Data!U187,"")</f>
        <v/>
      </c>
      <c r="H188" s="327" t="n"/>
      <c r="I188" s="329">
        <f>IF(J188&lt;&gt;"","S"&amp;TEXT(WEEKNUM(J188),"00"),"")</f>
        <v/>
      </c>
      <c r="J188" s="330">
        <f>IF(AND(E188=Data!R187,Data!AA187&lt;&gt;""),Data!AA187,"")</f>
        <v/>
      </c>
      <c r="K188" s="751">
        <f>IF(AND(E188=Data!R187,Data!AE187&lt;&gt;""),Data!AE187,"")</f>
        <v/>
      </c>
      <c r="L188" s="1039">
        <f>IF(E188=Data!R189,Data!AI189,"")</f>
        <v/>
      </c>
      <c r="M188" s="1039">
        <f>IF(E188=Data!R189,Data!AJ189,"")</f>
        <v/>
      </c>
      <c r="N188">
        <f>IF(AND(Data!R189&lt;&gt;"",Data!L189="Accepté"),Data!K189,"")</f>
        <v/>
      </c>
    </row>
    <row r="189" hidden="1" s="701">
      <c r="A189" s="164">
        <f>IF(AND(Data!R188&lt;&gt;"",Data!L188="Accepté"),Data!G188,"")</f>
        <v/>
      </c>
      <c r="B189" s="164">
        <f>IF(AND(Data!R188&lt;&gt;"",Data!L188="Accepté"),Data!L188,"")</f>
        <v/>
      </c>
      <c r="C189" s="329">
        <f>IF(D189&lt;&gt;"","S"&amp;TEXT(WEEKNUM(D189),"00"),"")</f>
        <v/>
      </c>
      <c r="D189" s="330">
        <f>IF(AND(Data!Q188&lt;&gt;"",Data!L188="Accepté"),Data!Q188,"")</f>
        <v/>
      </c>
      <c r="E189" s="106">
        <f>IF(AND(Data!R188&lt;&gt;"",Data!L188="Accepté"),Data!R188,"")</f>
        <v/>
      </c>
      <c r="F189" s="1037">
        <f>IF(AND(Data!R188&lt;&gt;"",Data!L188="Accepté"),Data!S188,"")</f>
        <v/>
      </c>
      <c r="G189" s="1038">
        <f>IF(Data!R188='Delivery Plan'!E189,Data!U188,"")</f>
        <v/>
      </c>
      <c r="H189" s="327" t="n"/>
      <c r="I189" s="329">
        <f>IF(J189&lt;&gt;"","S"&amp;TEXT(WEEKNUM(J189),"00"),"")</f>
        <v/>
      </c>
      <c r="J189" s="330">
        <f>IF(AND(E189=Data!R188,Data!AA188&lt;&gt;""),Data!AA188,"")</f>
        <v/>
      </c>
      <c r="K189" s="751">
        <f>IF(AND(E189=Data!R188,Data!AE188&lt;&gt;""),Data!AE188,"")</f>
        <v/>
      </c>
      <c r="L189" s="1039">
        <f>IF(E189=Data!R190,Data!AI190,"")</f>
        <v/>
      </c>
      <c r="M189" s="1039">
        <f>IF(E189=Data!R190,Data!AJ190,"")</f>
        <v/>
      </c>
      <c r="N189">
        <f>IF(AND(Data!R190&lt;&gt;"",Data!L190="Accepté"),Data!K190,"")</f>
        <v/>
      </c>
    </row>
    <row r="190" hidden="1" s="701">
      <c r="A190" s="164">
        <f>IF(AND(Data!R189&lt;&gt;"",Data!L189="Accepté"),Data!G189,"")</f>
        <v/>
      </c>
      <c r="B190" s="164">
        <f>IF(AND(Data!R189&lt;&gt;"",Data!L189="Accepté"),Data!L189,"")</f>
        <v/>
      </c>
      <c r="C190" s="329">
        <f>IF(D190&lt;&gt;"","S"&amp;TEXT(WEEKNUM(D190),"00"),"")</f>
        <v/>
      </c>
      <c r="D190" s="330">
        <f>IF(AND(Data!Q189&lt;&gt;"",Data!L189="Accepté"),Data!Q189,"")</f>
        <v/>
      </c>
      <c r="E190" s="106">
        <f>IF(AND(Data!R189&lt;&gt;"",Data!L189="Accepté"),Data!R189,"")</f>
        <v/>
      </c>
      <c r="F190" s="1037">
        <f>IF(AND(Data!R189&lt;&gt;"",Data!L189="Accepté"),Data!S189,"")</f>
        <v/>
      </c>
      <c r="G190" s="1038">
        <f>IF(Data!R189='Delivery Plan'!E190,Data!U189,"")</f>
        <v/>
      </c>
      <c r="H190" s="327" t="n"/>
      <c r="I190" s="329">
        <f>IF(J190&lt;&gt;"","S"&amp;TEXT(WEEKNUM(J190),"00"),"")</f>
        <v/>
      </c>
      <c r="J190" s="330">
        <f>IF(AND(E190=Data!R189,Data!AA189&lt;&gt;""),Data!AA189,"")</f>
        <v/>
      </c>
      <c r="K190" s="751">
        <f>IF(AND(E190=Data!R189,Data!AE189&lt;&gt;""),Data!AE189,"")</f>
        <v/>
      </c>
      <c r="L190" s="1039">
        <f>IF(E190=Data!R191,Data!AI191,"")</f>
        <v/>
      </c>
      <c r="M190" s="1039">
        <f>IF(E190=Data!R191,Data!AJ191,"")</f>
        <v/>
      </c>
      <c r="N190">
        <f>IF(AND(Data!R191&lt;&gt;"",Data!L191="Accepté"),Data!K191,"")</f>
        <v/>
      </c>
    </row>
    <row r="191" hidden="1" s="701">
      <c r="A191" s="164">
        <f>IF(AND(Data!R190&lt;&gt;"",Data!L190="Accepté"),Data!G190,"")</f>
        <v/>
      </c>
      <c r="B191" s="164">
        <f>IF(AND(Data!R190&lt;&gt;"",Data!L190="Accepté"),Data!L190,"")</f>
        <v/>
      </c>
      <c r="C191" s="329">
        <f>IF(D191&lt;&gt;"","S"&amp;TEXT(WEEKNUM(D191),"00"),"")</f>
        <v/>
      </c>
      <c r="D191" s="330">
        <f>IF(AND(Data!Q190&lt;&gt;"",Data!L190="Accepté"),Data!Q190,"")</f>
        <v/>
      </c>
      <c r="E191" s="106">
        <f>IF(AND(Data!R190&lt;&gt;"",Data!L190="Accepté"),Data!R190,"")</f>
        <v/>
      </c>
      <c r="F191" s="1037">
        <f>IF(AND(Data!R190&lt;&gt;"",Data!L190="Accepté"),Data!S190,"")</f>
        <v/>
      </c>
      <c r="G191" s="1038">
        <f>IF(Data!R190='Delivery Plan'!E191,Data!U190,"")</f>
        <v/>
      </c>
      <c r="H191" s="327" t="n"/>
      <c r="I191" s="329">
        <f>IF(J191&lt;&gt;"","S"&amp;TEXT(WEEKNUM(J191),"00"),"")</f>
        <v/>
      </c>
      <c r="J191" s="330">
        <f>IF(AND(E191=Data!R190,Data!AA190&lt;&gt;""),Data!AA190,"")</f>
        <v/>
      </c>
      <c r="K191" s="751">
        <f>IF(AND(E191=Data!R190,Data!AE190&lt;&gt;""),Data!AE190,"")</f>
        <v/>
      </c>
      <c r="L191" s="1039">
        <f>IF(E191=Data!R192,Data!AI192,"")</f>
        <v/>
      </c>
      <c r="M191" s="1039">
        <f>IF(E191=Data!R192,Data!AJ192,"")</f>
        <v/>
      </c>
      <c r="N191">
        <f>IF(AND(Data!R192&lt;&gt;"",Data!L192="Accepté"),Data!K192,"")</f>
        <v/>
      </c>
    </row>
    <row r="192" hidden="1" s="701">
      <c r="A192" s="164">
        <f>IF(AND(Data!R191&lt;&gt;"",Data!L191="Accepté"),Data!G191,"")</f>
        <v/>
      </c>
      <c r="B192" s="164">
        <f>IF(AND(Data!R191&lt;&gt;"",Data!L191="Accepté"),Data!L191,"")</f>
        <v/>
      </c>
      <c r="C192" s="329">
        <f>IF(D192&lt;&gt;"","S"&amp;TEXT(WEEKNUM(D192),"00"),"")</f>
        <v/>
      </c>
      <c r="D192" s="330">
        <f>IF(AND(Data!Q191&lt;&gt;"",Data!L191="Accepté"),Data!Q191,"")</f>
        <v/>
      </c>
      <c r="E192" s="106">
        <f>IF(AND(Data!R191&lt;&gt;"",Data!L191="Accepté"),Data!R191,"")</f>
        <v/>
      </c>
      <c r="F192" s="1037">
        <f>IF(AND(Data!R191&lt;&gt;"",Data!L191="Accepté"),Data!S191,"")</f>
        <v/>
      </c>
      <c r="G192" s="1038">
        <f>IF(Data!R191='Delivery Plan'!E192,Data!U191,"")</f>
        <v/>
      </c>
      <c r="H192" s="327" t="n"/>
      <c r="I192" s="329">
        <f>IF(J192&lt;&gt;"","S"&amp;TEXT(WEEKNUM(J192),"00"),"")</f>
        <v/>
      </c>
      <c r="J192" s="330">
        <f>IF(AND(E192=Data!R191,Data!AA191&lt;&gt;""),Data!AA191,"")</f>
        <v/>
      </c>
      <c r="K192" s="751">
        <f>IF(AND(E192=Data!R191,Data!AE191&lt;&gt;""),Data!AE191,"")</f>
        <v/>
      </c>
      <c r="L192" s="1039">
        <f>IF(E192=Data!R193,Data!AI193,"")</f>
        <v/>
      </c>
      <c r="M192" s="1039">
        <f>IF(E192=Data!R193,Data!AJ193,"")</f>
        <v/>
      </c>
      <c r="N192">
        <f>IF(AND(Data!R193&lt;&gt;"",Data!L193="Accepté"),Data!K193,"")</f>
        <v/>
      </c>
    </row>
    <row r="193" hidden="1" s="701">
      <c r="A193" s="164">
        <f>IF(AND(Data!R192&lt;&gt;"",Data!L192="Accepté"),Data!G192,"")</f>
        <v/>
      </c>
      <c r="B193" s="164">
        <f>IF(AND(Data!R192&lt;&gt;"",Data!L192="Accepté"),Data!L192,"")</f>
        <v/>
      </c>
      <c r="C193" s="329">
        <f>IF(D193&lt;&gt;"","S"&amp;TEXT(WEEKNUM(D193),"00"),"")</f>
        <v/>
      </c>
      <c r="D193" s="330">
        <f>IF(AND(Data!Q192&lt;&gt;"",Data!L192="Accepté"),Data!Q192,"")</f>
        <v/>
      </c>
      <c r="E193" s="106">
        <f>IF(AND(Data!R192&lt;&gt;"",Data!L192="Accepté"),Data!R192,"")</f>
        <v/>
      </c>
      <c r="F193" s="1037">
        <f>IF(AND(Data!R192&lt;&gt;"",Data!L192="Accepté"),Data!S192,"")</f>
        <v/>
      </c>
      <c r="G193" s="1038">
        <f>IF(Data!R192='Delivery Plan'!E193,Data!U192,"")</f>
        <v/>
      </c>
      <c r="H193" s="327" t="n"/>
      <c r="I193" s="329">
        <f>IF(J193&lt;&gt;"","S"&amp;TEXT(WEEKNUM(J193),"00"),"")</f>
        <v/>
      </c>
      <c r="J193" s="330">
        <f>IF(AND(E193=Data!R192,Data!AA192&lt;&gt;""),Data!AA192,"")</f>
        <v/>
      </c>
      <c r="K193" s="751">
        <f>IF(AND(E193=Data!R192,Data!AE192&lt;&gt;""),Data!AE192,"")</f>
        <v/>
      </c>
      <c r="L193" s="1039">
        <f>IF(E193=Data!R194,Data!AI194,"")</f>
        <v/>
      </c>
      <c r="M193" s="1039">
        <f>IF(E193=Data!R194,Data!AJ194,"")</f>
        <v/>
      </c>
      <c r="N193">
        <f>IF(AND(Data!R194&lt;&gt;"",Data!L194="Accepté"),Data!K194,"")</f>
        <v/>
      </c>
    </row>
    <row r="194" hidden="1" s="701">
      <c r="A194" s="164">
        <f>IF(AND(Data!R193&lt;&gt;"",Data!L193="Accepté"),Data!G193,"")</f>
        <v/>
      </c>
      <c r="B194" s="164">
        <f>IF(AND(Data!R193&lt;&gt;"",Data!L193="Accepté"),Data!L193,"")</f>
        <v/>
      </c>
      <c r="C194" s="329">
        <f>IF(D194&lt;&gt;"","S"&amp;TEXT(WEEKNUM(D194),"00"),"")</f>
        <v/>
      </c>
      <c r="D194" s="330">
        <f>IF(AND(Data!Q193&lt;&gt;"",Data!L193="Accepté"),Data!Q193,"")</f>
        <v/>
      </c>
      <c r="E194" s="106">
        <f>IF(AND(Data!R193&lt;&gt;"",Data!L193="Accepté"),Data!R193,"")</f>
        <v/>
      </c>
      <c r="F194" s="1037">
        <f>IF(AND(Data!R193&lt;&gt;"",Data!L193="Accepté"),Data!S193,"")</f>
        <v/>
      </c>
      <c r="G194" s="1038">
        <f>IF(Data!R193='Delivery Plan'!E194,Data!U193,"")</f>
        <v/>
      </c>
      <c r="H194" s="327" t="n"/>
      <c r="I194" s="329">
        <f>IF(J194&lt;&gt;"","S"&amp;TEXT(WEEKNUM(J194),"00"),"")</f>
        <v/>
      </c>
      <c r="J194" s="330">
        <f>IF(AND(E194=Data!R193,Data!AA193&lt;&gt;""),Data!AA193,"")</f>
        <v/>
      </c>
      <c r="K194" s="751">
        <f>IF(AND(E194=Data!R193,Data!AE193&lt;&gt;""),Data!AE193,"")</f>
        <v/>
      </c>
      <c r="L194" s="1039">
        <f>IF(E194=Data!R195,Data!AI195,"")</f>
        <v/>
      </c>
      <c r="M194" s="1039">
        <f>IF(E194=Data!R195,Data!AJ195,"")</f>
        <v/>
      </c>
      <c r="N194">
        <f>IF(AND(Data!R195&lt;&gt;"",Data!L195="Accepté"),Data!K195,"")</f>
        <v/>
      </c>
    </row>
    <row r="195" hidden="1" s="701">
      <c r="A195" s="164">
        <f>IF(AND(Data!R194&lt;&gt;"",Data!L194="Accepté"),Data!G194,"")</f>
        <v/>
      </c>
      <c r="B195" s="164">
        <f>IF(AND(Data!R194&lt;&gt;"",Data!L194="Accepté"),Data!L194,"")</f>
        <v/>
      </c>
      <c r="C195" s="329">
        <f>IF(D195&lt;&gt;"","S"&amp;TEXT(WEEKNUM(D195),"00"),"")</f>
        <v/>
      </c>
      <c r="D195" s="330">
        <f>IF(AND(Data!Q194&lt;&gt;"",Data!L194="Accepté"),Data!Q194,"")</f>
        <v/>
      </c>
      <c r="E195" s="106">
        <f>IF(AND(Data!R194&lt;&gt;"",Data!L194="Accepté"),Data!R194,"")</f>
        <v/>
      </c>
      <c r="F195" s="1037">
        <f>IF(AND(Data!R194&lt;&gt;"",Data!L194="Accepté"),Data!S194,"")</f>
        <v/>
      </c>
      <c r="G195" s="1038">
        <f>IF(Data!R194='Delivery Plan'!E195,Data!U194,"")</f>
        <v/>
      </c>
      <c r="H195" s="327" t="n"/>
      <c r="I195" s="329">
        <f>IF(J195&lt;&gt;"","S"&amp;TEXT(WEEKNUM(J195),"00"),"")</f>
        <v/>
      </c>
      <c r="J195" s="330">
        <f>IF(AND(E195=Data!R194,Data!AA194&lt;&gt;""),Data!AA194,"")</f>
        <v/>
      </c>
      <c r="K195" s="751">
        <f>IF(AND(E195=Data!R194,Data!AE194&lt;&gt;""),Data!AE194,"")</f>
        <v/>
      </c>
      <c r="L195" s="1039">
        <f>IF(E195=Data!R196,Data!AI196,"")</f>
        <v/>
      </c>
      <c r="M195" s="1039">
        <f>IF(E195=Data!R196,Data!AJ196,"")</f>
        <v/>
      </c>
      <c r="N195">
        <f>IF(AND(Data!R196&lt;&gt;"",Data!L196="Accepté"),Data!K196,"")</f>
        <v/>
      </c>
    </row>
    <row r="196" hidden="1" s="701">
      <c r="A196" s="164">
        <f>IF(AND(Data!R195&lt;&gt;"",Data!L195="Accepté"),Data!G195,"")</f>
        <v/>
      </c>
      <c r="B196" s="164">
        <f>IF(AND(Data!R195&lt;&gt;"",Data!L195="Accepté"),Data!L195,"")</f>
        <v/>
      </c>
      <c r="C196" s="329">
        <f>IF(D196&lt;&gt;"","S"&amp;TEXT(WEEKNUM(D196),"00"),"")</f>
        <v/>
      </c>
      <c r="D196" s="330">
        <f>IF(AND(Data!Q195&lt;&gt;"",Data!L195="Accepté"),Data!Q195,"")</f>
        <v/>
      </c>
      <c r="E196" s="106">
        <f>IF(AND(Data!R195&lt;&gt;"",Data!L195="Accepté"),Data!R195,"")</f>
        <v/>
      </c>
      <c r="F196" s="1037">
        <f>IF(AND(Data!R195&lt;&gt;"",Data!L195="Accepté"),Data!S195,"")</f>
        <v/>
      </c>
      <c r="G196" s="1038">
        <f>IF(Data!R195='Delivery Plan'!E196,Data!U195,"")</f>
        <v/>
      </c>
      <c r="H196" s="327" t="n"/>
      <c r="I196" s="329">
        <f>IF(J196&lt;&gt;"","S"&amp;TEXT(WEEKNUM(J196),"00"),"")</f>
        <v/>
      </c>
      <c r="J196" s="330">
        <f>IF(AND(E196=Data!R195,Data!AA195&lt;&gt;""),Data!AA195,"")</f>
        <v/>
      </c>
      <c r="K196" s="751">
        <f>IF(AND(E196=Data!R195,Data!AE195&lt;&gt;""),Data!AE195,"")</f>
        <v/>
      </c>
      <c r="L196" s="1039">
        <f>IF(E196=Data!R197,Data!AI197,"")</f>
        <v/>
      </c>
      <c r="M196" s="1039">
        <f>IF(E196=Data!R197,Data!AJ197,"")</f>
        <v/>
      </c>
      <c r="N196">
        <f>IF(AND(Data!R197&lt;&gt;"",Data!L197="Accepté"),Data!K197,"")</f>
        <v/>
      </c>
    </row>
    <row r="197" hidden="1" s="701">
      <c r="A197" s="164">
        <f>IF(AND(Data!R196&lt;&gt;"",Data!L196="Accepté"),Data!G196,"")</f>
        <v/>
      </c>
      <c r="B197" s="164">
        <f>IF(AND(Data!R196&lt;&gt;"",Data!L196="Accepté"),Data!L196,"")</f>
        <v/>
      </c>
      <c r="C197" s="329">
        <f>IF(D197&lt;&gt;"","S"&amp;TEXT(WEEKNUM(D197),"00"),"")</f>
        <v/>
      </c>
      <c r="D197" s="330">
        <f>IF(AND(Data!Q196&lt;&gt;"",Data!L196="Accepté"),Data!Q196,"")</f>
        <v/>
      </c>
      <c r="E197" s="106">
        <f>IF(AND(Data!R196&lt;&gt;"",Data!L196="Accepté"),Data!R196,"")</f>
        <v/>
      </c>
      <c r="F197" s="1037">
        <f>IF(AND(Data!R196&lt;&gt;"",Data!L196="Accepté"),Data!S196,"")</f>
        <v/>
      </c>
      <c r="G197" s="1038">
        <f>IF(Data!R196='Delivery Plan'!E197,Data!U196,"")</f>
        <v/>
      </c>
      <c r="H197" s="327" t="n"/>
      <c r="I197" s="329">
        <f>IF(J197&lt;&gt;"","S"&amp;TEXT(WEEKNUM(J197),"00"),"")</f>
        <v/>
      </c>
      <c r="J197" s="330">
        <f>IF(AND(E197=Data!R196,Data!AA196&lt;&gt;""),Data!AA196,"")</f>
        <v/>
      </c>
      <c r="K197" s="751">
        <f>IF(AND(E197=Data!R196,Data!AE196&lt;&gt;""),Data!AE196,"")</f>
        <v/>
      </c>
      <c r="L197" s="1039">
        <f>IF(E197=Data!R198,Data!AI198,"")</f>
        <v/>
      </c>
      <c r="M197" s="1039">
        <f>IF(E197=Data!R198,Data!AJ198,"")</f>
        <v/>
      </c>
      <c r="N197">
        <f>IF(AND(Data!R198&lt;&gt;"",Data!L198="Accepté"),Data!K198,"")</f>
        <v/>
      </c>
    </row>
    <row r="198" hidden="1" s="701">
      <c r="A198" s="164">
        <f>IF(AND(Data!R197&lt;&gt;"",Data!L197="Accepté"),Data!G197,"")</f>
        <v/>
      </c>
      <c r="B198" s="164">
        <f>IF(AND(Data!R197&lt;&gt;"",Data!L197="Accepté"),Data!L197,"")</f>
        <v/>
      </c>
      <c r="C198" s="329">
        <f>IF(D198&lt;&gt;"","S"&amp;TEXT(WEEKNUM(D198),"00"),"")</f>
        <v/>
      </c>
      <c r="D198" s="330">
        <f>IF(AND(Data!Q197&lt;&gt;"",Data!L197="Accepté"),Data!Q197,"")</f>
        <v/>
      </c>
      <c r="E198" s="106">
        <f>IF(AND(Data!R197&lt;&gt;"",Data!L197="Accepté"),Data!R197,"")</f>
        <v/>
      </c>
      <c r="F198" s="1037">
        <f>IF(AND(Data!R197&lt;&gt;"",Data!L197="Accepté"),Data!S197,"")</f>
        <v/>
      </c>
      <c r="G198" s="1038">
        <f>IF(Data!R197='Delivery Plan'!E198,Data!U197,"")</f>
        <v/>
      </c>
      <c r="H198" s="327" t="n"/>
      <c r="I198" s="329">
        <f>IF(J198&lt;&gt;"","S"&amp;TEXT(WEEKNUM(J198),"00"),"")</f>
        <v/>
      </c>
      <c r="J198" s="330">
        <f>IF(AND(E198=Data!R197,Data!AA197&lt;&gt;""),Data!AA197,"")</f>
        <v/>
      </c>
      <c r="K198" s="751">
        <f>IF(AND(E198=Data!R197,Data!AE197&lt;&gt;""),Data!AE197,"")</f>
        <v/>
      </c>
      <c r="L198" s="1039">
        <f>IF(E198=Data!R199,Data!AI199,"")</f>
        <v/>
      </c>
      <c r="M198" s="1039">
        <f>IF(E198=Data!R199,Data!AJ199,"")</f>
        <v/>
      </c>
      <c r="N198">
        <f>IF(AND(Data!R199&lt;&gt;"",Data!L199="Accepté"),Data!K199,"")</f>
        <v/>
      </c>
    </row>
    <row r="199" hidden="1" s="701">
      <c r="A199" s="164">
        <f>IF(AND(Data!R198&lt;&gt;"",Data!L198="Accepté"),Data!G198,"")</f>
        <v/>
      </c>
      <c r="B199" s="164">
        <f>IF(AND(Data!R198&lt;&gt;"",Data!L198="Accepté"),Data!L198,"")</f>
        <v/>
      </c>
      <c r="C199" s="329">
        <f>IF(D199&lt;&gt;"","S"&amp;TEXT(WEEKNUM(D199),"00"),"")</f>
        <v/>
      </c>
      <c r="D199" s="330">
        <f>IF(AND(Data!Q198&lt;&gt;"",Data!L198="Accepté"),Data!Q198,"")</f>
        <v/>
      </c>
      <c r="E199" s="106">
        <f>IF(AND(Data!R198&lt;&gt;"",Data!L198="Accepté"),Data!R198,"")</f>
        <v/>
      </c>
      <c r="F199" s="1037">
        <f>IF(AND(Data!R198&lt;&gt;"",Data!L198="Accepté"),Data!S198,"")</f>
        <v/>
      </c>
      <c r="G199" s="1038">
        <f>IF(Data!R198='Delivery Plan'!E199,Data!U198,"")</f>
        <v/>
      </c>
      <c r="H199" s="327" t="n"/>
      <c r="I199" s="329">
        <f>IF(J199&lt;&gt;"","S"&amp;TEXT(WEEKNUM(J199),"00"),"")</f>
        <v/>
      </c>
      <c r="J199" s="330">
        <f>IF(AND(E199=Data!R198,Data!AA198&lt;&gt;""),Data!AA198,"")</f>
        <v/>
      </c>
      <c r="K199" s="751">
        <f>IF(AND(E199=Data!R198,Data!AE198&lt;&gt;""),Data!AE198,"")</f>
        <v/>
      </c>
      <c r="L199" s="1039">
        <f>IF(E199=Data!R200,Data!AI200,"")</f>
        <v/>
      </c>
      <c r="M199" s="1039">
        <f>IF(E199=Data!R200,Data!AJ200,"")</f>
        <v/>
      </c>
      <c r="N199">
        <f>IF(AND(Data!R200&lt;&gt;"",Data!L200="Accepté"),Data!K200,"")</f>
        <v/>
      </c>
    </row>
    <row r="200" hidden="1" s="701">
      <c r="A200" s="164">
        <f>IF(AND(Data!R199&lt;&gt;"",Data!L199="Accepté"),Data!G199,"")</f>
        <v/>
      </c>
      <c r="B200" s="164">
        <f>IF(AND(Data!R199&lt;&gt;"",Data!L199="Accepté"),Data!L199,"")</f>
        <v/>
      </c>
      <c r="C200" s="329">
        <f>IF(D200&lt;&gt;"","S"&amp;TEXT(WEEKNUM(D200),"00"),"")</f>
        <v/>
      </c>
      <c r="D200" s="330">
        <f>IF(AND(Data!Q199&lt;&gt;"",Data!L199="Accepté"),Data!Q199,"")</f>
        <v/>
      </c>
      <c r="E200" s="106">
        <f>IF(AND(Data!R199&lt;&gt;"",Data!L199="Accepté"),Data!R199,"")</f>
        <v/>
      </c>
      <c r="F200" s="1037">
        <f>IF(AND(Data!R199&lt;&gt;"",Data!L199="Accepté"),Data!S199,"")</f>
        <v/>
      </c>
      <c r="G200" s="1038">
        <f>IF(Data!R199='Delivery Plan'!E200,Data!U199,"")</f>
        <v/>
      </c>
      <c r="H200" s="327" t="n"/>
      <c r="I200" s="329">
        <f>IF(J200&lt;&gt;"","S"&amp;TEXT(WEEKNUM(J200),"00"),"")</f>
        <v/>
      </c>
      <c r="J200" s="330">
        <f>IF(AND(E200=Data!R199,Data!AA199&lt;&gt;""),Data!AA199,"")</f>
        <v/>
      </c>
      <c r="K200" s="751">
        <f>IF(AND(E200=Data!R199,Data!AE199&lt;&gt;""),Data!AE199,"")</f>
        <v/>
      </c>
      <c r="L200" s="1039">
        <f>IF(E200=Data!R201,Data!AI201,"")</f>
        <v/>
      </c>
      <c r="M200" s="1039">
        <f>IF(E200=Data!R201,Data!AJ201,"")</f>
        <v/>
      </c>
      <c r="N200">
        <f>IF(AND(Data!R201&lt;&gt;"",Data!L201="Accepté"),Data!K201,"")</f>
        <v/>
      </c>
    </row>
    <row r="201" hidden="1" s="701">
      <c r="A201" s="164">
        <f>IF(AND(Data!R200&lt;&gt;"",Data!L200="Accepté"),Data!G200,"")</f>
        <v/>
      </c>
      <c r="B201" s="164">
        <f>IF(AND(Data!R200&lt;&gt;"",Data!L200="Accepté"),Data!L200,"")</f>
        <v/>
      </c>
      <c r="C201" s="329">
        <f>IF(D201&lt;&gt;"","S"&amp;TEXT(WEEKNUM(D201),"00"),"")</f>
        <v/>
      </c>
      <c r="D201" s="330">
        <f>IF(AND(Data!Q200&lt;&gt;"",Data!L200="Accepté"),Data!Q200,"")</f>
        <v/>
      </c>
      <c r="E201" s="106">
        <f>IF(AND(Data!R200&lt;&gt;"",Data!L200="Accepté"),Data!R200,"")</f>
        <v/>
      </c>
      <c r="F201" s="1037">
        <f>IF(AND(Data!R200&lt;&gt;"",Data!L200="Accepté"),Data!S200,"")</f>
        <v/>
      </c>
      <c r="G201" s="1038">
        <f>IF(Data!R200='Delivery Plan'!E201,Data!U200,"")</f>
        <v/>
      </c>
      <c r="H201" s="327" t="n"/>
      <c r="I201" s="329">
        <f>IF(J201&lt;&gt;"","S"&amp;TEXT(WEEKNUM(J201),"00"),"")</f>
        <v/>
      </c>
      <c r="J201" s="330">
        <f>IF(AND(E201=Data!R200,Data!AA200&lt;&gt;""),Data!AA200,"")</f>
        <v/>
      </c>
      <c r="K201" s="751">
        <f>IF(AND(E201=Data!R200,Data!AE200&lt;&gt;""),Data!AE200,"")</f>
        <v/>
      </c>
      <c r="L201" s="1039">
        <f>IF(E201=Data!R202,Data!AI202,"")</f>
        <v/>
      </c>
      <c r="M201" s="1039">
        <f>IF(E201=Data!R202,Data!AJ202,"")</f>
        <v/>
      </c>
      <c r="N201">
        <f>IF(AND(Data!R202&lt;&gt;"",Data!L202="Accepté"),Data!K202,"")</f>
        <v/>
      </c>
    </row>
    <row r="202" hidden="1" s="701">
      <c r="A202" s="164">
        <f>IF(AND(Data!R201&lt;&gt;"",Data!L201="Accepté"),Data!G201,"")</f>
        <v/>
      </c>
      <c r="B202" s="164">
        <f>IF(AND(Data!R201&lt;&gt;"",Data!L201="Accepté"),Data!L201,"")</f>
        <v/>
      </c>
      <c r="C202" s="329">
        <f>IF(D202&lt;&gt;"","S"&amp;TEXT(WEEKNUM(D202),"00"),"")</f>
        <v/>
      </c>
      <c r="D202" s="330">
        <f>IF(AND(Data!Q201&lt;&gt;"",Data!L201="Accepté"),Data!Q201,"")</f>
        <v/>
      </c>
      <c r="E202" s="106">
        <f>IF(AND(Data!R201&lt;&gt;"",Data!L201="Accepté"),Data!R201,"")</f>
        <v/>
      </c>
      <c r="F202" s="1037">
        <f>IF(AND(Data!R201&lt;&gt;"",Data!L201="Accepté"),Data!S201,"")</f>
        <v/>
      </c>
      <c r="G202" s="1038">
        <f>IF(Data!R201='Delivery Plan'!E202,Data!U201,"")</f>
        <v/>
      </c>
      <c r="H202" s="327" t="n"/>
      <c r="I202" s="329">
        <f>IF(J202&lt;&gt;"","S"&amp;TEXT(WEEKNUM(J202),"00"),"")</f>
        <v/>
      </c>
      <c r="J202" s="330">
        <f>IF(AND(E202=Data!R201,Data!AA201&lt;&gt;""),Data!AA201,"")</f>
        <v/>
      </c>
      <c r="K202" s="751">
        <f>IF(AND(E202=Data!R201,Data!AE201&lt;&gt;""),Data!AE201,"")</f>
        <v/>
      </c>
      <c r="L202" s="1039">
        <f>IF(E202=Data!R203,Data!AI203,"")</f>
        <v/>
      </c>
      <c r="M202" s="1039">
        <f>IF(E202=Data!R203,Data!AJ203,"")</f>
        <v/>
      </c>
      <c r="N202">
        <f>IF(AND(Data!R203&lt;&gt;"",Data!L203="Accepté"),Data!K203,"")</f>
        <v/>
      </c>
    </row>
    <row r="203" hidden="1" s="701">
      <c r="A203" s="164">
        <f>IF(AND(Data!R202&lt;&gt;"",Data!L202="Accepté"),Data!G202,"")</f>
        <v/>
      </c>
      <c r="B203" s="164">
        <f>IF(AND(Data!R202&lt;&gt;"",Data!L202="Accepté"),Data!L202,"")</f>
        <v/>
      </c>
      <c r="C203" s="329">
        <f>IF(D203&lt;&gt;"","S"&amp;TEXT(WEEKNUM(D203),"00"),"")</f>
        <v/>
      </c>
      <c r="D203" s="330">
        <f>IF(AND(Data!Q202&lt;&gt;"",Data!L202="Accepté"),Data!Q202,"")</f>
        <v/>
      </c>
      <c r="E203" s="106">
        <f>IF(AND(Data!R202&lt;&gt;"",Data!L202="Accepté"),Data!R202,"")</f>
        <v/>
      </c>
      <c r="F203" s="1037">
        <f>IF(AND(Data!R202&lt;&gt;"",Data!L202="Accepté"),Data!S202,"")</f>
        <v/>
      </c>
      <c r="G203" s="1038">
        <f>IF(Data!R202='Delivery Plan'!E203,Data!U202,"")</f>
        <v/>
      </c>
      <c r="H203" s="327" t="n"/>
      <c r="I203" s="329">
        <f>IF(J203&lt;&gt;"","S"&amp;TEXT(WEEKNUM(J203),"00"),"")</f>
        <v/>
      </c>
      <c r="J203" s="330">
        <f>IF(AND(E203=Data!R202,Data!AA202&lt;&gt;""),Data!AA202,"")</f>
        <v/>
      </c>
      <c r="K203" s="751">
        <f>IF(AND(E203=Data!R202,Data!AE202&lt;&gt;""),Data!AE202,"")</f>
        <v/>
      </c>
      <c r="L203" s="1039">
        <f>IF(E203=Data!R204,Data!AI204,"")</f>
        <v/>
      </c>
      <c r="M203" s="1039">
        <f>IF(E203=Data!R204,Data!AJ204,"")</f>
        <v/>
      </c>
      <c r="N203">
        <f>IF(AND(Data!R204&lt;&gt;"",Data!L204="Accepté"),Data!K204,"")</f>
        <v/>
      </c>
    </row>
    <row r="204" hidden="1" s="701">
      <c r="A204" s="164">
        <f>IF(AND(Data!R203&lt;&gt;"",Data!L203="Accepté"),Data!G203,"")</f>
        <v/>
      </c>
      <c r="B204" s="164">
        <f>IF(AND(Data!R203&lt;&gt;"",Data!L203="Accepté"),Data!L203,"")</f>
        <v/>
      </c>
      <c r="C204" s="329">
        <f>IF(D204&lt;&gt;"","S"&amp;TEXT(WEEKNUM(D204),"00"),"")</f>
        <v/>
      </c>
      <c r="D204" s="330">
        <f>IF(AND(Data!Q203&lt;&gt;"",Data!L203="Accepté"),Data!Q203,"")</f>
        <v/>
      </c>
      <c r="E204" s="106">
        <f>IF(AND(Data!R203&lt;&gt;"",Data!L203="Accepté"),Data!R203,"")</f>
        <v/>
      </c>
      <c r="F204" s="1037">
        <f>IF(AND(Data!R203&lt;&gt;"",Data!L203="Accepté"),Data!S203,"")</f>
        <v/>
      </c>
      <c r="G204" s="1038">
        <f>IF(Data!R203='Delivery Plan'!E204,Data!U203,"")</f>
        <v/>
      </c>
      <c r="H204" s="327" t="n"/>
      <c r="I204" s="329">
        <f>IF(J204&lt;&gt;"","S"&amp;TEXT(WEEKNUM(J204),"00"),"")</f>
        <v/>
      </c>
      <c r="J204" s="330">
        <f>IF(AND(E204=Data!R203,Data!AA203&lt;&gt;""),Data!AA203,"")</f>
        <v/>
      </c>
      <c r="K204" s="751">
        <f>IF(AND(E204=Data!R203,Data!AE203&lt;&gt;""),Data!AE203,"")</f>
        <v/>
      </c>
      <c r="L204" s="1039">
        <f>IF(E204=Data!R205,Data!AI205,"")</f>
        <v/>
      </c>
      <c r="M204" s="1039">
        <f>IF(E204=Data!R205,Data!AJ205,"")</f>
        <v/>
      </c>
      <c r="N204">
        <f>IF(AND(Data!R205&lt;&gt;"",Data!L205="Accepté"),Data!K205,"")</f>
        <v/>
      </c>
    </row>
    <row r="205" hidden="1" s="701">
      <c r="A205" s="164">
        <f>IF(AND(Data!R204&lt;&gt;"",Data!L204="Accepté"),Data!G204,"")</f>
        <v/>
      </c>
      <c r="B205" s="164">
        <f>IF(AND(Data!R204&lt;&gt;"",Data!L204="Accepté"),Data!L204,"")</f>
        <v/>
      </c>
      <c r="C205" s="329">
        <f>IF(D205&lt;&gt;"","S"&amp;TEXT(WEEKNUM(D205),"00"),"")</f>
        <v/>
      </c>
      <c r="D205" s="330">
        <f>IF(AND(Data!Q204&lt;&gt;"",Data!L204="Accepté"),Data!Q204,"")</f>
        <v/>
      </c>
      <c r="E205" s="106">
        <f>IF(AND(Data!R204&lt;&gt;"",Data!L204="Accepté"),Data!R204,"")</f>
        <v/>
      </c>
      <c r="F205" s="1037">
        <f>IF(AND(Data!R204&lt;&gt;"",Data!L204="Accepté"),Data!S204,"")</f>
        <v/>
      </c>
      <c r="G205" s="1038">
        <f>IF(Data!R204='Delivery Plan'!E205,Data!U204,"")</f>
        <v/>
      </c>
      <c r="H205" s="327" t="n"/>
      <c r="I205" s="329">
        <f>IF(J205&lt;&gt;"","S"&amp;TEXT(WEEKNUM(J205),"00"),"")</f>
        <v/>
      </c>
      <c r="J205" s="330">
        <f>IF(AND(E205=Data!R204,Data!AA204&lt;&gt;""),Data!AA204,"")</f>
        <v/>
      </c>
      <c r="K205" s="751">
        <f>IF(AND(E205=Data!R204,Data!AE204&lt;&gt;""),Data!AE204,"")</f>
        <v/>
      </c>
      <c r="L205" s="1039">
        <f>IF(E205=Data!R206,Data!AI206,"")</f>
        <v/>
      </c>
      <c r="M205" s="1039">
        <f>IF(E205=Data!R206,Data!AJ206,"")</f>
        <v/>
      </c>
      <c r="N205">
        <f>IF(AND(Data!R206&lt;&gt;"",Data!L206="Accepté"),Data!K206,"")</f>
        <v/>
      </c>
    </row>
    <row r="206" hidden="1" s="701">
      <c r="A206" s="164">
        <f>IF(AND(Data!R205&lt;&gt;"",Data!L205="Accepté"),Data!G205,"")</f>
        <v/>
      </c>
      <c r="B206" s="164">
        <f>IF(AND(Data!R205&lt;&gt;"",Data!L205="Accepté"),Data!L205,"")</f>
        <v/>
      </c>
      <c r="C206" s="329">
        <f>IF(D206&lt;&gt;"","S"&amp;TEXT(WEEKNUM(D206),"00"),"")</f>
        <v/>
      </c>
      <c r="D206" s="330">
        <f>IF(AND(Data!Q205&lt;&gt;"",Data!L205="Accepté"),Data!Q205,"")</f>
        <v/>
      </c>
      <c r="E206" s="106">
        <f>IF(AND(Data!R205&lt;&gt;"",Data!L205="Accepté"),Data!R205,"")</f>
        <v/>
      </c>
      <c r="F206" s="1037">
        <f>IF(AND(Data!R205&lt;&gt;"",Data!L205="Accepté"),Data!S205,"")</f>
        <v/>
      </c>
      <c r="G206" s="1038">
        <f>IF(Data!R205='Delivery Plan'!E206,Data!U205,"")</f>
        <v/>
      </c>
      <c r="H206" s="327" t="n"/>
      <c r="I206" s="329">
        <f>IF(J206&lt;&gt;"","S"&amp;TEXT(WEEKNUM(J206),"00"),"")</f>
        <v/>
      </c>
      <c r="J206" s="330">
        <f>IF(AND(E206=Data!R205,Data!AA205&lt;&gt;""),Data!AA205,"")</f>
        <v/>
      </c>
      <c r="K206" s="751">
        <f>IF(AND(E206=Data!R205,Data!AE205&lt;&gt;""),Data!AE205,"")</f>
        <v/>
      </c>
      <c r="L206" s="1039">
        <f>IF(E206=Data!R207,Data!AI207,"")</f>
        <v/>
      </c>
      <c r="M206" s="1039">
        <f>IF(E206=Data!R207,Data!AJ207,"")</f>
        <v/>
      </c>
      <c r="N206">
        <f>IF(AND(Data!R207&lt;&gt;"",Data!L207="Accepté"),Data!K207,"")</f>
        <v/>
      </c>
    </row>
    <row r="207" hidden="1" s="701">
      <c r="A207" s="164">
        <f>IF(AND(Data!R206&lt;&gt;"",Data!L206="Accepté"),Data!G206,"")</f>
        <v/>
      </c>
      <c r="B207" s="164">
        <f>IF(AND(Data!R206&lt;&gt;"",Data!L206="Accepté"),Data!L206,"")</f>
        <v/>
      </c>
      <c r="C207" s="329">
        <f>IF(D207&lt;&gt;"","S"&amp;TEXT(WEEKNUM(D207),"00"),"")</f>
        <v/>
      </c>
      <c r="D207" s="330">
        <f>IF(AND(Data!Q206&lt;&gt;"",Data!L206="Accepté"),Data!Q206,"")</f>
        <v/>
      </c>
      <c r="E207" s="106">
        <f>IF(AND(Data!R206&lt;&gt;"",Data!L206="Accepté"),Data!R206,"")</f>
        <v/>
      </c>
      <c r="F207" s="1037">
        <f>IF(AND(Data!R206&lt;&gt;"",Data!L206="Accepté"),Data!S206,"")</f>
        <v/>
      </c>
      <c r="G207" s="1038">
        <f>IF(Data!R206='Delivery Plan'!E207,Data!U206,"")</f>
        <v/>
      </c>
      <c r="H207" s="327" t="n"/>
      <c r="I207" s="329">
        <f>IF(J207&lt;&gt;"","S"&amp;TEXT(WEEKNUM(J207),"00"),"")</f>
        <v/>
      </c>
      <c r="J207" s="330">
        <f>IF(AND(E207=Data!R206,Data!AA206&lt;&gt;""),Data!AA206,"")</f>
        <v/>
      </c>
      <c r="K207" s="751">
        <f>IF(AND(E207=Data!R206,Data!AE206&lt;&gt;""),Data!AE206,"")</f>
        <v/>
      </c>
      <c r="L207" s="1039">
        <f>IF(E207=Data!R208,Data!AI208,"")</f>
        <v/>
      </c>
      <c r="M207" s="1039">
        <f>IF(E207=Data!R208,Data!AJ208,"")</f>
        <v/>
      </c>
      <c r="N207">
        <f>IF(AND(Data!R208&lt;&gt;"",Data!L208="Accepté"),Data!K208,"")</f>
        <v/>
      </c>
    </row>
    <row r="208" hidden="1" s="701">
      <c r="A208" s="164">
        <f>IF(AND(Data!R207&lt;&gt;"",Data!L207="Accepté"),Data!G207,"")</f>
        <v/>
      </c>
      <c r="B208" s="164">
        <f>IF(AND(Data!R207&lt;&gt;"",Data!L207="Accepté"),Data!L207,"")</f>
        <v/>
      </c>
      <c r="C208" s="329">
        <f>IF(D208&lt;&gt;"","S"&amp;TEXT(WEEKNUM(D208),"00"),"")</f>
        <v/>
      </c>
      <c r="D208" s="330">
        <f>IF(AND(Data!Q207&lt;&gt;"",Data!L207="Accepté"),Data!Q207,"")</f>
        <v/>
      </c>
      <c r="E208" s="106">
        <f>IF(AND(Data!R207&lt;&gt;"",Data!L207="Accepté"),Data!R207,"")</f>
        <v/>
      </c>
      <c r="F208" s="1037">
        <f>IF(AND(Data!R207&lt;&gt;"",Data!L207="Accepté"),Data!S207,"")</f>
        <v/>
      </c>
      <c r="G208" s="1038">
        <f>IF(Data!R207='Delivery Plan'!E208,Data!U207,"")</f>
        <v/>
      </c>
      <c r="H208" s="327" t="n"/>
      <c r="I208" s="329">
        <f>IF(J208&lt;&gt;"","S"&amp;TEXT(WEEKNUM(J208),"00"),"")</f>
        <v/>
      </c>
      <c r="J208" s="330">
        <f>IF(AND(E208=Data!R207,Data!AA207&lt;&gt;""),Data!AA207,"")</f>
        <v/>
      </c>
      <c r="K208" s="751">
        <f>IF(AND(E208=Data!R207,Data!AE207&lt;&gt;""),Data!AE207,"")</f>
        <v/>
      </c>
      <c r="L208" s="1039">
        <f>IF(E208=Data!R209,Data!AI209,"")</f>
        <v/>
      </c>
      <c r="M208" s="1039">
        <f>IF(E208=Data!R209,Data!AJ209,"")</f>
        <v/>
      </c>
      <c r="N208">
        <f>IF(AND(Data!R209&lt;&gt;"",Data!L209="Accepté"),Data!K209,"")</f>
        <v/>
      </c>
    </row>
    <row r="209" hidden="1" s="701">
      <c r="A209" s="164">
        <f>IF(AND(Data!R208&lt;&gt;"",Data!L208="Accepté"),Data!G208,"")</f>
        <v/>
      </c>
      <c r="B209" s="164">
        <f>IF(AND(Data!R208&lt;&gt;"",Data!L208="Accepté"),Data!L208,"")</f>
        <v/>
      </c>
      <c r="C209" s="329">
        <f>IF(D209&lt;&gt;"","S"&amp;TEXT(WEEKNUM(D209),"00"),"")</f>
        <v/>
      </c>
      <c r="D209" s="330">
        <f>IF(AND(Data!Q208&lt;&gt;"",Data!L208="Accepté"),Data!Q208,"")</f>
        <v/>
      </c>
      <c r="E209" s="106">
        <f>IF(AND(Data!R208&lt;&gt;"",Data!L208="Accepté"),Data!R208,"")</f>
        <v/>
      </c>
      <c r="F209" s="1037">
        <f>IF(AND(Data!R208&lt;&gt;"",Data!L208="Accepté"),Data!S208,"")</f>
        <v/>
      </c>
      <c r="G209" s="1038">
        <f>IF(Data!R208='Delivery Plan'!E209,Data!U208,"")</f>
        <v/>
      </c>
      <c r="H209" s="327" t="n"/>
      <c r="I209" s="329">
        <f>IF(J209&lt;&gt;"","S"&amp;TEXT(WEEKNUM(J209),"00"),"")</f>
        <v/>
      </c>
      <c r="J209" s="330">
        <f>IF(AND(E209=Data!R208,Data!AA208&lt;&gt;""),Data!AA208,"")</f>
        <v/>
      </c>
      <c r="K209" s="751">
        <f>IF(AND(E209=Data!R208,Data!AE208&lt;&gt;""),Data!AE208,"")</f>
        <v/>
      </c>
      <c r="L209" s="1039">
        <f>IF(E209=Data!R210,Data!AI210,"")</f>
        <v/>
      </c>
      <c r="M209" s="1039">
        <f>IF(E209=Data!R210,Data!AJ210,"")</f>
        <v/>
      </c>
      <c r="N209">
        <f>IF(AND(Data!R210&lt;&gt;"",Data!L210="Accepté"),Data!K210,"")</f>
        <v/>
      </c>
    </row>
    <row r="210" hidden="1" s="701">
      <c r="A210" s="164">
        <f>IF(AND(Data!R209&lt;&gt;"",Data!L209="Accepté"),Data!G209,"")</f>
        <v/>
      </c>
      <c r="B210" s="164">
        <f>IF(AND(Data!R209&lt;&gt;"",Data!L209="Accepté"),Data!L209,"")</f>
        <v/>
      </c>
      <c r="C210" s="329">
        <f>IF(D210&lt;&gt;"","S"&amp;TEXT(WEEKNUM(D210),"00"),"")</f>
        <v/>
      </c>
      <c r="D210" s="330">
        <f>IF(AND(Data!Q209&lt;&gt;"",Data!L209="Accepté"),Data!Q209,"")</f>
        <v/>
      </c>
      <c r="E210" s="106">
        <f>IF(AND(Data!R209&lt;&gt;"",Data!L209="Accepté"),Data!R209,"")</f>
        <v/>
      </c>
      <c r="F210" s="1037">
        <f>IF(AND(Data!R209&lt;&gt;"",Data!L209="Accepté"),Data!S209,"")</f>
        <v/>
      </c>
      <c r="G210" s="1038">
        <f>IF(Data!R209='Delivery Plan'!E210,Data!U209,"")</f>
        <v/>
      </c>
      <c r="H210" s="327" t="n"/>
      <c r="I210" s="329">
        <f>IF(J210&lt;&gt;"","S"&amp;TEXT(WEEKNUM(J210),"00"),"")</f>
        <v/>
      </c>
      <c r="J210" s="330">
        <f>IF(AND(E210=Data!R209,Data!AA209&lt;&gt;""),Data!AA209,"")</f>
        <v/>
      </c>
      <c r="K210" s="751">
        <f>IF(AND(E210=Data!R209,Data!AE209&lt;&gt;""),Data!AE209,"")</f>
        <v/>
      </c>
      <c r="L210" s="1039">
        <f>IF(E210=Data!R211,Data!AI211,"")</f>
        <v/>
      </c>
      <c r="M210" s="1039">
        <f>IF(E210=Data!R211,Data!AJ211,"")</f>
        <v/>
      </c>
      <c r="N210">
        <f>IF(AND(Data!R211&lt;&gt;"",Data!L211="Accepté"),Data!K211,"")</f>
        <v/>
      </c>
    </row>
    <row r="211" hidden="1" s="701">
      <c r="A211" s="164">
        <f>IF(AND(Data!R210&lt;&gt;"",Data!L210="Accepté"),Data!G210,"")</f>
        <v/>
      </c>
      <c r="B211" s="164">
        <f>IF(AND(Data!R210&lt;&gt;"",Data!L210="Accepté"),Data!L210,"")</f>
        <v/>
      </c>
      <c r="C211" s="329">
        <f>IF(D211&lt;&gt;"","S"&amp;TEXT(WEEKNUM(D211),"00"),"")</f>
        <v/>
      </c>
      <c r="D211" s="330">
        <f>IF(AND(Data!Q210&lt;&gt;"",Data!L210="Accepté"),Data!Q210,"")</f>
        <v/>
      </c>
      <c r="E211" s="106">
        <f>IF(AND(Data!R210&lt;&gt;"",Data!L210="Accepté"),Data!R210,"")</f>
        <v/>
      </c>
      <c r="F211" s="1037">
        <f>IF(AND(Data!R210&lt;&gt;"",Data!L210="Accepté"),Data!S210,"")</f>
        <v/>
      </c>
      <c r="G211" s="1038">
        <f>IF(Data!R210='Delivery Plan'!E211,Data!U210,"")</f>
        <v/>
      </c>
      <c r="H211" s="327" t="n"/>
      <c r="I211" s="329">
        <f>IF(J211&lt;&gt;"","S"&amp;TEXT(WEEKNUM(J211),"00"),"")</f>
        <v/>
      </c>
      <c r="J211" s="330">
        <f>IF(AND(E211=Data!R210,Data!AA210&lt;&gt;""),Data!AA210,"")</f>
        <v/>
      </c>
      <c r="K211" s="751">
        <f>IF(AND(E211=Data!R210,Data!AE210&lt;&gt;""),Data!AE210,"")</f>
        <v/>
      </c>
      <c r="L211" s="1039">
        <f>IF(E211=Data!R212,Data!AI212,"")</f>
        <v/>
      </c>
      <c r="M211" s="1039">
        <f>IF(E211=Data!R212,Data!AJ212,"")</f>
        <v/>
      </c>
      <c r="N211">
        <f>IF(AND(Data!R212&lt;&gt;"",Data!L212="Accepté"),Data!K212,"")</f>
        <v/>
      </c>
    </row>
    <row r="212" hidden="1" s="701">
      <c r="A212" s="164">
        <f>IF(AND(Data!R211&lt;&gt;"",Data!L211="Accepté"),Data!G211,"")</f>
        <v/>
      </c>
      <c r="B212" s="164">
        <f>IF(AND(Data!R211&lt;&gt;"",Data!L211="Accepté"),Data!L211,"")</f>
        <v/>
      </c>
      <c r="C212" s="329">
        <f>IF(D212&lt;&gt;"","S"&amp;TEXT(WEEKNUM(D212),"00"),"")</f>
        <v/>
      </c>
      <c r="D212" s="330">
        <f>IF(AND(Data!Q211&lt;&gt;"",Data!L211="Accepté"),Data!Q211,"")</f>
        <v/>
      </c>
      <c r="E212" s="106">
        <f>IF(AND(Data!R211&lt;&gt;"",Data!L211="Accepté"),Data!R211,"")</f>
        <v/>
      </c>
      <c r="F212" s="1037">
        <f>IF(AND(Data!R211&lt;&gt;"",Data!L211="Accepté"),Data!S211,"")</f>
        <v/>
      </c>
      <c r="G212" s="1038">
        <f>IF(Data!R211='Delivery Plan'!E212,Data!U211,"")</f>
        <v/>
      </c>
      <c r="H212" s="327" t="n"/>
      <c r="I212" s="329">
        <f>IF(J212&lt;&gt;"","S"&amp;TEXT(WEEKNUM(J212),"00"),"")</f>
        <v/>
      </c>
      <c r="J212" s="330">
        <f>IF(AND(E212=Data!R211,Data!AA211&lt;&gt;""),Data!AA211,"")</f>
        <v/>
      </c>
      <c r="K212" s="751">
        <f>IF(AND(E212=Data!R211,Data!AE211&lt;&gt;""),Data!AE211,"")</f>
        <v/>
      </c>
      <c r="L212" s="1039">
        <f>IF(E212=Data!R213,Data!AI213,"")</f>
        <v/>
      </c>
      <c r="M212" s="1039">
        <f>IF(E212=Data!R213,Data!AJ213,"")</f>
        <v/>
      </c>
      <c r="N212">
        <f>IF(AND(Data!R213&lt;&gt;"",Data!L213="Accepté"),Data!K213,"")</f>
        <v/>
      </c>
    </row>
    <row r="213" hidden="1" s="701">
      <c r="A213" s="164">
        <f>IF(AND(Data!R212&lt;&gt;"",Data!L212="Accepté"),Data!G212,"")</f>
        <v/>
      </c>
      <c r="B213" s="164">
        <f>IF(AND(Data!R212&lt;&gt;"",Data!L212="Accepté"),Data!L212,"")</f>
        <v/>
      </c>
      <c r="C213" s="329">
        <f>IF(D213&lt;&gt;"","S"&amp;TEXT(WEEKNUM(D213),"00"),"")</f>
        <v/>
      </c>
      <c r="D213" s="330">
        <f>IF(AND(Data!Q212&lt;&gt;"",Data!L212="Accepté"),Data!Q212,"")</f>
        <v/>
      </c>
      <c r="E213" s="106">
        <f>IF(AND(Data!R212&lt;&gt;"",Data!L212="Accepté"),Data!R212,"")</f>
        <v/>
      </c>
      <c r="F213" s="1037">
        <f>IF(AND(Data!R212&lt;&gt;"",Data!L212="Accepté"),Data!S212,"")</f>
        <v/>
      </c>
      <c r="G213" s="1038">
        <f>IF(Data!R212='Delivery Plan'!E213,Data!U212,"")</f>
        <v/>
      </c>
      <c r="H213" s="327" t="n"/>
      <c r="I213" s="329">
        <f>IF(J213&lt;&gt;"","S"&amp;TEXT(WEEKNUM(J213),"00"),"")</f>
        <v/>
      </c>
      <c r="J213" s="330">
        <f>IF(AND(E213=Data!R212,Data!AA212&lt;&gt;""),Data!AA212,"")</f>
        <v/>
      </c>
      <c r="K213" s="751">
        <f>IF(AND(E213=Data!R212,Data!AE212&lt;&gt;""),Data!AE212,"")</f>
        <v/>
      </c>
      <c r="L213" s="1039">
        <f>IF(E213=Data!R214,Data!AI214,"")</f>
        <v/>
      </c>
      <c r="M213" s="1039">
        <f>IF(E213=Data!R214,Data!AJ214,"")</f>
        <v/>
      </c>
      <c r="N213">
        <f>IF(AND(Data!R214&lt;&gt;"",Data!L214="Accepté"),Data!K214,"")</f>
        <v/>
      </c>
    </row>
    <row r="214" hidden="1" s="701">
      <c r="A214" s="164">
        <f>IF(AND(Data!R213&lt;&gt;"",Data!L213="Accepté"),Data!G213,"")</f>
        <v/>
      </c>
      <c r="B214" s="164">
        <f>IF(AND(Data!R213&lt;&gt;"",Data!L213="Accepté"),Data!L213,"")</f>
        <v/>
      </c>
      <c r="C214" s="329">
        <f>IF(D214&lt;&gt;"","S"&amp;TEXT(WEEKNUM(D214),"00"),"")</f>
        <v/>
      </c>
      <c r="D214" s="330">
        <f>IF(AND(Data!Q213&lt;&gt;"",Data!L213="Accepté"),Data!Q213,"")</f>
        <v/>
      </c>
      <c r="E214" s="106">
        <f>IF(AND(Data!R213&lt;&gt;"",Data!L213="Accepté"),Data!R213,"")</f>
        <v/>
      </c>
      <c r="F214" s="1037">
        <f>IF(AND(Data!R213&lt;&gt;"",Data!L213="Accepté"),Data!S213,"")</f>
        <v/>
      </c>
      <c r="G214" s="1038">
        <f>IF(Data!R213='Delivery Plan'!E214,Data!U213,"")</f>
        <v/>
      </c>
      <c r="H214" s="327" t="n"/>
      <c r="I214" s="329">
        <f>IF(J214&lt;&gt;"","S"&amp;TEXT(WEEKNUM(J214),"00"),"")</f>
        <v/>
      </c>
      <c r="J214" s="330">
        <f>IF(AND(E214=Data!R213,Data!AA213&lt;&gt;""),Data!AA213,"")</f>
        <v/>
      </c>
      <c r="K214" s="751">
        <f>IF(AND(E214=Data!R213,Data!AE213&lt;&gt;""),Data!AE213,"")</f>
        <v/>
      </c>
      <c r="L214" s="1039">
        <f>IF(E214=Data!R215,Data!AI215,"")</f>
        <v/>
      </c>
      <c r="M214" s="1039">
        <f>IF(E214=Data!R215,Data!AJ215,"")</f>
        <v/>
      </c>
      <c r="N214">
        <f>IF(AND(Data!R215&lt;&gt;"",Data!L215="Accepté"),Data!K215,"")</f>
        <v/>
      </c>
    </row>
    <row r="215" hidden="1" s="701">
      <c r="A215" s="164">
        <f>IF(AND(Data!R214&lt;&gt;"",Data!L214="Accepté"),Data!G214,"")</f>
        <v/>
      </c>
      <c r="B215" s="164">
        <f>IF(AND(Data!R214&lt;&gt;"",Data!L214="Accepté"),Data!L214,"")</f>
        <v/>
      </c>
      <c r="C215" s="329">
        <f>IF(D215&lt;&gt;"","S"&amp;TEXT(WEEKNUM(D215),"00"),"")</f>
        <v/>
      </c>
      <c r="D215" s="330">
        <f>IF(AND(Data!Q214&lt;&gt;"",Data!L214="Accepté"),Data!Q214,"")</f>
        <v/>
      </c>
      <c r="E215" s="106">
        <f>IF(AND(Data!R214&lt;&gt;"",Data!L214="Accepté"),Data!R214,"")</f>
        <v/>
      </c>
      <c r="F215" s="1037">
        <f>IF(AND(Data!R214&lt;&gt;"",Data!L214="Accepté"),Data!S214,"")</f>
        <v/>
      </c>
      <c r="G215" s="1038">
        <f>IF(Data!R214='Delivery Plan'!E215,Data!U214,"")</f>
        <v/>
      </c>
      <c r="H215" s="327" t="n"/>
      <c r="I215" s="329">
        <f>IF(J215&lt;&gt;"","S"&amp;TEXT(WEEKNUM(J215),"00"),"")</f>
        <v/>
      </c>
      <c r="J215" s="330">
        <f>IF(AND(E215=Data!R214,Data!AA214&lt;&gt;""),Data!AA214,"")</f>
        <v/>
      </c>
      <c r="K215" s="751">
        <f>IF(AND(E215=Data!R214,Data!AE214&lt;&gt;""),Data!AE214,"")</f>
        <v/>
      </c>
      <c r="L215" s="1039">
        <f>IF(E215=Data!R216,Data!AI216,"")</f>
        <v/>
      </c>
      <c r="M215" s="1039">
        <f>IF(E215=Data!R216,Data!AJ216,"")</f>
        <v/>
      </c>
      <c r="N215">
        <f>IF(AND(Data!R216&lt;&gt;"",Data!L216="Accepté"),Data!K216,"")</f>
        <v/>
      </c>
    </row>
    <row r="216" hidden="1" s="701">
      <c r="A216" s="164">
        <f>IF(AND(Data!R215&lt;&gt;"",Data!L215="Accepté"),Data!G215,"")</f>
        <v/>
      </c>
      <c r="B216" s="164">
        <f>IF(AND(Data!R215&lt;&gt;"",Data!L215="Accepté"),Data!L215,"")</f>
        <v/>
      </c>
      <c r="C216" s="329">
        <f>IF(D216&lt;&gt;"","S"&amp;TEXT(WEEKNUM(D216),"00"),"")</f>
        <v/>
      </c>
      <c r="D216" s="330">
        <f>IF(AND(Data!Q215&lt;&gt;"",Data!L215="Accepté"),Data!Q215,"")</f>
        <v/>
      </c>
      <c r="E216" s="106">
        <f>IF(AND(Data!R215&lt;&gt;"",Data!L215="Accepté"),Data!R215,"")</f>
        <v/>
      </c>
      <c r="F216" s="1037">
        <f>IF(AND(Data!R215&lt;&gt;"",Data!L215="Accepté"),Data!S215,"")</f>
        <v/>
      </c>
      <c r="G216" s="1038">
        <f>IF(Data!R215='Delivery Plan'!E216,Data!U215,"")</f>
        <v/>
      </c>
      <c r="H216" s="327" t="n"/>
      <c r="I216" s="329">
        <f>IF(J216&lt;&gt;"","S"&amp;TEXT(WEEKNUM(J216),"00"),"")</f>
        <v/>
      </c>
      <c r="J216" s="330">
        <f>IF(AND(E216=Data!R215,Data!AA215&lt;&gt;""),Data!AA215,"")</f>
        <v/>
      </c>
      <c r="K216" s="751">
        <f>IF(AND(E216=Data!R215,Data!AE215&lt;&gt;""),Data!AE215,"")</f>
        <v/>
      </c>
      <c r="L216" s="1039">
        <f>IF(E216=Data!R217,Data!AI217,"")</f>
        <v/>
      </c>
      <c r="M216" s="1039">
        <f>IF(E216=Data!R217,Data!AJ217,"")</f>
        <v/>
      </c>
      <c r="N216">
        <f>IF(AND(Data!R217&lt;&gt;"",Data!L217="Accepté"),Data!K217,"")</f>
        <v/>
      </c>
    </row>
    <row r="217" hidden="1" s="701">
      <c r="A217" s="164">
        <f>IF(AND(Data!R216&lt;&gt;"",Data!L216="Accepté"),Data!G216,"")</f>
        <v/>
      </c>
      <c r="B217" s="164">
        <f>IF(AND(Data!R216&lt;&gt;"",Data!L216="Accepté"),Data!L216,"")</f>
        <v/>
      </c>
      <c r="C217" s="329">
        <f>IF(D217&lt;&gt;"","S"&amp;TEXT(WEEKNUM(D217),"00"),"")</f>
        <v/>
      </c>
      <c r="D217" s="330">
        <f>IF(AND(Data!Q216&lt;&gt;"",Data!L216="Accepté"),Data!Q216,"")</f>
        <v/>
      </c>
      <c r="E217" s="106">
        <f>IF(AND(Data!R216&lt;&gt;"",Data!L216="Accepté"),Data!R216,"")</f>
        <v/>
      </c>
      <c r="F217" s="1037">
        <f>IF(AND(Data!R216&lt;&gt;"",Data!L216="Accepté"),Data!S216,"")</f>
        <v/>
      </c>
      <c r="G217" s="1038">
        <f>IF(Data!R216='Delivery Plan'!E217,Data!U216,"")</f>
        <v/>
      </c>
      <c r="H217" s="327" t="n"/>
      <c r="I217" s="329">
        <f>IF(J217&lt;&gt;"","S"&amp;TEXT(WEEKNUM(J217),"00"),"")</f>
        <v/>
      </c>
      <c r="J217" s="330">
        <f>IF(AND(E217=Data!R216,Data!AA216&lt;&gt;""),Data!AA216,"")</f>
        <v/>
      </c>
      <c r="K217" s="751">
        <f>IF(AND(E217=Data!R216,Data!AE216&lt;&gt;""),Data!AE216,"")</f>
        <v/>
      </c>
      <c r="L217" s="1039">
        <f>IF(E217=Data!R218,Data!AI218,"")</f>
        <v/>
      </c>
      <c r="M217" s="1039">
        <f>IF(E217=Data!R218,Data!AJ218,"")</f>
        <v/>
      </c>
      <c r="N217">
        <f>IF(AND(Data!R218&lt;&gt;"",Data!L218="Accepté"),Data!K218,"")</f>
        <v/>
      </c>
    </row>
    <row r="218" hidden="1" s="701">
      <c r="A218" s="164">
        <f>IF(AND(Data!R217&lt;&gt;"",Data!L217="Accepté"),Data!G217,"")</f>
        <v/>
      </c>
      <c r="B218" s="164">
        <f>IF(AND(Data!R217&lt;&gt;"",Data!L217="Accepté"),Data!L217,"")</f>
        <v/>
      </c>
      <c r="C218" s="329">
        <f>IF(D218&lt;&gt;"","S"&amp;TEXT(WEEKNUM(D218),"00"),"")</f>
        <v/>
      </c>
      <c r="D218" s="330">
        <f>IF(AND(Data!Q217&lt;&gt;"",Data!L217="Accepté"),Data!Q217,"")</f>
        <v/>
      </c>
      <c r="E218" s="106">
        <f>IF(AND(Data!R217&lt;&gt;"",Data!L217="Accepté"),Data!R217,"")</f>
        <v/>
      </c>
      <c r="F218" s="1037">
        <f>IF(AND(Data!R217&lt;&gt;"",Data!L217="Accepté"),Data!S217,"")</f>
        <v/>
      </c>
      <c r="G218" s="1038">
        <f>IF(Data!R217='Delivery Plan'!E218,Data!U217,"")</f>
        <v/>
      </c>
      <c r="H218" s="327" t="n"/>
      <c r="I218" s="329">
        <f>IF(J218&lt;&gt;"","S"&amp;TEXT(WEEKNUM(J218),"00"),"")</f>
        <v/>
      </c>
      <c r="J218" s="330">
        <f>IF(AND(E218=Data!R217,Data!AA217&lt;&gt;""),Data!AA217,"")</f>
        <v/>
      </c>
      <c r="K218" s="751">
        <f>IF(AND(E218=Data!R217,Data!AE217&lt;&gt;""),Data!AE217,"")</f>
        <v/>
      </c>
      <c r="L218" s="1039">
        <f>IF(E218=Data!R219,Data!AI219,"")</f>
        <v/>
      </c>
      <c r="M218" s="1039">
        <f>IF(E218=Data!R219,Data!AJ219,"")</f>
        <v/>
      </c>
      <c r="N218">
        <f>IF(AND(Data!R219&lt;&gt;"",Data!L219="Accepté"),Data!K219,"")</f>
        <v/>
      </c>
    </row>
    <row r="219" hidden="1" s="701">
      <c r="A219" s="164">
        <f>IF(AND(Data!R218&lt;&gt;"",Data!L218="Accepté"),Data!G218,"")</f>
        <v/>
      </c>
      <c r="B219" s="164">
        <f>IF(AND(Data!R218&lt;&gt;"",Data!L218="Accepté"),Data!L218,"")</f>
        <v/>
      </c>
      <c r="C219" s="329">
        <f>IF(D219&lt;&gt;"","S"&amp;TEXT(WEEKNUM(D219),"00"),"")</f>
        <v/>
      </c>
      <c r="D219" s="330">
        <f>IF(AND(Data!Q218&lt;&gt;"",Data!L218="Accepté"),Data!Q218,"")</f>
        <v/>
      </c>
      <c r="E219" s="106">
        <f>IF(AND(Data!R218&lt;&gt;"",Data!L218="Accepté"),Data!R218,"")</f>
        <v/>
      </c>
      <c r="F219" s="1037">
        <f>IF(AND(Data!R218&lt;&gt;"",Data!L218="Accepté"),Data!S218,"")</f>
        <v/>
      </c>
      <c r="G219" s="1038">
        <f>IF(Data!R218='Delivery Plan'!E219,Data!U218,"")</f>
        <v/>
      </c>
      <c r="H219" s="327" t="n"/>
      <c r="I219" s="329">
        <f>IF(J219&lt;&gt;"","S"&amp;TEXT(WEEKNUM(J219),"00"),"")</f>
        <v/>
      </c>
      <c r="J219" s="330">
        <f>IF(AND(E219=Data!R218,Data!AA218&lt;&gt;""),Data!AA218,"")</f>
        <v/>
      </c>
      <c r="K219" s="751">
        <f>IF(AND(E219=Data!R218,Data!AE218&lt;&gt;""),Data!AE218,"")</f>
        <v/>
      </c>
      <c r="L219" s="1039">
        <f>IF(E219=Data!R220,Data!AI220,"")</f>
        <v/>
      </c>
      <c r="M219" s="1039">
        <f>IF(E219=Data!R220,Data!AJ220,"")</f>
        <v/>
      </c>
      <c r="N219">
        <f>IF(AND(Data!R220&lt;&gt;"",Data!L220="Accepté"),Data!K220,"")</f>
        <v/>
      </c>
    </row>
    <row r="220" hidden="1" s="701">
      <c r="A220" s="164">
        <f>IF(AND(Data!R219&lt;&gt;"",Data!L219="Accepté"),Data!G219,"")</f>
        <v/>
      </c>
      <c r="B220" s="164">
        <f>IF(AND(Data!R219&lt;&gt;"",Data!L219="Accepté"),Data!L219,"")</f>
        <v/>
      </c>
      <c r="C220" s="329">
        <f>IF(D220&lt;&gt;"","S"&amp;TEXT(WEEKNUM(D220),"00"),"")</f>
        <v/>
      </c>
      <c r="D220" s="330">
        <f>IF(AND(Data!Q219&lt;&gt;"",Data!L219="Accepté"),Data!Q219,"")</f>
        <v/>
      </c>
      <c r="E220" s="106">
        <f>IF(AND(Data!R219&lt;&gt;"",Data!L219="Accepté"),Data!R219,"")</f>
        <v/>
      </c>
      <c r="F220" s="1037">
        <f>IF(AND(Data!R219&lt;&gt;"",Data!L219="Accepté"),Data!S219,"")</f>
        <v/>
      </c>
      <c r="G220" s="1038">
        <f>IF(Data!R219='Delivery Plan'!E220,Data!U219,"")</f>
        <v/>
      </c>
      <c r="H220" s="327" t="n"/>
      <c r="I220" s="329">
        <f>IF(J220&lt;&gt;"","S"&amp;TEXT(WEEKNUM(J220),"00"),"")</f>
        <v/>
      </c>
      <c r="J220" s="330">
        <f>IF(AND(E220=Data!R219,Data!AA219&lt;&gt;""),Data!AA219,"")</f>
        <v/>
      </c>
      <c r="K220" s="751">
        <f>IF(AND(E220=Data!R219,Data!AE219&lt;&gt;""),Data!AE219,"")</f>
        <v/>
      </c>
      <c r="L220" s="1039">
        <f>IF(E220=Data!R221,Data!AI221,"")</f>
        <v/>
      </c>
      <c r="M220" s="1039">
        <f>IF(E220=Data!R221,Data!AJ221,"")</f>
        <v/>
      </c>
      <c r="N220">
        <f>IF(AND(Data!R221&lt;&gt;"",Data!L221="Accepté"),Data!K221,"")</f>
        <v/>
      </c>
    </row>
    <row r="221" hidden="1" s="701">
      <c r="A221" s="164">
        <f>IF(AND(Data!R220&lt;&gt;"",Data!L220="Accepté"),Data!G220,"")</f>
        <v/>
      </c>
      <c r="B221" s="164">
        <f>IF(AND(Data!R220&lt;&gt;"",Data!L220="Accepté"),Data!L220,"")</f>
        <v/>
      </c>
      <c r="C221" s="329">
        <f>IF(D221&lt;&gt;"","S"&amp;TEXT(WEEKNUM(D221),"00"),"")</f>
        <v/>
      </c>
      <c r="D221" s="330">
        <f>IF(AND(Data!Q220&lt;&gt;"",Data!L220="Accepté"),Data!Q220,"")</f>
        <v/>
      </c>
      <c r="E221" s="106">
        <f>IF(AND(Data!R220&lt;&gt;"",Data!L220="Accepté"),Data!R220,"")</f>
        <v/>
      </c>
      <c r="F221" s="1037">
        <f>IF(AND(Data!R220&lt;&gt;"",Data!L220="Accepté"),Data!S220,"")</f>
        <v/>
      </c>
      <c r="G221" s="1038">
        <f>IF(Data!R220='Delivery Plan'!E221,Data!U220,"")</f>
        <v/>
      </c>
      <c r="H221" s="327" t="n"/>
      <c r="I221" s="329">
        <f>IF(J221&lt;&gt;"","S"&amp;TEXT(WEEKNUM(J221),"00"),"")</f>
        <v/>
      </c>
      <c r="J221" s="330">
        <f>IF(AND(E221=Data!R220,Data!AA220&lt;&gt;""),Data!AA220,"")</f>
        <v/>
      </c>
      <c r="K221" s="751">
        <f>IF(AND(E221=Data!R220,Data!AE220&lt;&gt;""),Data!AE220,"")</f>
        <v/>
      </c>
      <c r="L221" s="1039">
        <f>IF(E221=Data!R222,Data!AI222,"")</f>
        <v/>
      </c>
      <c r="M221" s="1039">
        <f>IF(E221=Data!R222,Data!AJ222,"")</f>
        <v/>
      </c>
      <c r="N221">
        <f>IF(AND(Data!R222&lt;&gt;"",Data!L222="Accepté"),Data!K222,"")</f>
        <v/>
      </c>
    </row>
    <row r="222" hidden="1" s="701">
      <c r="A222" s="164">
        <f>IF(AND(Data!R221&lt;&gt;"",Data!L221="Accepté"),Data!G221,"")</f>
        <v/>
      </c>
      <c r="B222" s="164">
        <f>IF(AND(Data!R221&lt;&gt;"",Data!L221="Accepté"),Data!L221,"")</f>
        <v/>
      </c>
      <c r="C222" s="329">
        <f>IF(D222&lt;&gt;"","S"&amp;TEXT(WEEKNUM(D222),"00"),"")</f>
        <v/>
      </c>
      <c r="D222" s="330">
        <f>IF(AND(Data!Q221&lt;&gt;"",Data!L221="Accepté"),Data!Q221,"")</f>
        <v/>
      </c>
      <c r="E222" s="106">
        <f>IF(AND(Data!R221&lt;&gt;"",Data!L221="Accepté"),Data!R221,"")</f>
        <v/>
      </c>
      <c r="F222" s="1037">
        <f>IF(AND(Data!R221&lt;&gt;"",Data!L221="Accepté"),Data!S221,"")</f>
        <v/>
      </c>
      <c r="G222" s="1038">
        <f>IF(Data!R221='Delivery Plan'!E222,Data!U221,"")</f>
        <v/>
      </c>
      <c r="H222" s="327" t="n"/>
      <c r="I222" s="329">
        <f>IF(J222&lt;&gt;"","S"&amp;TEXT(WEEKNUM(J222),"00"),"")</f>
        <v/>
      </c>
      <c r="J222" s="330">
        <f>IF(AND(E222=Data!R221,Data!AA221&lt;&gt;""),Data!AA221,"")</f>
        <v/>
      </c>
      <c r="K222" s="751">
        <f>IF(AND(E222=Data!R221,Data!AE221&lt;&gt;""),Data!AE221,"")</f>
        <v/>
      </c>
      <c r="L222" s="1039">
        <f>IF(E222=Data!R223,Data!AI223,"")</f>
        <v/>
      </c>
      <c r="M222" s="1039">
        <f>IF(E222=Data!R223,Data!AJ223,"")</f>
        <v/>
      </c>
      <c r="N222">
        <f>IF(AND(Data!R223&lt;&gt;"",Data!L223="Accepté"),Data!K223,"")</f>
        <v/>
      </c>
    </row>
    <row r="223" hidden="1" s="701">
      <c r="A223" s="164">
        <f>IF(AND(Data!R222&lt;&gt;"",Data!L222="Accepté"),Data!G222,"")</f>
        <v/>
      </c>
      <c r="B223" s="164">
        <f>IF(AND(Data!R222&lt;&gt;"",Data!L222="Accepté"),Data!L222,"")</f>
        <v/>
      </c>
      <c r="C223" s="329">
        <f>IF(D223&lt;&gt;"","S"&amp;TEXT(WEEKNUM(D223),"00"),"")</f>
        <v/>
      </c>
      <c r="D223" s="330">
        <f>IF(AND(Data!Q222&lt;&gt;"",Data!L222="Accepté"),Data!Q222,"")</f>
        <v/>
      </c>
      <c r="E223" s="106">
        <f>IF(AND(Data!R222&lt;&gt;"",Data!L222="Accepté"),Data!R222,"")</f>
        <v/>
      </c>
      <c r="F223" s="1037">
        <f>IF(AND(Data!R222&lt;&gt;"",Data!L222="Accepté"),Data!S222,"")</f>
        <v/>
      </c>
      <c r="G223" s="1038">
        <f>IF(Data!R222='Delivery Plan'!E223,Data!U222,"")</f>
        <v/>
      </c>
      <c r="H223" s="327" t="n"/>
      <c r="I223" s="329">
        <f>IF(J223&lt;&gt;"","S"&amp;TEXT(WEEKNUM(J223),"00"),"")</f>
        <v/>
      </c>
      <c r="J223" s="330">
        <f>IF(AND(E223=Data!R222,Data!AA222&lt;&gt;""),Data!AA222,"")</f>
        <v/>
      </c>
      <c r="K223" s="751">
        <f>IF(AND(E223=Data!R222,Data!AE222&lt;&gt;""),Data!AE222,"")</f>
        <v/>
      </c>
      <c r="L223" s="1039">
        <f>IF(E223=Data!R224,Data!AI224,"")</f>
        <v/>
      </c>
      <c r="M223" s="1039">
        <f>IF(E223=Data!R224,Data!AJ224,"")</f>
        <v/>
      </c>
      <c r="N223">
        <f>IF(AND(Data!R224&lt;&gt;"",Data!L224="Accepté"),Data!K224,"")</f>
        <v/>
      </c>
    </row>
    <row r="224" hidden="1" s="701">
      <c r="A224" s="164">
        <f>IF(AND(Data!R223&lt;&gt;"",Data!L223="Accepté"),Data!G223,"")</f>
        <v/>
      </c>
      <c r="B224" s="164">
        <f>IF(AND(Data!R223&lt;&gt;"",Data!L223="Accepté"),Data!L223,"")</f>
        <v/>
      </c>
      <c r="C224" s="329">
        <f>IF(D224&lt;&gt;"","S"&amp;TEXT(WEEKNUM(D224),"00"),"")</f>
        <v/>
      </c>
      <c r="D224" s="330">
        <f>IF(AND(Data!Q223&lt;&gt;"",Data!L223="Accepté"),Data!Q223,"")</f>
        <v/>
      </c>
      <c r="E224" s="106">
        <f>IF(AND(Data!R223&lt;&gt;"",Data!L223="Accepté"),Data!R223,"")</f>
        <v/>
      </c>
      <c r="F224" s="1037">
        <f>IF(AND(Data!R223&lt;&gt;"",Data!L223="Accepté"),Data!S223,"")</f>
        <v/>
      </c>
      <c r="G224" s="1038">
        <f>IF(Data!R223='Delivery Plan'!E224,Data!U223,"")</f>
        <v/>
      </c>
      <c r="H224" s="327" t="n"/>
      <c r="I224" s="329">
        <f>IF(J224&lt;&gt;"","S"&amp;TEXT(WEEKNUM(J224),"00"),"")</f>
        <v/>
      </c>
      <c r="J224" s="330">
        <f>IF(AND(E224=Data!R223,Data!AA223&lt;&gt;""),Data!AA223,"")</f>
        <v/>
      </c>
      <c r="K224" s="751">
        <f>IF(AND(E224=Data!R223,Data!AE223&lt;&gt;""),Data!AE223,"")</f>
        <v/>
      </c>
      <c r="L224" s="1039">
        <f>IF(E224=Data!R225,Data!AI225,"")</f>
        <v/>
      </c>
      <c r="M224" s="1039">
        <f>IF(E224=Data!R225,Data!AJ225,"")</f>
        <v/>
      </c>
      <c r="N224">
        <f>IF(AND(Data!R225&lt;&gt;"",Data!L225="Accepté"),Data!K225,"")</f>
        <v/>
      </c>
    </row>
    <row r="225" hidden="1" s="701">
      <c r="A225" s="164">
        <f>IF(AND(Data!R224&lt;&gt;"",Data!L224="Accepté"),Data!G224,"")</f>
        <v/>
      </c>
      <c r="B225" s="164">
        <f>IF(AND(Data!R224&lt;&gt;"",Data!L224="Accepté"),Data!L224,"")</f>
        <v/>
      </c>
      <c r="C225" s="329">
        <f>IF(D225&lt;&gt;"","S"&amp;TEXT(WEEKNUM(D225),"00"),"")</f>
        <v/>
      </c>
      <c r="D225" s="330">
        <f>IF(AND(Data!Q224&lt;&gt;"",Data!L224="Accepté"),Data!Q224,"")</f>
        <v/>
      </c>
      <c r="E225" s="106">
        <f>IF(AND(Data!R224&lt;&gt;"",Data!L224="Accepté"),Data!R224,"")</f>
        <v/>
      </c>
      <c r="F225" s="1037">
        <f>IF(AND(Data!R224&lt;&gt;"",Data!L224="Accepté"),Data!S224,"")</f>
        <v/>
      </c>
      <c r="G225" s="1038">
        <f>IF(Data!R224='Delivery Plan'!E225,Data!U224,"")</f>
        <v/>
      </c>
      <c r="H225" s="327" t="n"/>
      <c r="I225" s="329">
        <f>IF(J225&lt;&gt;"","S"&amp;TEXT(WEEKNUM(J225),"00"),"")</f>
        <v/>
      </c>
      <c r="J225" s="330">
        <f>IF(AND(E225=Data!R224,Data!AA224&lt;&gt;""),Data!AA224,"")</f>
        <v/>
      </c>
      <c r="K225" s="751">
        <f>IF(AND(E225=Data!R224,Data!AE224&lt;&gt;""),Data!AE224,"")</f>
        <v/>
      </c>
      <c r="L225" s="1039">
        <f>IF(E225=Data!R226,Data!AI226,"")</f>
        <v/>
      </c>
      <c r="M225" s="1039">
        <f>IF(E225=Data!R226,Data!AJ226,"")</f>
        <v/>
      </c>
      <c r="N225">
        <f>IF(AND(Data!R226&lt;&gt;"",Data!L226="Accepté"),Data!K226,"")</f>
        <v/>
      </c>
    </row>
    <row r="226" hidden="1" s="701">
      <c r="A226" s="164">
        <f>IF(AND(Data!R225&lt;&gt;"",Data!L225="Accepté"),Data!G225,"")</f>
        <v/>
      </c>
      <c r="B226" s="164">
        <f>IF(AND(Data!R225&lt;&gt;"",Data!L225="Accepté"),Data!L225,"")</f>
        <v/>
      </c>
      <c r="C226" s="329">
        <f>IF(D226&lt;&gt;"","S"&amp;TEXT(WEEKNUM(D226),"00"),"")</f>
        <v/>
      </c>
      <c r="D226" s="330">
        <f>IF(AND(Data!Q225&lt;&gt;"",Data!L225="Accepté"),Data!Q225,"")</f>
        <v/>
      </c>
      <c r="E226" s="106">
        <f>IF(AND(Data!R225&lt;&gt;"",Data!L225="Accepté"),Data!R225,"")</f>
        <v/>
      </c>
      <c r="F226" s="1037">
        <f>IF(AND(Data!R225&lt;&gt;"",Data!L225="Accepté"),Data!S225,"")</f>
        <v/>
      </c>
      <c r="G226" s="1038">
        <f>IF(Data!R225='Delivery Plan'!E226,Data!U225,"")</f>
        <v/>
      </c>
      <c r="H226" s="327" t="n"/>
      <c r="I226" s="329">
        <f>IF(J226&lt;&gt;"","S"&amp;TEXT(WEEKNUM(J226),"00"),"")</f>
        <v/>
      </c>
      <c r="J226" s="330">
        <f>IF(AND(E226=Data!R225,Data!AA225&lt;&gt;""),Data!AA225,"")</f>
        <v/>
      </c>
      <c r="K226" s="751">
        <f>IF(AND(E226=Data!R225,Data!AE225&lt;&gt;""),Data!AE225,"")</f>
        <v/>
      </c>
      <c r="L226" s="1039">
        <f>IF(E226=Data!R227,Data!AI227,"")</f>
        <v/>
      </c>
      <c r="M226" s="1039">
        <f>IF(E226=Data!R227,Data!AJ227,"")</f>
        <v/>
      </c>
      <c r="N226">
        <f>IF(AND(Data!R227&lt;&gt;"",Data!L227="Accepté"),Data!K227,"")</f>
        <v/>
      </c>
    </row>
    <row r="227" hidden="1" s="701">
      <c r="A227" s="164">
        <f>IF(AND(Data!R226&lt;&gt;"",Data!L226="Accepté"),Data!G226,"")</f>
        <v/>
      </c>
      <c r="B227" s="164">
        <f>IF(AND(Data!R226&lt;&gt;"",Data!L226="Accepté"),Data!L226,"")</f>
        <v/>
      </c>
      <c r="C227" s="329">
        <f>IF(D227&lt;&gt;"","S"&amp;TEXT(WEEKNUM(D227),"00"),"")</f>
        <v/>
      </c>
      <c r="D227" s="330">
        <f>IF(AND(Data!Q226&lt;&gt;"",Data!L226="Accepté"),Data!Q226,"")</f>
        <v/>
      </c>
      <c r="E227" s="106">
        <f>IF(AND(Data!R226&lt;&gt;"",Data!L226="Accepté"),Data!R226,"")</f>
        <v/>
      </c>
      <c r="F227" s="1037">
        <f>IF(AND(Data!R226&lt;&gt;"",Data!L226="Accepté"),Data!S226,"")</f>
        <v/>
      </c>
      <c r="G227" s="1038">
        <f>IF(Data!R226='Delivery Plan'!E227,Data!U226,"")</f>
        <v/>
      </c>
      <c r="H227" s="327" t="n"/>
      <c r="I227" s="329">
        <f>IF(J227&lt;&gt;"","S"&amp;TEXT(WEEKNUM(J227),"00"),"")</f>
        <v/>
      </c>
      <c r="J227" s="330">
        <f>IF(AND(E227=Data!R226,Data!AA226&lt;&gt;""),Data!AA226,"")</f>
        <v/>
      </c>
      <c r="K227" s="751">
        <f>IF(AND(E227=Data!R226,Data!AE226&lt;&gt;""),Data!AE226,"")</f>
        <v/>
      </c>
      <c r="L227" s="1039">
        <f>IF(E227=Data!R228,Data!AI228,"")</f>
        <v/>
      </c>
      <c r="M227" s="1039">
        <f>IF(E227=Data!R228,Data!AJ228,"")</f>
        <v/>
      </c>
      <c r="N227">
        <f>IF(AND(Data!R228&lt;&gt;"",Data!L228="Accepté"),Data!K228,"")</f>
        <v/>
      </c>
    </row>
    <row r="228" hidden="1" s="701">
      <c r="A228" s="164">
        <f>IF(AND(Data!R227&lt;&gt;"",Data!L227="Accepté"),Data!G227,"")</f>
        <v/>
      </c>
      <c r="B228" s="164">
        <f>IF(AND(Data!R227&lt;&gt;"",Data!L227="Accepté"),Data!L227,"")</f>
        <v/>
      </c>
      <c r="C228" s="329">
        <f>IF(D228&lt;&gt;"","S"&amp;TEXT(WEEKNUM(D228),"00"),"")</f>
        <v/>
      </c>
      <c r="D228" s="330">
        <f>IF(AND(Data!Q227&lt;&gt;"",Data!L227="Accepté"),Data!Q227,"")</f>
        <v/>
      </c>
      <c r="E228" s="106">
        <f>IF(AND(Data!R227&lt;&gt;"",Data!L227="Accepté"),Data!R227,"")</f>
        <v/>
      </c>
      <c r="F228" s="1037">
        <f>IF(AND(Data!R227&lt;&gt;"",Data!L227="Accepté"),Data!S227,"")</f>
        <v/>
      </c>
      <c r="G228" s="1038">
        <f>IF(Data!R227='Delivery Plan'!E228,Data!U227,"")</f>
        <v/>
      </c>
      <c r="H228" s="327" t="n"/>
      <c r="I228" s="329">
        <f>IF(J228&lt;&gt;"","S"&amp;TEXT(WEEKNUM(J228),"00"),"")</f>
        <v/>
      </c>
      <c r="J228" s="330">
        <f>IF(AND(E228=Data!R227,Data!AA227&lt;&gt;""),Data!AA227,"")</f>
        <v/>
      </c>
      <c r="K228" s="751">
        <f>IF(AND(E228=Data!R227,Data!AE227&lt;&gt;""),Data!AE227,"")</f>
        <v/>
      </c>
      <c r="L228" s="1039">
        <f>IF(E228=Data!R229,Data!AI229,"")</f>
        <v/>
      </c>
      <c r="M228" s="1039">
        <f>IF(E228=Data!R229,Data!AJ229,"")</f>
        <v/>
      </c>
      <c r="N228">
        <f>IF(AND(Data!R229&lt;&gt;"",Data!L229="Accepté"),Data!K229,"")</f>
        <v/>
      </c>
    </row>
    <row r="229" hidden="1" s="701">
      <c r="A229" s="164">
        <f>IF(AND(Data!R228&lt;&gt;"",Data!L228="Accepté"),Data!G228,"")</f>
        <v/>
      </c>
      <c r="B229" s="164">
        <f>IF(AND(Data!R228&lt;&gt;"",Data!L228="Accepté"),Data!L228,"")</f>
        <v/>
      </c>
      <c r="C229" s="329">
        <f>IF(D229&lt;&gt;"","S"&amp;TEXT(WEEKNUM(D229),"00"),"")</f>
        <v/>
      </c>
      <c r="D229" s="330">
        <f>IF(AND(Data!Q228&lt;&gt;"",Data!L228="Accepté"),Data!Q228,"")</f>
        <v/>
      </c>
      <c r="E229" s="106">
        <f>IF(AND(Data!R228&lt;&gt;"",Data!L228="Accepté"),Data!R228,"")</f>
        <v/>
      </c>
      <c r="F229" s="1037">
        <f>IF(AND(Data!R228&lt;&gt;"",Data!L228="Accepté"),Data!S228,"")</f>
        <v/>
      </c>
      <c r="G229" s="1038">
        <f>IF(Data!R228='Delivery Plan'!E229,Data!U228,"")</f>
        <v/>
      </c>
      <c r="H229" s="327" t="n"/>
      <c r="I229" s="329">
        <f>IF(J229&lt;&gt;"","S"&amp;TEXT(WEEKNUM(J229),"00"),"")</f>
        <v/>
      </c>
      <c r="J229" s="330">
        <f>IF(AND(E229=Data!R228,Data!AA228&lt;&gt;""),Data!AA228,"")</f>
        <v/>
      </c>
      <c r="K229" s="751">
        <f>IF(AND(E229=Data!R228,Data!AE228&lt;&gt;""),Data!AE228,"")</f>
        <v/>
      </c>
      <c r="L229" s="1039">
        <f>IF(E229=Data!R230,Data!AI230,"")</f>
        <v/>
      </c>
      <c r="M229" s="1039">
        <f>IF(E229=Data!R230,Data!AJ230,"")</f>
        <v/>
      </c>
      <c r="N229">
        <f>IF(AND(Data!R230&lt;&gt;"",Data!L230="Accepté"),Data!K230,"")</f>
        <v/>
      </c>
    </row>
    <row r="230" hidden="1" s="701">
      <c r="A230" s="164">
        <f>IF(AND(Data!R229&lt;&gt;"",Data!L229="Accepté"),Data!G229,"")</f>
        <v/>
      </c>
      <c r="B230" s="164">
        <f>IF(AND(Data!R229&lt;&gt;"",Data!L229="Accepté"),Data!L229,"")</f>
        <v/>
      </c>
      <c r="C230" s="329">
        <f>IF(D230&lt;&gt;"","S"&amp;TEXT(WEEKNUM(D230),"00"),"")</f>
        <v/>
      </c>
      <c r="D230" s="330">
        <f>IF(AND(Data!Q229&lt;&gt;"",Data!L229="Accepté"),Data!Q229,"")</f>
        <v/>
      </c>
      <c r="E230" s="106">
        <f>IF(AND(Data!R229&lt;&gt;"",Data!L229="Accepté"),Data!R229,"")</f>
        <v/>
      </c>
      <c r="F230" s="1037">
        <f>IF(AND(Data!R229&lt;&gt;"",Data!L229="Accepté"),Data!S229,"")</f>
        <v/>
      </c>
      <c r="G230" s="1038">
        <f>IF(Data!R229='Delivery Plan'!E230,Data!U229,"")</f>
        <v/>
      </c>
      <c r="H230" s="327" t="n"/>
      <c r="I230" s="329">
        <f>IF(J230&lt;&gt;"","S"&amp;TEXT(WEEKNUM(J230),"00"),"")</f>
        <v/>
      </c>
      <c r="J230" s="330">
        <f>IF(AND(E230=Data!R229,Data!AA229&lt;&gt;""),Data!AA229,"")</f>
        <v/>
      </c>
      <c r="K230" s="751">
        <f>IF(AND(E230=Data!R229,Data!AE229&lt;&gt;""),Data!AE229,"")</f>
        <v/>
      </c>
      <c r="L230" s="1039">
        <f>IF(E230=Data!R231,Data!AI231,"")</f>
        <v/>
      </c>
      <c r="M230" s="1039">
        <f>IF(E230=Data!R231,Data!AJ231,"")</f>
        <v/>
      </c>
      <c r="N230">
        <f>IF(AND(Data!R231&lt;&gt;"",Data!L231="Accepté"),Data!K231,"")</f>
        <v/>
      </c>
    </row>
    <row r="231" hidden="1" s="701">
      <c r="A231" s="164">
        <f>IF(AND(Data!R230&lt;&gt;"",Data!L230="Accepté"),Data!G230,"")</f>
        <v/>
      </c>
      <c r="B231" s="164">
        <f>IF(AND(Data!R230&lt;&gt;"",Data!L230="Accepté"),Data!L230,"")</f>
        <v/>
      </c>
      <c r="C231" s="329">
        <f>IF(D231&lt;&gt;"","S"&amp;TEXT(WEEKNUM(D231),"00"),"")</f>
        <v/>
      </c>
      <c r="D231" s="330">
        <f>IF(AND(Data!Q230&lt;&gt;"",Data!L230="Accepté"),Data!Q230,"")</f>
        <v/>
      </c>
      <c r="E231" s="106">
        <f>IF(AND(Data!R230&lt;&gt;"",Data!L230="Accepté"),Data!R230,"")</f>
        <v/>
      </c>
      <c r="F231" s="1037">
        <f>IF(AND(Data!R230&lt;&gt;"",Data!L230="Accepté"),Data!S230,"")</f>
        <v/>
      </c>
      <c r="G231" s="1038">
        <f>IF(Data!R230='Delivery Plan'!E231,Data!U230,"")</f>
        <v/>
      </c>
      <c r="H231" s="327" t="n"/>
      <c r="I231" s="329">
        <f>IF(J231&lt;&gt;"","S"&amp;TEXT(WEEKNUM(J231),"00"),"")</f>
        <v/>
      </c>
      <c r="J231" s="330">
        <f>IF(AND(E231=Data!R230,Data!AA230&lt;&gt;""),Data!AA230,"")</f>
        <v/>
      </c>
      <c r="K231" s="751">
        <f>IF(AND(E231=Data!R230,Data!AE230&lt;&gt;""),Data!AE230,"")</f>
        <v/>
      </c>
      <c r="L231" s="1039">
        <f>IF(E231=Data!R232,Data!AI232,"")</f>
        <v/>
      </c>
      <c r="M231" s="1039">
        <f>IF(E231=Data!R232,Data!AJ232,"")</f>
        <v/>
      </c>
      <c r="N231">
        <f>IF(AND(Data!R232&lt;&gt;"",Data!L232="Accepté"),Data!K232,"")</f>
        <v/>
      </c>
    </row>
    <row r="232" hidden="1" s="701">
      <c r="A232" s="164">
        <f>IF(AND(Data!R231&lt;&gt;"",Data!L231="Accepté"),Data!G231,"")</f>
        <v/>
      </c>
      <c r="B232" s="164">
        <f>IF(AND(Data!R231&lt;&gt;"",Data!L231="Accepté"),Data!L231,"")</f>
        <v/>
      </c>
      <c r="C232" s="329">
        <f>IF(D232&lt;&gt;"","S"&amp;TEXT(WEEKNUM(D232),"00"),"")</f>
        <v/>
      </c>
      <c r="D232" s="330">
        <f>IF(AND(Data!Q231&lt;&gt;"",Data!L231="Accepté"),Data!Q231,"")</f>
        <v/>
      </c>
      <c r="E232" s="106">
        <f>IF(AND(Data!R231&lt;&gt;"",Data!L231="Accepté"),Data!R231,"")</f>
        <v/>
      </c>
      <c r="F232" s="1037">
        <f>IF(AND(Data!R231&lt;&gt;"",Data!L231="Accepté"),Data!S231,"")</f>
        <v/>
      </c>
      <c r="G232" s="1038">
        <f>IF(Data!R231='Delivery Plan'!E232,Data!U231,"")</f>
        <v/>
      </c>
      <c r="H232" s="327" t="n"/>
      <c r="I232" s="329">
        <f>IF(J232&lt;&gt;"","S"&amp;TEXT(WEEKNUM(J232),"00"),"")</f>
        <v/>
      </c>
      <c r="J232" s="330">
        <f>IF(AND(E232=Data!R231,Data!AA231&lt;&gt;""),Data!AA231,"")</f>
        <v/>
      </c>
      <c r="K232" s="751">
        <f>IF(AND(E232=Data!R231,Data!AE231&lt;&gt;""),Data!AE231,"")</f>
        <v/>
      </c>
      <c r="L232" s="1039">
        <f>IF(E232=Data!R233,Data!AI233,"")</f>
        <v/>
      </c>
      <c r="M232" s="1039">
        <f>IF(E232=Data!R233,Data!AJ233,"")</f>
        <v/>
      </c>
      <c r="N232">
        <f>IF(AND(Data!R233&lt;&gt;"",Data!L233="Accepté"),Data!K233,"")</f>
        <v/>
      </c>
    </row>
    <row r="233" hidden="1" s="701">
      <c r="A233" s="164">
        <f>IF(AND(Data!R232&lt;&gt;"",Data!L232="Accepté"),Data!G232,"")</f>
        <v/>
      </c>
      <c r="B233" s="164">
        <f>IF(AND(Data!R232&lt;&gt;"",Data!L232="Accepté"),Data!L232,"")</f>
        <v/>
      </c>
      <c r="C233" s="329">
        <f>IF(D233&lt;&gt;"","S"&amp;TEXT(WEEKNUM(D233),"00"),"")</f>
        <v/>
      </c>
      <c r="D233" s="330">
        <f>IF(AND(Data!Q232&lt;&gt;"",Data!L232="Accepté"),Data!Q232,"")</f>
        <v/>
      </c>
      <c r="E233" s="106">
        <f>IF(AND(Data!R232&lt;&gt;"",Data!L232="Accepté"),Data!R232,"")</f>
        <v/>
      </c>
      <c r="F233" s="1037">
        <f>IF(AND(Data!R232&lt;&gt;"",Data!L232="Accepté"),Data!S232,"")</f>
        <v/>
      </c>
      <c r="G233" s="1038">
        <f>IF(Data!R232='Delivery Plan'!E233,Data!U232,"")</f>
        <v/>
      </c>
      <c r="H233" s="327" t="n"/>
      <c r="I233" s="329">
        <f>IF(J233&lt;&gt;"","S"&amp;TEXT(WEEKNUM(J233),"00"),"")</f>
        <v/>
      </c>
      <c r="J233" s="330">
        <f>IF(AND(E233=Data!R232,Data!AA232&lt;&gt;""),Data!AA232,"")</f>
        <v/>
      </c>
      <c r="K233" s="751">
        <f>IF(AND(E233=Data!R232,Data!AE232&lt;&gt;""),Data!AE232,"")</f>
        <v/>
      </c>
      <c r="L233" s="1039">
        <f>IF(E233=Data!R234,Data!AI234,"")</f>
        <v/>
      </c>
      <c r="M233" s="1039">
        <f>IF(E233=Data!R234,Data!AJ234,"")</f>
        <v/>
      </c>
      <c r="N233">
        <f>IF(AND(Data!R234&lt;&gt;"",Data!L234="Accepté"),Data!K234,"")</f>
        <v/>
      </c>
    </row>
    <row r="234" hidden="1" s="701">
      <c r="A234" s="164">
        <f>IF(AND(Data!R233&lt;&gt;"",Data!L233="Accepté"),Data!G233,"")</f>
        <v/>
      </c>
      <c r="B234" s="164">
        <f>IF(AND(Data!R233&lt;&gt;"",Data!L233="Accepté"),Data!L233,"")</f>
        <v/>
      </c>
      <c r="C234" s="329">
        <f>IF(D234&lt;&gt;"","S"&amp;TEXT(WEEKNUM(D234),"00"),"")</f>
        <v/>
      </c>
      <c r="D234" s="330">
        <f>IF(AND(Data!Q233&lt;&gt;"",Data!L233="Accepté"),Data!Q233,"")</f>
        <v/>
      </c>
      <c r="E234" s="106">
        <f>IF(AND(Data!R233&lt;&gt;"",Data!L233="Accepté"),Data!R233,"")</f>
        <v/>
      </c>
      <c r="F234" s="1037">
        <f>IF(AND(Data!R233&lt;&gt;"",Data!L233="Accepté"),Data!S233,"")</f>
        <v/>
      </c>
      <c r="G234" s="1038">
        <f>IF(Data!R233='Delivery Plan'!E234,Data!U233,"")</f>
        <v/>
      </c>
      <c r="H234" s="327" t="n"/>
      <c r="I234" s="329">
        <f>IF(J234&lt;&gt;"","S"&amp;TEXT(WEEKNUM(J234),"00"),"")</f>
        <v/>
      </c>
      <c r="J234" s="330">
        <f>IF(AND(E234=Data!R233,Data!AA233&lt;&gt;""),Data!AA233,"")</f>
        <v/>
      </c>
      <c r="K234" s="751">
        <f>IF(AND(E234=Data!R233,Data!AE233&lt;&gt;""),Data!AE233,"")</f>
        <v/>
      </c>
      <c r="L234" s="1039">
        <f>IF(E234=Data!R235,Data!AI235,"")</f>
        <v/>
      </c>
      <c r="M234" s="1039">
        <f>IF(E234=Data!R235,Data!AJ235,"")</f>
        <v/>
      </c>
      <c r="N234">
        <f>IF(AND(Data!R235&lt;&gt;"",Data!L235="Accepté"),Data!K235,"")</f>
        <v/>
      </c>
    </row>
    <row r="235" hidden="1" s="701">
      <c r="A235" s="164">
        <f>IF(AND(Data!R234&lt;&gt;"",Data!L234="Accepté"),Data!G234,"")</f>
        <v/>
      </c>
      <c r="B235" s="164">
        <f>IF(AND(Data!R234&lt;&gt;"",Data!L234="Accepté"),Data!L234,"")</f>
        <v/>
      </c>
      <c r="C235" s="329">
        <f>IF(D235&lt;&gt;"","S"&amp;TEXT(WEEKNUM(D235),"00"),"")</f>
        <v/>
      </c>
      <c r="D235" s="330">
        <f>IF(AND(Data!Q234&lt;&gt;"",Data!L234="Accepté"),Data!Q234,"")</f>
        <v/>
      </c>
      <c r="E235" s="106">
        <f>IF(AND(Data!R234&lt;&gt;"",Data!L234="Accepté"),Data!R234,"")</f>
        <v/>
      </c>
      <c r="F235" s="1037">
        <f>IF(AND(Data!R234&lt;&gt;"",Data!L234="Accepté"),Data!S234,"")</f>
        <v/>
      </c>
      <c r="G235" s="1038">
        <f>IF(Data!R234='Delivery Plan'!E235,Data!U234,"")</f>
        <v/>
      </c>
      <c r="H235" s="327" t="n"/>
      <c r="I235" s="329">
        <f>IF(J235&lt;&gt;"","S"&amp;TEXT(WEEKNUM(J235),"00"),"")</f>
        <v/>
      </c>
      <c r="J235" s="330">
        <f>IF(AND(E235=Data!R234,Data!AA234&lt;&gt;""),Data!AA234,"")</f>
        <v/>
      </c>
      <c r="K235" s="751">
        <f>IF(AND(E235=Data!R234,Data!AE234&lt;&gt;""),Data!AE234,"")</f>
        <v/>
      </c>
      <c r="L235" s="1039">
        <f>IF(E235=Data!R236,Data!AI236,"")</f>
        <v/>
      </c>
      <c r="M235" s="1039">
        <f>IF(E235=Data!R236,Data!AJ236,"")</f>
        <v/>
      </c>
      <c r="N235">
        <f>IF(AND(Data!R236&lt;&gt;"",Data!L236="Accepté"),Data!K236,"")</f>
        <v/>
      </c>
    </row>
    <row r="236" hidden="1" s="701">
      <c r="A236" s="164">
        <f>IF(AND(Data!R235&lt;&gt;"",Data!L235="Accepté"),Data!G235,"")</f>
        <v/>
      </c>
      <c r="B236" s="164">
        <f>IF(AND(Data!R235&lt;&gt;"",Data!L235="Accepté"),Data!L235,"")</f>
        <v/>
      </c>
      <c r="C236" s="329">
        <f>IF(D236&lt;&gt;"","S"&amp;TEXT(WEEKNUM(D236),"00"),"")</f>
        <v/>
      </c>
      <c r="D236" s="330">
        <f>IF(AND(Data!Q235&lt;&gt;"",Data!L235="Accepté"),Data!Q235,"")</f>
        <v/>
      </c>
      <c r="E236" s="106">
        <f>IF(AND(Data!R235&lt;&gt;"",Data!L235="Accepté"),Data!R235,"")</f>
        <v/>
      </c>
      <c r="F236" s="1037">
        <f>IF(AND(Data!R235&lt;&gt;"",Data!L235="Accepté"),Data!S235,"")</f>
        <v/>
      </c>
      <c r="G236" s="1038">
        <f>IF(Data!R235='Delivery Plan'!E236,Data!U235,"")</f>
        <v/>
      </c>
      <c r="H236" s="327" t="n"/>
      <c r="I236" s="329">
        <f>IF(J236&lt;&gt;"","S"&amp;TEXT(WEEKNUM(J236),"00"),"")</f>
        <v/>
      </c>
      <c r="J236" s="330">
        <f>IF(AND(E236=Data!R235,Data!AA235&lt;&gt;""),Data!AA235,"")</f>
        <v/>
      </c>
      <c r="K236" s="751">
        <f>IF(AND(E236=Data!R235,Data!AE235&lt;&gt;""),Data!AE235,"")</f>
        <v/>
      </c>
      <c r="L236" s="1039">
        <f>IF(E236=Data!R237,Data!AI237,"")</f>
        <v/>
      </c>
      <c r="M236" s="1039">
        <f>IF(E236=Data!R237,Data!AJ237,"")</f>
        <v/>
      </c>
      <c r="N236">
        <f>IF(AND(Data!R237&lt;&gt;"",Data!L237="Accepté"),Data!K237,"")</f>
        <v/>
      </c>
    </row>
    <row r="237" hidden="1" s="701">
      <c r="A237" s="164">
        <f>IF(AND(Data!R236&lt;&gt;"",Data!L236="Accepté"),Data!G236,"")</f>
        <v/>
      </c>
      <c r="B237" s="164">
        <f>IF(AND(Data!R236&lt;&gt;"",Data!L236="Accepté"),Data!L236,"")</f>
        <v/>
      </c>
      <c r="C237" s="329">
        <f>IF(D237&lt;&gt;"","S"&amp;TEXT(WEEKNUM(D237),"00"),"")</f>
        <v/>
      </c>
      <c r="D237" s="330">
        <f>IF(AND(Data!Q236&lt;&gt;"",Data!L236="Accepté"),Data!Q236,"")</f>
        <v/>
      </c>
      <c r="E237" s="106">
        <f>IF(AND(Data!R236&lt;&gt;"",Data!L236="Accepté"),Data!R236,"")</f>
        <v/>
      </c>
      <c r="F237" s="1037">
        <f>IF(AND(Data!R236&lt;&gt;"",Data!L236="Accepté"),Data!S236,"")</f>
        <v/>
      </c>
      <c r="G237" s="1038">
        <f>IF(Data!R236='Delivery Plan'!E237,Data!U236,"")</f>
        <v/>
      </c>
      <c r="H237" s="327" t="n"/>
      <c r="I237" s="329">
        <f>IF(J237&lt;&gt;"","S"&amp;TEXT(WEEKNUM(J237),"00"),"")</f>
        <v/>
      </c>
      <c r="J237" s="330">
        <f>IF(AND(E237=Data!R236,Data!AA236&lt;&gt;""),Data!AA236,"")</f>
        <v/>
      </c>
      <c r="K237" s="751">
        <f>IF(AND(E237=Data!R236,Data!AE236&lt;&gt;""),Data!AE236,"")</f>
        <v/>
      </c>
      <c r="L237" s="1039">
        <f>IF(E237=Data!R238,Data!AI238,"")</f>
        <v/>
      </c>
      <c r="M237" s="1039">
        <f>IF(E237=Data!R238,Data!AJ238,"")</f>
        <v/>
      </c>
      <c r="N237">
        <f>IF(AND(Data!R238&lt;&gt;"",Data!L238="Accepté"),Data!K238,"")</f>
        <v/>
      </c>
    </row>
    <row r="238" hidden="1" s="701">
      <c r="A238" s="164">
        <f>IF(AND(Data!R237&lt;&gt;"",Data!L237="Accepté"),Data!G237,"")</f>
        <v/>
      </c>
      <c r="B238" s="164">
        <f>IF(AND(Data!R237&lt;&gt;"",Data!L237="Accepté"),Data!L237,"")</f>
        <v/>
      </c>
      <c r="C238" s="329">
        <f>IF(D238&lt;&gt;"","S"&amp;TEXT(WEEKNUM(D238),"00"),"")</f>
        <v/>
      </c>
      <c r="D238" s="330">
        <f>IF(AND(Data!Q237&lt;&gt;"",Data!L237="Accepté"),Data!Q237,"")</f>
        <v/>
      </c>
      <c r="E238" s="106">
        <f>IF(AND(Data!R237&lt;&gt;"",Data!L237="Accepté"),Data!R237,"")</f>
        <v/>
      </c>
      <c r="F238" s="1037">
        <f>IF(AND(Data!R237&lt;&gt;"",Data!L237="Accepté"),Data!S237,"")</f>
        <v/>
      </c>
      <c r="G238" s="1038">
        <f>IF(Data!R237='Delivery Plan'!E238,Data!U237,"")</f>
        <v/>
      </c>
      <c r="H238" s="327" t="n"/>
      <c r="I238" s="329">
        <f>IF(J238&lt;&gt;"","S"&amp;TEXT(WEEKNUM(J238),"00"),"")</f>
        <v/>
      </c>
      <c r="J238" s="330">
        <f>IF(AND(E238=Data!R237,Data!AA237&lt;&gt;""),Data!AA237,"")</f>
        <v/>
      </c>
      <c r="K238" s="751">
        <f>IF(AND(E238=Data!R237,Data!AE237&lt;&gt;""),Data!AE237,"")</f>
        <v/>
      </c>
      <c r="L238" s="1039">
        <f>IF(E238=Data!R239,Data!AI239,"")</f>
        <v/>
      </c>
      <c r="M238" s="1039">
        <f>IF(E238=Data!R239,Data!AJ239,"")</f>
        <v/>
      </c>
      <c r="N238">
        <f>IF(AND(Data!R239&lt;&gt;"",Data!L239="Accepté"),Data!K239,"")</f>
        <v/>
      </c>
    </row>
    <row r="239" hidden="1" s="701">
      <c r="A239" s="164">
        <f>IF(AND(Data!R238&lt;&gt;"",Data!L238="Accepté"),Data!G238,"")</f>
        <v/>
      </c>
      <c r="B239" s="164">
        <f>IF(AND(Data!R238&lt;&gt;"",Data!L238="Accepté"),Data!L238,"")</f>
        <v/>
      </c>
      <c r="C239" s="329">
        <f>IF(D239&lt;&gt;"","S"&amp;TEXT(WEEKNUM(D239),"00"),"")</f>
        <v/>
      </c>
      <c r="D239" s="330">
        <f>IF(AND(Data!Q238&lt;&gt;"",Data!L238="Accepté"),Data!Q238,"")</f>
        <v/>
      </c>
      <c r="E239" s="106">
        <f>IF(AND(Data!R238&lt;&gt;"",Data!L238="Accepté"),Data!R238,"")</f>
        <v/>
      </c>
      <c r="F239" s="1037">
        <f>IF(AND(Data!R238&lt;&gt;"",Data!L238="Accepté"),Data!S238,"")</f>
        <v/>
      </c>
      <c r="G239" s="1038">
        <f>IF(Data!R238='Delivery Plan'!E239,Data!U238,"")</f>
        <v/>
      </c>
      <c r="H239" s="327" t="n"/>
      <c r="I239" s="329">
        <f>IF(J239&lt;&gt;"","S"&amp;TEXT(WEEKNUM(J239),"00"),"")</f>
        <v/>
      </c>
      <c r="J239" s="330">
        <f>IF(AND(E239=Data!R238,Data!AA238&lt;&gt;""),Data!AA238,"")</f>
        <v/>
      </c>
      <c r="K239" s="751">
        <f>IF(AND(E239=Data!R238,Data!AE238&lt;&gt;""),Data!AE238,"")</f>
        <v/>
      </c>
      <c r="L239" s="1039">
        <f>IF(E239=Data!R240,Data!AI240,"")</f>
        <v/>
      </c>
      <c r="M239" s="1039">
        <f>IF(E239=Data!R240,Data!AJ240,"")</f>
        <v/>
      </c>
      <c r="N239">
        <f>IF(AND(Data!R240&lt;&gt;"",Data!L240="Accepté"),Data!K240,"")</f>
        <v/>
      </c>
    </row>
    <row r="240" hidden="1" s="701">
      <c r="A240" s="164">
        <f>IF(AND(Data!R239&lt;&gt;"",Data!L239="Accepté"),Data!G239,"")</f>
        <v/>
      </c>
      <c r="B240" s="164">
        <f>IF(AND(Data!R239&lt;&gt;"",Data!L239="Accepté"),Data!L239,"")</f>
        <v/>
      </c>
      <c r="C240" s="329">
        <f>IF(D240&lt;&gt;"","S"&amp;TEXT(WEEKNUM(D240),"00"),"")</f>
        <v/>
      </c>
      <c r="D240" s="330">
        <f>IF(AND(Data!Q239&lt;&gt;"",Data!L239="Accepté"),Data!Q239,"")</f>
        <v/>
      </c>
      <c r="E240" s="106">
        <f>IF(AND(Data!R239&lt;&gt;"",Data!L239="Accepté"),Data!R239,"")</f>
        <v/>
      </c>
      <c r="F240" s="1037">
        <f>IF(AND(Data!R239&lt;&gt;"",Data!L239="Accepté"),Data!S239,"")</f>
        <v/>
      </c>
      <c r="G240" s="1038">
        <f>IF(Data!R239='Delivery Plan'!E240,Data!U239,"")</f>
        <v/>
      </c>
      <c r="H240" s="327" t="n"/>
      <c r="I240" s="329">
        <f>IF(J240&lt;&gt;"","S"&amp;TEXT(WEEKNUM(J240),"00"),"")</f>
        <v/>
      </c>
      <c r="J240" s="330">
        <f>IF(AND(E240=Data!R239,Data!AA239&lt;&gt;""),Data!AA239,"")</f>
        <v/>
      </c>
      <c r="K240" s="751">
        <f>IF(AND(E240=Data!R239,Data!AE239&lt;&gt;""),Data!AE239,"")</f>
        <v/>
      </c>
      <c r="L240" s="1039">
        <f>IF(E240=Data!R241,Data!AI241,"")</f>
        <v/>
      </c>
      <c r="M240" s="1039">
        <f>IF(E240=Data!R241,Data!AJ241,"")</f>
        <v/>
      </c>
      <c r="N240">
        <f>IF(AND(Data!R241&lt;&gt;"",Data!L241="Accepté"),Data!K241,"")</f>
        <v/>
      </c>
    </row>
    <row r="241" hidden="1" s="701">
      <c r="A241" s="164">
        <f>IF(AND(Data!R240&lt;&gt;"",Data!L240="Accepté"),Data!G240,"")</f>
        <v/>
      </c>
      <c r="B241" s="164">
        <f>IF(AND(Data!R240&lt;&gt;"",Data!L240="Accepté"),Data!L240,"")</f>
        <v/>
      </c>
      <c r="C241" s="329">
        <f>IF(D241&lt;&gt;"","S"&amp;TEXT(WEEKNUM(D241),"00"),"")</f>
        <v/>
      </c>
      <c r="D241" s="330">
        <f>IF(AND(Data!Q240&lt;&gt;"",Data!L240="Accepté"),Data!Q240,"")</f>
        <v/>
      </c>
      <c r="E241" s="106">
        <f>IF(AND(Data!R240&lt;&gt;"",Data!L240="Accepté"),Data!R240,"")</f>
        <v/>
      </c>
      <c r="F241" s="1037">
        <f>IF(AND(Data!R240&lt;&gt;"",Data!L240="Accepté"),Data!S240,"")</f>
        <v/>
      </c>
      <c r="G241" s="1038">
        <f>IF(Data!R240='Delivery Plan'!E241,Data!U240,"")</f>
        <v/>
      </c>
      <c r="H241" s="327" t="n"/>
      <c r="I241" s="329">
        <f>IF(J241&lt;&gt;"","S"&amp;TEXT(WEEKNUM(J241),"00"),"")</f>
        <v/>
      </c>
      <c r="J241" s="330">
        <f>IF(AND(E241=Data!R240,Data!AA240&lt;&gt;""),Data!AA240,"")</f>
        <v/>
      </c>
      <c r="K241" s="751">
        <f>IF(AND(E241=Data!R240,Data!AE240&lt;&gt;""),Data!AE240,"")</f>
        <v/>
      </c>
      <c r="L241" s="1039">
        <f>IF(E241=Data!R242,Data!AI242,"")</f>
        <v/>
      </c>
      <c r="M241" s="1039">
        <f>IF(E241=Data!R242,Data!AJ242,"")</f>
        <v/>
      </c>
      <c r="N241">
        <f>IF(AND(Data!R242&lt;&gt;"",Data!L242="Accepté"),Data!K242,"")</f>
        <v/>
      </c>
    </row>
    <row r="242" hidden="1" s="701">
      <c r="A242" s="164">
        <f>IF(AND(Data!R241&lt;&gt;"",Data!L241="Accepté"),Data!G241,"")</f>
        <v/>
      </c>
      <c r="B242" s="164">
        <f>IF(AND(Data!R241&lt;&gt;"",Data!L241="Accepté"),Data!L241,"")</f>
        <v/>
      </c>
      <c r="C242" s="329">
        <f>IF(D242&lt;&gt;"","S"&amp;TEXT(WEEKNUM(D242),"00"),"")</f>
        <v/>
      </c>
      <c r="D242" s="330">
        <f>IF(AND(Data!Q241&lt;&gt;"",Data!L241="Accepté"),Data!Q241,"")</f>
        <v/>
      </c>
      <c r="E242" s="106">
        <f>IF(AND(Data!R241&lt;&gt;"",Data!L241="Accepté"),Data!R241,"")</f>
        <v/>
      </c>
      <c r="F242" s="1037">
        <f>IF(AND(Data!R241&lt;&gt;"",Data!L241="Accepté"),Data!S241,"")</f>
        <v/>
      </c>
      <c r="G242" s="1038">
        <f>IF(Data!R241='Delivery Plan'!E242,Data!U241,"")</f>
        <v/>
      </c>
      <c r="H242" s="327" t="n"/>
      <c r="I242" s="329">
        <f>IF(J242&lt;&gt;"","S"&amp;TEXT(WEEKNUM(J242),"00"),"")</f>
        <v/>
      </c>
      <c r="J242" s="330">
        <f>IF(AND(E242=Data!R241,Data!AA241&lt;&gt;""),Data!AA241,"")</f>
        <v/>
      </c>
      <c r="K242" s="751">
        <f>IF(AND(E242=Data!R241,Data!AE241&lt;&gt;""),Data!AE241,"")</f>
        <v/>
      </c>
      <c r="L242" s="1039">
        <f>IF(E242=Data!R243,Data!AI243,"")</f>
        <v/>
      </c>
      <c r="M242" s="1039">
        <f>IF(E242=Data!R243,Data!AJ243,"")</f>
        <v/>
      </c>
      <c r="N242">
        <f>IF(AND(Data!R243&lt;&gt;"",Data!L243="Accepté"),Data!K243,"")</f>
        <v/>
      </c>
    </row>
    <row r="243" hidden="1" s="701">
      <c r="A243" s="164">
        <f>IF(AND(Data!R242&lt;&gt;"",Data!L242="Accepté"),Data!G242,"")</f>
        <v/>
      </c>
      <c r="B243" s="164">
        <f>IF(AND(Data!R242&lt;&gt;"",Data!L242="Accepté"),Data!L242,"")</f>
        <v/>
      </c>
      <c r="C243" s="329">
        <f>IF(D243&lt;&gt;"","S"&amp;TEXT(WEEKNUM(D243),"00"),"")</f>
        <v/>
      </c>
      <c r="D243" s="330">
        <f>IF(AND(Data!Q242&lt;&gt;"",Data!L242="Accepté"),Data!Q242,"")</f>
        <v/>
      </c>
      <c r="E243" s="106">
        <f>IF(AND(Data!R242&lt;&gt;"",Data!L242="Accepté"),Data!R242,"")</f>
        <v/>
      </c>
      <c r="F243" s="1037">
        <f>IF(AND(Data!R242&lt;&gt;"",Data!L242="Accepté"),Data!S242,"")</f>
        <v/>
      </c>
      <c r="G243" s="1038">
        <f>IF(Data!R242='Delivery Plan'!E243,Data!U242,"")</f>
        <v/>
      </c>
      <c r="H243" s="327" t="n"/>
      <c r="I243" s="329">
        <f>IF(J243&lt;&gt;"","S"&amp;TEXT(WEEKNUM(J243),"00"),"")</f>
        <v/>
      </c>
      <c r="J243" s="330">
        <f>IF(AND(E243=Data!R242,Data!AA242&lt;&gt;""),Data!AA242,"")</f>
        <v/>
      </c>
      <c r="K243" s="751">
        <f>IF(AND(E243=Data!R242,Data!AE242&lt;&gt;""),Data!AE242,"")</f>
        <v/>
      </c>
      <c r="L243" s="1039">
        <f>IF(E243=Data!R244,Data!AI244,"")</f>
        <v/>
      </c>
      <c r="M243" s="1039">
        <f>IF(E243=Data!R244,Data!AJ244,"")</f>
        <v/>
      </c>
      <c r="N243">
        <f>IF(AND(Data!R244&lt;&gt;"",Data!L244="Accepté"),Data!K244,"")</f>
        <v/>
      </c>
    </row>
    <row r="244" hidden="1" s="701">
      <c r="A244" s="164">
        <f>IF(AND(Data!R243&lt;&gt;"",Data!L243="Accepté"),Data!G243,"")</f>
        <v/>
      </c>
      <c r="B244" s="164">
        <f>IF(AND(Data!R243&lt;&gt;"",Data!L243="Accepté"),Data!L243,"")</f>
        <v/>
      </c>
      <c r="C244" s="329">
        <f>IF(D244&lt;&gt;"","S"&amp;TEXT(WEEKNUM(D244),"00"),"")</f>
        <v/>
      </c>
      <c r="D244" s="330">
        <f>IF(AND(Data!Q243&lt;&gt;"",Data!L243="Accepté"),Data!Q243,"")</f>
        <v/>
      </c>
      <c r="E244" s="106">
        <f>IF(AND(Data!R243&lt;&gt;"",Data!L243="Accepté"),Data!R243,"")</f>
        <v/>
      </c>
      <c r="F244" s="1037">
        <f>IF(AND(Data!R243&lt;&gt;"",Data!L243="Accepté"),Data!S243,"")</f>
        <v/>
      </c>
      <c r="G244" s="1038">
        <f>IF(Data!R243='Delivery Plan'!E244,Data!U243,"")</f>
        <v/>
      </c>
      <c r="H244" s="327" t="n"/>
      <c r="I244" s="329">
        <f>IF(J244&lt;&gt;"","S"&amp;TEXT(WEEKNUM(J244),"00"),"")</f>
        <v/>
      </c>
      <c r="J244" s="330">
        <f>IF(AND(E244=Data!R243,Data!AA243&lt;&gt;""),Data!AA243,"")</f>
        <v/>
      </c>
      <c r="K244" s="751">
        <f>IF(AND(E244=Data!R243,Data!AE243&lt;&gt;""),Data!AE243,"")</f>
        <v/>
      </c>
      <c r="L244" s="1039">
        <f>IF(E244=Data!R245,Data!AI245,"")</f>
        <v/>
      </c>
      <c r="M244" s="1039">
        <f>IF(E244=Data!R245,Data!AJ245,"")</f>
        <v/>
      </c>
      <c r="N244">
        <f>IF(AND(Data!R245&lt;&gt;"",Data!L245="Accepté"),Data!K245,"")</f>
        <v/>
      </c>
    </row>
    <row r="245" hidden="1" s="701">
      <c r="A245" s="164">
        <f>IF(AND(Data!R244&lt;&gt;"",Data!L244="Accepté"),Data!G244,"")</f>
        <v/>
      </c>
      <c r="B245" s="164">
        <f>IF(AND(Data!R244&lt;&gt;"",Data!L244="Accepté"),Data!L244,"")</f>
        <v/>
      </c>
      <c r="C245" s="329">
        <f>IF(D245&lt;&gt;"","S"&amp;TEXT(WEEKNUM(D245),"00"),"")</f>
        <v/>
      </c>
      <c r="D245" s="330">
        <f>IF(AND(Data!Q244&lt;&gt;"",Data!L244="Accepté"),Data!Q244,"")</f>
        <v/>
      </c>
      <c r="E245" s="106">
        <f>IF(AND(Data!R244&lt;&gt;"",Data!L244="Accepté"),Data!R244,"")</f>
        <v/>
      </c>
      <c r="F245" s="1037">
        <f>IF(AND(Data!R244&lt;&gt;"",Data!L244="Accepté"),Data!S244,"")</f>
        <v/>
      </c>
      <c r="G245" s="1038">
        <f>IF(Data!R244='Delivery Plan'!E245,Data!U244,"")</f>
        <v/>
      </c>
      <c r="H245" s="327" t="n"/>
      <c r="I245" s="329">
        <f>IF(J245&lt;&gt;"","S"&amp;TEXT(WEEKNUM(J245),"00"),"")</f>
        <v/>
      </c>
      <c r="J245" s="330">
        <f>IF(AND(E245=Data!R244,Data!AA244&lt;&gt;""),Data!AA244,"")</f>
        <v/>
      </c>
      <c r="K245" s="751">
        <f>IF(AND(E245=Data!R244,Data!AE244&lt;&gt;""),Data!AE244,"")</f>
        <v/>
      </c>
      <c r="L245" s="1039">
        <f>IF(E245=Data!R246,Data!AI246,"")</f>
        <v/>
      </c>
      <c r="M245" s="1039">
        <f>IF(E245=Data!R246,Data!AJ246,"")</f>
        <v/>
      </c>
      <c r="N245">
        <f>IF(AND(Data!R246&lt;&gt;"",Data!L246="Accepté"),Data!K246,"")</f>
        <v/>
      </c>
    </row>
    <row r="246" hidden="1" s="701">
      <c r="A246" s="164">
        <f>IF(AND(Data!R245&lt;&gt;"",Data!L245="Accepté"),Data!G245,"")</f>
        <v/>
      </c>
      <c r="B246" s="164">
        <f>IF(AND(Data!R245&lt;&gt;"",Data!L245="Accepté"),Data!L245,"")</f>
        <v/>
      </c>
      <c r="C246" s="329">
        <f>IF(D246&lt;&gt;"","S"&amp;TEXT(WEEKNUM(D246),"00"),"")</f>
        <v/>
      </c>
      <c r="D246" s="330">
        <f>IF(AND(Data!Q245&lt;&gt;"",Data!L245="Accepté"),Data!Q245,"")</f>
        <v/>
      </c>
      <c r="E246" s="106">
        <f>IF(AND(Data!R245&lt;&gt;"",Data!L245="Accepté"),Data!R245,"")</f>
        <v/>
      </c>
      <c r="F246" s="1037">
        <f>IF(AND(Data!R245&lt;&gt;"",Data!L245="Accepté"),Data!S245,"")</f>
        <v/>
      </c>
      <c r="G246" s="1038">
        <f>IF(Data!R245='Delivery Plan'!E246,Data!U245,"")</f>
        <v/>
      </c>
      <c r="H246" s="327" t="n"/>
      <c r="I246" s="329">
        <f>IF(J246&lt;&gt;"","S"&amp;TEXT(WEEKNUM(J246),"00"),"")</f>
        <v/>
      </c>
      <c r="J246" s="330">
        <f>IF(AND(E246=Data!R245,Data!AA245&lt;&gt;""),Data!AA245,"")</f>
        <v/>
      </c>
      <c r="K246" s="751">
        <f>IF(AND(E246=Data!R245,Data!AE245&lt;&gt;""),Data!AE245,"")</f>
        <v/>
      </c>
      <c r="L246" s="1039">
        <f>IF(E246=Data!R247,Data!AI247,"")</f>
        <v/>
      </c>
      <c r="M246" s="1039">
        <f>IF(E246=Data!R247,Data!AJ247,"")</f>
        <v/>
      </c>
      <c r="N246">
        <f>IF(AND(Data!R247&lt;&gt;"",Data!L247="Accepté"),Data!K247,"")</f>
        <v/>
      </c>
    </row>
    <row r="247" hidden="1" s="701">
      <c r="A247" s="164">
        <f>IF(AND(Data!R246&lt;&gt;"",Data!L246="Accepté"),Data!G246,"")</f>
        <v/>
      </c>
      <c r="B247" s="164">
        <f>IF(AND(Data!R246&lt;&gt;"",Data!L246="Accepté"),Data!L246,"")</f>
        <v/>
      </c>
      <c r="C247" s="329">
        <f>IF(D247&lt;&gt;"","S"&amp;TEXT(WEEKNUM(D247),"00"),"")</f>
        <v/>
      </c>
      <c r="D247" s="330">
        <f>IF(AND(Data!Q246&lt;&gt;"",Data!L246="Accepté"),Data!Q246,"")</f>
        <v/>
      </c>
      <c r="E247" s="106">
        <f>IF(AND(Data!R246&lt;&gt;"",Data!L246="Accepté"),Data!R246,"")</f>
        <v/>
      </c>
      <c r="F247" s="1037">
        <f>IF(AND(Data!R246&lt;&gt;"",Data!L246="Accepté"),Data!S246,"")</f>
        <v/>
      </c>
      <c r="G247" s="1038">
        <f>IF(Data!R246='Delivery Plan'!E247,Data!U246,"")</f>
        <v/>
      </c>
      <c r="H247" s="327" t="n"/>
      <c r="I247" s="329">
        <f>IF(J247&lt;&gt;"","S"&amp;TEXT(WEEKNUM(J247),"00"),"")</f>
        <v/>
      </c>
      <c r="J247" s="330">
        <f>IF(AND(E247=Data!R246,Data!AA246&lt;&gt;""),Data!AA246,"")</f>
        <v/>
      </c>
      <c r="K247" s="751">
        <f>IF(AND(E247=Data!R246,Data!AE246&lt;&gt;""),Data!AE246,"")</f>
        <v/>
      </c>
      <c r="L247" s="1039">
        <f>IF(E247=Data!R248,Data!AI248,"")</f>
        <v/>
      </c>
      <c r="M247" s="1039">
        <f>IF(E247=Data!R248,Data!AJ248,"")</f>
        <v/>
      </c>
      <c r="N247">
        <f>IF(AND(Data!R248&lt;&gt;"",Data!L248="Accepté"),Data!K248,"")</f>
        <v/>
      </c>
    </row>
    <row r="248" hidden="1" s="701">
      <c r="A248" s="164">
        <f>IF(AND(Data!R247&lt;&gt;"",Data!L247="Accepté"),Data!G247,"")</f>
        <v/>
      </c>
      <c r="B248" s="164">
        <f>IF(AND(Data!R247&lt;&gt;"",Data!L247="Accepté"),Data!L247,"")</f>
        <v/>
      </c>
      <c r="C248" s="329">
        <f>IF(D248&lt;&gt;"","S"&amp;TEXT(WEEKNUM(D248),"00"),"")</f>
        <v/>
      </c>
      <c r="D248" s="330">
        <f>IF(AND(Data!Q247&lt;&gt;"",Data!L247="Accepté"),Data!Q247,"")</f>
        <v/>
      </c>
      <c r="E248" s="106">
        <f>IF(AND(Data!R247&lt;&gt;"",Data!L247="Accepté"),Data!R247,"")</f>
        <v/>
      </c>
      <c r="F248" s="1037">
        <f>IF(AND(Data!R247&lt;&gt;"",Data!L247="Accepté"),Data!S247,"")</f>
        <v/>
      </c>
      <c r="G248" s="1038">
        <f>IF(Data!R247='Delivery Plan'!E248,Data!U247,"")</f>
        <v/>
      </c>
      <c r="H248" s="327" t="n"/>
      <c r="I248" s="329">
        <f>IF(J248&lt;&gt;"","S"&amp;TEXT(WEEKNUM(J248),"00"),"")</f>
        <v/>
      </c>
      <c r="J248" s="330">
        <f>IF(AND(E248=Data!R247,Data!AA247&lt;&gt;""),Data!AA247,"")</f>
        <v/>
      </c>
      <c r="K248" s="751">
        <f>IF(AND(E248=Data!R247,Data!AE247&lt;&gt;""),Data!AE247,"")</f>
        <v/>
      </c>
      <c r="L248" s="1039">
        <f>IF(E248=Data!R249,Data!AI249,"")</f>
        <v/>
      </c>
      <c r="M248" s="1039">
        <f>IF(E248=Data!R249,Data!AJ249,"")</f>
        <v/>
      </c>
      <c r="N248">
        <f>IF(AND(Data!R249&lt;&gt;"",Data!L249="Accepté"),Data!K249,"")</f>
        <v/>
      </c>
    </row>
    <row r="249" hidden="1" s="701">
      <c r="A249" s="164">
        <f>IF(AND(Data!R248&lt;&gt;"",Data!L248="Accepté"),Data!G248,"")</f>
        <v/>
      </c>
      <c r="B249" s="164">
        <f>IF(AND(Data!R248&lt;&gt;"",Data!L248="Accepté"),Data!L248,"")</f>
        <v/>
      </c>
      <c r="C249" s="329">
        <f>IF(D249&lt;&gt;"","S"&amp;TEXT(WEEKNUM(D249),"00"),"")</f>
        <v/>
      </c>
      <c r="D249" s="330">
        <f>IF(AND(Data!Q248&lt;&gt;"",Data!L248="Accepté"),Data!Q248,"")</f>
        <v/>
      </c>
      <c r="E249" s="106">
        <f>IF(AND(Data!R248&lt;&gt;"",Data!L248="Accepté"),Data!R248,"")</f>
        <v/>
      </c>
      <c r="F249" s="1037">
        <f>IF(AND(Data!R248&lt;&gt;"",Data!L248="Accepté"),Data!S248,"")</f>
        <v/>
      </c>
      <c r="G249" s="1038">
        <f>IF(Data!R248='Delivery Plan'!E249,Data!U248,"")</f>
        <v/>
      </c>
      <c r="H249" s="327" t="n"/>
      <c r="I249" s="329">
        <f>IF(J249&lt;&gt;"","S"&amp;TEXT(WEEKNUM(J249),"00"),"")</f>
        <v/>
      </c>
      <c r="J249" s="330">
        <f>IF(AND(E249=Data!R248,Data!AA248&lt;&gt;""),Data!AA248,"")</f>
        <v/>
      </c>
      <c r="K249" s="751">
        <f>IF(AND(E249=Data!R248,Data!AE248&lt;&gt;""),Data!AE248,"")</f>
        <v/>
      </c>
      <c r="L249" s="1039">
        <f>IF(E249=Data!R250,Data!AI250,"")</f>
        <v/>
      </c>
      <c r="M249" s="1039">
        <f>IF(E249=Data!R250,Data!AJ250,"")</f>
        <v/>
      </c>
      <c r="N249">
        <f>IF(AND(Data!R250&lt;&gt;"",Data!L250="Accepté"),Data!K250,"")</f>
        <v/>
      </c>
    </row>
    <row r="250" hidden="1" s="701">
      <c r="A250" s="164">
        <f>IF(AND(Data!R249&lt;&gt;"",Data!L249="Accepté"),Data!G249,"")</f>
        <v/>
      </c>
      <c r="B250" s="164">
        <f>IF(AND(Data!R249&lt;&gt;"",Data!L249="Accepté"),Data!L249,"")</f>
        <v/>
      </c>
      <c r="C250" s="329">
        <f>IF(D250&lt;&gt;"","S"&amp;TEXT(WEEKNUM(D250),"00"),"")</f>
        <v/>
      </c>
      <c r="D250" s="330">
        <f>IF(AND(Data!Q249&lt;&gt;"",Data!L249="Accepté"),Data!Q249,"")</f>
        <v/>
      </c>
      <c r="E250" s="106">
        <f>IF(AND(Data!R249&lt;&gt;"",Data!L249="Accepté"),Data!R249,"")</f>
        <v/>
      </c>
      <c r="F250" s="1037">
        <f>IF(AND(Data!R249&lt;&gt;"",Data!L249="Accepté"),Data!S249,"")</f>
        <v/>
      </c>
      <c r="G250" s="1038">
        <f>IF(Data!R249='Delivery Plan'!E250,Data!U249,"")</f>
        <v/>
      </c>
      <c r="H250" s="327" t="n"/>
      <c r="I250" s="329">
        <f>IF(J250&lt;&gt;"","S"&amp;TEXT(WEEKNUM(J250),"00"),"")</f>
        <v/>
      </c>
      <c r="J250" s="330">
        <f>IF(AND(E250=Data!R249,Data!AA249&lt;&gt;""),Data!AA249,"")</f>
        <v/>
      </c>
      <c r="K250" s="751">
        <f>IF(AND(E250=Data!R249,Data!AE249&lt;&gt;""),Data!AE249,"")</f>
        <v/>
      </c>
      <c r="L250" s="1039">
        <f>IF(E250=Data!R251,Data!AI251,"")</f>
        <v/>
      </c>
      <c r="M250" s="1039">
        <f>IF(E250=Data!R251,Data!AJ251,"")</f>
        <v/>
      </c>
      <c r="N250">
        <f>IF(AND(Data!R251&lt;&gt;"",Data!L251="Accepté"),Data!K251,"")</f>
        <v/>
      </c>
    </row>
    <row r="251" hidden="1" s="701">
      <c r="A251" s="164">
        <f>IF(AND(Data!R250&lt;&gt;"",Data!L250="Accepté"),Data!G250,"")</f>
        <v/>
      </c>
      <c r="B251" s="164">
        <f>IF(AND(Data!R250&lt;&gt;"",Data!L250="Accepté"),Data!L250,"")</f>
        <v/>
      </c>
      <c r="C251" s="329">
        <f>IF(D251&lt;&gt;"","S"&amp;TEXT(WEEKNUM(D251),"00"),"")</f>
        <v/>
      </c>
      <c r="D251" s="330">
        <f>IF(AND(Data!Q250&lt;&gt;"",Data!L250="Accepté"),Data!Q250,"")</f>
        <v/>
      </c>
      <c r="E251" s="106">
        <f>IF(AND(Data!R250&lt;&gt;"",Data!L250="Accepté"),Data!R250,"")</f>
        <v/>
      </c>
      <c r="F251" s="1037">
        <f>IF(AND(Data!R250&lt;&gt;"",Data!L250="Accepté"),Data!S250,"")</f>
        <v/>
      </c>
      <c r="G251" s="1038">
        <f>IF(Data!R250='Delivery Plan'!E251,Data!U250,"")</f>
        <v/>
      </c>
      <c r="H251" s="327" t="n"/>
      <c r="I251" s="329">
        <f>IF(J251&lt;&gt;"","S"&amp;TEXT(WEEKNUM(J251),"00"),"")</f>
        <v/>
      </c>
      <c r="J251" s="330">
        <f>IF(AND(E251=Data!R250,Data!AA250&lt;&gt;""),Data!AA250,"")</f>
        <v/>
      </c>
      <c r="K251" s="751">
        <f>IF(AND(E251=Data!R250,Data!AE250&lt;&gt;""),Data!AE250,"")</f>
        <v/>
      </c>
      <c r="L251" s="1039">
        <f>IF(E251=Data!R252,Data!AI252,"")</f>
        <v/>
      </c>
      <c r="M251" s="1039">
        <f>IF(E251=Data!R252,Data!AJ252,"")</f>
        <v/>
      </c>
      <c r="N251">
        <f>IF(AND(Data!R252&lt;&gt;"",Data!L252="Accepté"),Data!K252,"")</f>
        <v/>
      </c>
    </row>
    <row r="252" hidden="1" s="701">
      <c r="A252" s="164">
        <f>IF(AND(Data!R251&lt;&gt;"",Data!L251="Accepté"),Data!G251,"")</f>
        <v/>
      </c>
      <c r="B252" s="164">
        <f>IF(AND(Data!R251&lt;&gt;"",Data!L251="Accepté"),Data!L251,"")</f>
        <v/>
      </c>
      <c r="C252" s="329">
        <f>IF(D252&lt;&gt;"","S"&amp;TEXT(WEEKNUM(D252),"00"),"")</f>
        <v/>
      </c>
      <c r="D252" s="330">
        <f>IF(AND(Data!Q251&lt;&gt;"",Data!L251="Accepté"),Data!Q251,"")</f>
        <v/>
      </c>
      <c r="E252" s="106">
        <f>IF(AND(Data!R251&lt;&gt;"",Data!L251="Accepté"),Data!R251,"")</f>
        <v/>
      </c>
      <c r="F252" s="1037">
        <f>IF(AND(Data!R251&lt;&gt;"",Data!L251="Accepté"),Data!S251,"")</f>
        <v/>
      </c>
      <c r="G252" s="1038">
        <f>IF(Data!R251='Delivery Plan'!E252,Data!U251,"")</f>
        <v/>
      </c>
      <c r="H252" s="327" t="n"/>
      <c r="I252" s="329">
        <f>IF(J252&lt;&gt;"","S"&amp;TEXT(WEEKNUM(J252),"00"),"")</f>
        <v/>
      </c>
      <c r="J252" s="330">
        <f>IF(AND(E252=Data!R251,Data!AA251&lt;&gt;""),Data!AA251,"")</f>
        <v/>
      </c>
      <c r="K252" s="751">
        <f>IF(AND(E252=Data!R251,Data!AE251&lt;&gt;""),Data!AE251,"")</f>
        <v/>
      </c>
      <c r="L252" s="1039">
        <f>IF(E252=Data!R253,Data!AI253,"")</f>
        <v/>
      </c>
      <c r="M252" s="1039">
        <f>IF(E252=Data!R253,Data!AJ253,"")</f>
        <v/>
      </c>
      <c r="N252">
        <f>IF(AND(Data!R253&lt;&gt;"",Data!L253="Accepté"),Data!K253,"")</f>
        <v/>
      </c>
    </row>
    <row r="253" hidden="1" s="701">
      <c r="A253" s="164">
        <f>IF(AND(Data!R252&lt;&gt;"",Data!L252="Accepté"),Data!G252,"")</f>
        <v/>
      </c>
      <c r="B253" s="164">
        <f>IF(AND(Data!R252&lt;&gt;"",Data!L252="Accepté"),Data!L252,"")</f>
        <v/>
      </c>
      <c r="C253" s="329">
        <f>IF(D253&lt;&gt;"","S"&amp;TEXT(WEEKNUM(D253),"00"),"")</f>
        <v/>
      </c>
      <c r="D253" s="330">
        <f>IF(AND(Data!Q252&lt;&gt;"",Data!L252="Accepté"),Data!Q252,"")</f>
        <v/>
      </c>
      <c r="E253" s="106">
        <f>IF(AND(Data!R252&lt;&gt;"",Data!L252="Accepté"),Data!R252,"")</f>
        <v/>
      </c>
      <c r="F253" s="1037">
        <f>IF(AND(Data!R252&lt;&gt;"",Data!L252="Accepté"),Data!S252,"")</f>
        <v/>
      </c>
      <c r="G253" s="1038">
        <f>IF(Data!R252='Delivery Plan'!E253,Data!U252,"")</f>
        <v/>
      </c>
      <c r="H253" s="327" t="n"/>
      <c r="I253" s="329">
        <f>IF(J253&lt;&gt;"","S"&amp;TEXT(WEEKNUM(J253),"00"),"")</f>
        <v/>
      </c>
      <c r="J253" s="330">
        <f>IF(AND(E253=Data!R252,Data!AA252&lt;&gt;""),Data!AA252,"")</f>
        <v/>
      </c>
      <c r="K253" s="751">
        <f>IF(AND(E253=Data!R252,Data!AE252&lt;&gt;""),Data!AE252,"")</f>
        <v/>
      </c>
      <c r="L253" s="1039">
        <f>IF(E253=Data!R254,Data!AI254,"")</f>
        <v/>
      </c>
      <c r="M253" s="1039">
        <f>IF(E253=Data!R254,Data!AJ254,"")</f>
        <v/>
      </c>
      <c r="N253">
        <f>IF(AND(Data!R254&lt;&gt;"",Data!L254="Accepté"),Data!K254,"")</f>
        <v/>
      </c>
    </row>
    <row r="254" hidden="1" s="701">
      <c r="A254" s="164">
        <f>IF(AND(Data!R253&lt;&gt;"",Data!L253="Accepté"),Data!G253,"")</f>
        <v/>
      </c>
      <c r="B254" s="164">
        <f>IF(AND(Data!R253&lt;&gt;"",Data!L253="Accepté"),Data!L253,"")</f>
        <v/>
      </c>
      <c r="C254" s="329">
        <f>IF(D254&lt;&gt;"","S"&amp;TEXT(WEEKNUM(D254),"00"),"")</f>
        <v/>
      </c>
      <c r="D254" s="330">
        <f>IF(AND(Data!Q253&lt;&gt;"",Data!L253="Accepté"),Data!Q253,"")</f>
        <v/>
      </c>
      <c r="E254" s="106">
        <f>IF(AND(Data!R253&lt;&gt;"",Data!L253="Accepté"),Data!R253,"")</f>
        <v/>
      </c>
      <c r="F254" s="1037">
        <f>IF(AND(Data!R253&lt;&gt;"",Data!L253="Accepté"),Data!S253,"")</f>
        <v/>
      </c>
      <c r="G254" s="1038">
        <f>IF(Data!R253='Delivery Plan'!E254,Data!U253,"")</f>
        <v/>
      </c>
      <c r="H254" s="327" t="n"/>
      <c r="I254" s="329">
        <f>IF(J254&lt;&gt;"","S"&amp;TEXT(WEEKNUM(J254),"00"),"")</f>
        <v/>
      </c>
      <c r="J254" s="330">
        <f>IF(AND(E254=Data!R253,Data!AA253&lt;&gt;""),Data!AA253,"")</f>
        <v/>
      </c>
      <c r="K254" s="751">
        <f>IF(AND(E254=Data!R253,Data!AE253&lt;&gt;""),Data!AE253,"")</f>
        <v/>
      </c>
      <c r="L254" s="1039">
        <f>IF(E254=Data!R255,Data!AI255,"")</f>
        <v/>
      </c>
      <c r="M254" s="1039">
        <f>IF(E254=Data!R255,Data!AJ255,"")</f>
        <v/>
      </c>
      <c r="N254">
        <f>IF(AND(Data!R255&lt;&gt;"",Data!L255="Accepté"),Data!K255,"")</f>
        <v/>
      </c>
    </row>
    <row r="255" hidden="1" s="701">
      <c r="A255" s="164">
        <f>IF(AND(Data!R254&lt;&gt;"",Data!L254="Accepté"),Data!G254,"")</f>
        <v/>
      </c>
      <c r="B255" s="164">
        <f>IF(AND(Data!R254&lt;&gt;"",Data!L254="Accepté"),Data!L254,"")</f>
        <v/>
      </c>
      <c r="C255" s="329">
        <f>IF(D255&lt;&gt;"","S"&amp;TEXT(WEEKNUM(D255),"00"),"")</f>
        <v/>
      </c>
      <c r="D255" s="330">
        <f>IF(AND(Data!Q254&lt;&gt;"",Data!L254="Accepté"),Data!Q254,"")</f>
        <v/>
      </c>
      <c r="E255" s="106">
        <f>IF(AND(Data!R254&lt;&gt;"",Data!L254="Accepté"),Data!R254,"")</f>
        <v/>
      </c>
      <c r="F255" s="1037">
        <f>IF(AND(Data!R254&lt;&gt;"",Data!L254="Accepté"),Data!S254,"")</f>
        <v/>
      </c>
      <c r="G255" s="1038">
        <f>IF(Data!R254='Delivery Plan'!E255,Data!U254,"")</f>
        <v/>
      </c>
      <c r="H255" s="327" t="n"/>
      <c r="I255" s="329">
        <f>IF(J255&lt;&gt;"","S"&amp;TEXT(WEEKNUM(J255),"00"),"")</f>
        <v/>
      </c>
      <c r="J255" s="330">
        <f>IF(AND(E255=Data!R254,Data!AA254&lt;&gt;""),Data!AA254,"")</f>
        <v/>
      </c>
      <c r="K255" s="751">
        <f>IF(AND(E255=Data!R254,Data!AE254&lt;&gt;""),Data!AE254,"")</f>
        <v/>
      </c>
      <c r="L255" s="1039">
        <f>IF(E255=Data!R256,Data!AI256,"")</f>
        <v/>
      </c>
      <c r="M255" s="1039">
        <f>IF(E255=Data!R256,Data!AJ256,"")</f>
        <v/>
      </c>
      <c r="N255">
        <f>IF(AND(Data!R256&lt;&gt;"",Data!L256="Accepté"),Data!K256,"")</f>
        <v/>
      </c>
    </row>
    <row r="256" hidden="1" s="701">
      <c r="A256" s="164">
        <f>IF(AND(Data!R255&lt;&gt;"",Data!L255="Accepté"),Data!G255,"")</f>
        <v/>
      </c>
      <c r="B256" s="164">
        <f>IF(AND(Data!R255&lt;&gt;"",Data!L255="Accepté"),Data!L255,"")</f>
        <v/>
      </c>
      <c r="C256" s="329">
        <f>IF(D256&lt;&gt;"","S"&amp;TEXT(WEEKNUM(D256),"00"),"")</f>
        <v/>
      </c>
      <c r="D256" s="330">
        <f>IF(AND(Data!Q255&lt;&gt;"",Data!L255="Accepté"),Data!Q255,"")</f>
        <v/>
      </c>
      <c r="E256" s="106">
        <f>IF(AND(Data!R255&lt;&gt;"",Data!L255="Accepté"),Data!R255,"")</f>
        <v/>
      </c>
      <c r="F256" s="1037">
        <f>IF(AND(Data!R255&lt;&gt;"",Data!L255="Accepté"),Data!S255,"")</f>
        <v/>
      </c>
      <c r="G256" s="1038">
        <f>IF(Data!R255='Delivery Plan'!E256,Data!U255,"")</f>
        <v/>
      </c>
      <c r="H256" s="327" t="n"/>
      <c r="I256" s="329">
        <f>IF(J256&lt;&gt;"","S"&amp;TEXT(WEEKNUM(J256),"00"),"")</f>
        <v/>
      </c>
      <c r="J256" s="330">
        <f>IF(AND(E256=Data!R255,Data!AA255&lt;&gt;""),Data!AA255,"")</f>
        <v/>
      </c>
      <c r="K256" s="751">
        <f>IF(AND(E256=Data!R255,Data!AE255&lt;&gt;""),Data!AE255,"")</f>
        <v/>
      </c>
      <c r="L256" s="1039">
        <f>IF(E256=Data!R257,Data!AI257,"")</f>
        <v/>
      </c>
      <c r="M256" s="1039">
        <f>IF(E256=Data!R257,Data!AJ257,"")</f>
        <v/>
      </c>
      <c r="N256">
        <f>IF(AND(Data!R257&lt;&gt;"",Data!L257="Accepté"),Data!K257,"")</f>
        <v/>
      </c>
    </row>
    <row r="257" hidden="1" s="701">
      <c r="A257" s="164">
        <f>IF(AND(Data!R256&lt;&gt;"",Data!L256="Accepté"),Data!G256,"")</f>
        <v/>
      </c>
      <c r="B257" s="164">
        <f>IF(AND(Data!R256&lt;&gt;"",Data!L256="Accepté"),Data!L256,"")</f>
        <v/>
      </c>
      <c r="C257" s="329">
        <f>IF(D257&lt;&gt;"","S"&amp;TEXT(WEEKNUM(D257),"00"),"")</f>
        <v/>
      </c>
      <c r="D257" s="330">
        <f>IF(AND(Data!Q256&lt;&gt;"",Data!L256="Accepté"),Data!Q256,"")</f>
        <v/>
      </c>
      <c r="E257" s="106">
        <f>IF(AND(Data!R256&lt;&gt;"",Data!L256="Accepté"),Data!R256,"")</f>
        <v/>
      </c>
      <c r="F257" s="1037">
        <f>IF(AND(Data!R256&lt;&gt;"",Data!L256="Accepté"),Data!S256,"")</f>
        <v/>
      </c>
      <c r="G257" s="1038">
        <f>IF(Data!R256='Delivery Plan'!E257,Data!U256,"")</f>
        <v/>
      </c>
      <c r="H257" s="327" t="n"/>
      <c r="I257" s="329">
        <f>IF(J257&lt;&gt;"","S"&amp;TEXT(WEEKNUM(J257),"00"),"")</f>
        <v/>
      </c>
      <c r="J257" s="330">
        <f>IF(AND(E257=Data!R256,Data!AA256&lt;&gt;""),Data!AA256,"")</f>
        <v/>
      </c>
      <c r="K257" s="751">
        <f>IF(AND(E257=Data!R256,Data!AE256&lt;&gt;""),Data!AE256,"")</f>
        <v/>
      </c>
      <c r="L257" s="1039">
        <f>IF(E257=Data!R258,Data!AI258,"")</f>
        <v/>
      </c>
      <c r="M257" s="1039">
        <f>IF(E257=Data!R258,Data!AJ258,"")</f>
        <v/>
      </c>
      <c r="N257">
        <f>IF(AND(Data!R258&lt;&gt;"",Data!L258="Accepté"),Data!K258,"")</f>
        <v/>
      </c>
    </row>
    <row r="258" hidden="1" s="701">
      <c r="A258" s="164">
        <f>IF(AND(Data!R257&lt;&gt;"",Data!L257="Accepté"),Data!G257,"")</f>
        <v/>
      </c>
      <c r="B258" s="164">
        <f>IF(AND(Data!R257&lt;&gt;"",Data!L257="Accepté"),Data!L257,"")</f>
        <v/>
      </c>
      <c r="C258" s="329">
        <f>IF(D258&lt;&gt;"","S"&amp;TEXT(WEEKNUM(D258),"00"),"")</f>
        <v/>
      </c>
      <c r="D258" s="330">
        <f>IF(AND(Data!Q257&lt;&gt;"",Data!L257="Accepté"),Data!Q257,"")</f>
        <v/>
      </c>
      <c r="E258" s="106">
        <f>IF(AND(Data!R257&lt;&gt;"",Data!L257="Accepté"),Data!R257,"")</f>
        <v/>
      </c>
      <c r="F258" s="1037">
        <f>IF(AND(Data!R257&lt;&gt;"",Data!L257="Accepté"),Data!S257,"")</f>
        <v/>
      </c>
      <c r="G258" s="1038">
        <f>IF(Data!R257='Delivery Plan'!E258,Data!U257,"")</f>
        <v/>
      </c>
      <c r="H258" s="327" t="n"/>
      <c r="I258" s="329">
        <f>IF(J258&lt;&gt;"","S"&amp;TEXT(WEEKNUM(J258),"00"),"")</f>
        <v/>
      </c>
      <c r="J258" s="330">
        <f>IF(AND(E258=Data!R257,Data!AA257&lt;&gt;""),Data!AA257,"")</f>
        <v/>
      </c>
      <c r="K258" s="751">
        <f>IF(AND(E258=Data!R257,Data!AE257&lt;&gt;""),Data!AE257,"")</f>
        <v/>
      </c>
      <c r="L258" s="1039">
        <f>IF(E258=Data!R259,Data!AI259,"")</f>
        <v/>
      </c>
      <c r="M258" s="1039">
        <f>IF(E258=Data!R259,Data!AJ259,"")</f>
        <v/>
      </c>
      <c r="N258">
        <f>IF(AND(Data!R259&lt;&gt;"",Data!L259="Accepté"),Data!K259,"")</f>
        <v/>
      </c>
    </row>
    <row r="259" hidden="1" s="701">
      <c r="A259" s="164">
        <f>IF(AND(Data!R258&lt;&gt;"",Data!L258="Accepté"),Data!G258,"")</f>
        <v/>
      </c>
      <c r="B259" s="164">
        <f>IF(AND(Data!R258&lt;&gt;"",Data!L258="Accepté"),Data!L258,"")</f>
        <v/>
      </c>
      <c r="C259" s="329">
        <f>IF(D259&lt;&gt;"","S"&amp;TEXT(WEEKNUM(D259),"00"),"")</f>
        <v/>
      </c>
      <c r="D259" s="330">
        <f>IF(AND(Data!Q258&lt;&gt;"",Data!L258="Accepté"),Data!Q258,"")</f>
        <v/>
      </c>
      <c r="E259" s="106">
        <f>IF(AND(Data!R258&lt;&gt;"",Data!L258="Accepté"),Data!R258,"")</f>
        <v/>
      </c>
      <c r="F259" s="1037">
        <f>IF(AND(Data!R258&lt;&gt;"",Data!L258="Accepté"),Data!S258,"")</f>
        <v/>
      </c>
      <c r="G259" s="1038">
        <f>IF(Data!R258='Delivery Plan'!E259,Data!U258,"")</f>
        <v/>
      </c>
      <c r="H259" s="327" t="n"/>
      <c r="I259" s="329">
        <f>IF(J259&lt;&gt;"","S"&amp;TEXT(WEEKNUM(J259),"00"),"")</f>
        <v/>
      </c>
      <c r="J259" s="330">
        <f>IF(AND(E259=Data!R258,Data!AA258&lt;&gt;""),Data!AA258,"")</f>
        <v/>
      </c>
      <c r="K259" s="751">
        <f>IF(AND(E259=Data!R258,Data!AE258&lt;&gt;""),Data!AE258,"")</f>
        <v/>
      </c>
      <c r="L259" s="1039">
        <f>IF(E259=Data!R260,Data!AI260,"")</f>
        <v/>
      </c>
      <c r="M259" s="1039">
        <f>IF(E259=Data!R260,Data!AJ260,"")</f>
        <v/>
      </c>
      <c r="N259">
        <f>IF(AND(Data!R260&lt;&gt;"",Data!L260="Accepté"),Data!K260,"")</f>
        <v/>
      </c>
    </row>
    <row r="260" hidden="1" s="701">
      <c r="A260" s="164">
        <f>IF(AND(Data!R259&lt;&gt;"",Data!L259="Accepté"),Data!G259,"")</f>
        <v/>
      </c>
      <c r="B260" s="164">
        <f>IF(AND(Data!R259&lt;&gt;"",Data!L259="Accepté"),Data!L259,"")</f>
        <v/>
      </c>
      <c r="C260" s="329">
        <f>IF(D260&lt;&gt;"","S"&amp;TEXT(WEEKNUM(D260),"00"),"")</f>
        <v/>
      </c>
      <c r="D260" s="330">
        <f>IF(AND(Data!Q259&lt;&gt;"",Data!L259="Accepté"),Data!Q259,"")</f>
        <v/>
      </c>
      <c r="E260" s="106">
        <f>IF(AND(Data!R259&lt;&gt;"",Data!L259="Accepté"),Data!R259,"")</f>
        <v/>
      </c>
      <c r="F260" s="1037">
        <f>IF(AND(Data!R259&lt;&gt;"",Data!L259="Accepté"),Data!S259,"")</f>
        <v/>
      </c>
      <c r="G260" s="1038">
        <f>IF(Data!R259='Delivery Plan'!E260,Data!U259,"")</f>
        <v/>
      </c>
      <c r="H260" s="327" t="n"/>
      <c r="I260" s="329">
        <f>IF(J260&lt;&gt;"","S"&amp;TEXT(WEEKNUM(J260),"00"),"")</f>
        <v/>
      </c>
      <c r="J260" s="330">
        <f>IF(AND(E260=Data!R259,Data!AA259&lt;&gt;""),Data!AA259,"")</f>
        <v/>
      </c>
      <c r="K260" s="751">
        <f>IF(AND(E260=Data!R259,Data!AE259&lt;&gt;""),Data!AE259,"")</f>
        <v/>
      </c>
      <c r="L260" s="1039">
        <f>IF(E260=Data!R261,Data!AI261,"")</f>
        <v/>
      </c>
      <c r="M260" s="1039">
        <f>IF(E260=Data!R261,Data!AJ261,"")</f>
        <v/>
      </c>
      <c r="N260">
        <f>IF(AND(Data!R261&lt;&gt;"",Data!L261="Accepté"),Data!K261,"")</f>
        <v/>
      </c>
    </row>
    <row r="261" hidden="1" s="701">
      <c r="A261" s="164">
        <f>IF(AND(Data!R260&lt;&gt;"",Data!L260="Accepté"),Data!G260,"")</f>
        <v/>
      </c>
      <c r="B261" s="164">
        <f>IF(AND(Data!R260&lt;&gt;"",Data!L260="Accepté"),Data!L260,"")</f>
        <v/>
      </c>
      <c r="C261" s="329">
        <f>IF(D261&lt;&gt;"","S"&amp;TEXT(WEEKNUM(D261),"00"),"")</f>
        <v/>
      </c>
      <c r="D261" s="330">
        <f>IF(AND(Data!Q260&lt;&gt;"",Data!L260="Accepté"),Data!Q260,"")</f>
        <v/>
      </c>
      <c r="E261" s="106">
        <f>IF(AND(Data!R260&lt;&gt;"",Data!L260="Accepté"),Data!R260,"")</f>
        <v/>
      </c>
      <c r="F261" s="1037">
        <f>IF(AND(Data!R260&lt;&gt;"",Data!L260="Accepté"),Data!S260,"")</f>
        <v/>
      </c>
      <c r="G261" s="1038">
        <f>IF(Data!R260='Delivery Plan'!E261,Data!U260,"")</f>
        <v/>
      </c>
      <c r="H261" s="327" t="n"/>
      <c r="I261" s="329">
        <f>IF(J261&lt;&gt;"","S"&amp;TEXT(WEEKNUM(J261),"00"),"")</f>
        <v/>
      </c>
      <c r="J261" s="330">
        <f>IF(AND(E261=Data!R260,Data!AA260&lt;&gt;""),Data!AA260,"")</f>
        <v/>
      </c>
      <c r="K261" s="751">
        <f>IF(AND(E261=Data!R260,Data!AE260&lt;&gt;""),Data!AE260,"")</f>
        <v/>
      </c>
      <c r="L261" s="1039">
        <f>IF(E261=Data!R262,Data!AI262,"")</f>
        <v/>
      </c>
      <c r="M261" s="1039">
        <f>IF(E261=Data!R262,Data!AJ262,"")</f>
        <v/>
      </c>
      <c r="N261">
        <f>IF(AND(Data!R262&lt;&gt;"",Data!L262="Accepté"),Data!K262,"")</f>
        <v/>
      </c>
    </row>
    <row r="262" hidden="1" s="701">
      <c r="A262" s="164">
        <f>IF(AND(Data!R261&lt;&gt;"",Data!L261="Accepté"),Data!G261,"")</f>
        <v/>
      </c>
      <c r="B262" s="164">
        <f>IF(AND(Data!R261&lt;&gt;"",Data!L261="Accepté"),Data!L261,"")</f>
        <v/>
      </c>
      <c r="C262" s="329">
        <f>IF(D262&lt;&gt;"","S"&amp;TEXT(WEEKNUM(D262),"00"),"")</f>
        <v/>
      </c>
      <c r="D262" s="330">
        <f>IF(AND(Data!Q261&lt;&gt;"",Data!L261="Accepté"),Data!Q261,"")</f>
        <v/>
      </c>
      <c r="E262" s="106">
        <f>IF(AND(Data!R261&lt;&gt;"",Data!L261="Accepté"),Data!R261,"")</f>
        <v/>
      </c>
      <c r="F262" s="1037">
        <f>IF(AND(Data!R261&lt;&gt;"",Data!L261="Accepté"),Data!S261,"")</f>
        <v/>
      </c>
      <c r="G262" s="1038">
        <f>IF(Data!R261='Delivery Plan'!E262,Data!U261,"")</f>
        <v/>
      </c>
      <c r="H262" s="327" t="n"/>
      <c r="I262" s="329">
        <f>IF(J262&lt;&gt;"","S"&amp;TEXT(WEEKNUM(J262),"00"),"")</f>
        <v/>
      </c>
      <c r="J262" s="330">
        <f>IF(AND(E262=Data!R261,Data!AA261&lt;&gt;""),Data!AA261,"")</f>
        <v/>
      </c>
      <c r="K262" s="751">
        <f>IF(AND(E262=Data!R261,Data!AE261&lt;&gt;""),Data!AE261,"")</f>
        <v/>
      </c>
      <c r="L262" s="1039">
        <f>IF(E262=Data!R263,Data!AI263,"")</f>
        <v/>
      </c>
      <c r="M262" s="1039">
        <f>IF(E262=Data!R263,Data!AJ263,"")</f>
        <v/>
      </c>
      <c r="N262">
        <f>IF(AND(Data!R263&lt;&gt;"",Data!L263="Accepté"),Data!K263,"")</f>
        <v/>
      </c>
    </row>
    <row r="263" hidden="1" s="701">
      <c r="A263" s="164">
        <f>IF(AND(Data!R262&lt;&gt;"",Data!L262="Accepté"),Data!G262,"")</f>
        <v/>
      </c>
      <c r="B263" s="164">
        <f>IF(AND(Data!R262&lt;&gt;"",Data!L262="Accepté"),Data!L262,"")</f>
        <v/>
      </c>
      <c r="C263" s="329">
        <f>IF(D263&lt;&gt;"","S"&amp;TEXT(WEEKNUM(D263),"00"),"")</f>
        <v/>
      </c>
      <c r="D263" s="330">
        <f>IF(AND(Data!Q262&lt;&gt;"",Data!L262="Accepté"),Data!Q262,"")</f>
        <v/>
      </c>
      <c r="E263" s="106">
        <f>IF(AND(Data!R262&lt;&gt;"",Data!L262="Accepté"),Data!R262,"")</f>
        <v/>
      </c>
      <c r="F263" s="1037">
        <f>IF(AND(Data!R262&lt;&gt;"",Data!L262="Accepté"),Data!S262,"")</f>
        <v/>
      </c>
      <c r="G263" s="1038">
        <f>IF(Data!R262='Delivery Plan'!E263,Data!U262,"")</f>
        <v/>
      </c>
      <c r="H263" s="327" t="n"/>
      <c r="I263" s="329">
        <f>IF(J263&lt;&gt;"","S"&amp;TEXT(WEEKNUM(J263),"00"),"")</f>
        <v/>
      </c>
      <c r="J263" s="330">
        <f>IF(AND(E263=Data!R262,Data!AA262&lt;&gt;""),Data!AA262,"")</f>
        <v/>
      </c>
      <c r="K263" s="751">
        <f>IF(AND(E263=Data!R262,Data!AE262&lt;&gt;""),Data!AE262,"")</f>
        <v/>
      </c>
      <c r="L263" s="1039">
        <f>IF(E263=Data!R264,Data!AI264,"")</f>
        <v/>
      </c>
      <c r="M263" s="1039">
        <f>IF(E263=Data!R264,Data!AJ264,"")</f>
        <v/>
      </c>
      <c r="N263">
        <f>IF(AND(Data!R264&lt;&gt;"",Data!L264="Accepté"),Data!K264,"")</f>
        <v/>
      </c>
    </row>
    <row r="264" hidden="1" s="701">
      <c r="A264" s="164">
        <f>IF(AND(Data!R263&lt;&gt;"",Data!L263="Accepté"),Data!G263,"")</f>
        <v/>
      </c>
      <c r="B264" s="164">
        <f>IF(AND(Data!R263&lt;&gt;"",Data!L263="Accepté"),Data!L263,"")</f>
        <v/>
      </c>
      <c r="C264" s="329">
        <f>IF(D264&lt;&gt;"","S"&amp;TEXT(WEEKNUM(D264),"00"),"")</f>
        <v/>
      </c>
      <c r="D264" s="330">
        <f>IF(AND(Data!Q263&lt;&gt;"",Data!L263="Accepté"),Data!Q263,"")</f>
        <v/>
      </c>
      <c r="E264" s="106">
        <f>IF(AND(Data!R263&lt;&gt;"",Data!L263="Accepté"),Data!R263,"")</f>
        <v/>
      </c>
      <c r="F264" s="1037">
        <f>IF(AND(Data!R263&lt;&gt;"",Data!L263="Accepté"),Data!S263,"")</f>
        <v/>
      </c>
      <c r="G264" s="1038">
        <f>IF(Data!R263='Delivery Plan'!E264,Data!U263,"")</f>
        <v/>
      </c>
      <c r="H264" s="327" t="n"/>
      <c r="I264" s="329">
        <f>IF(J264&lt;&gt;"","S"&amp;TEXT(WEEKNUM(J264),"00"),"")</f>
        <v/>
      </c>
      <c r="J264" s="330">
        <f>IF(AND(E264=Data!R263,Data!AA263&lt;&gt;""),Data!AA263,"")</f>
        <v/>
      </c>
      <c r="K264" s="751">
        <f>IF(AND(E264=Data!R263,Data!AE263&lt;&gt;""),Data!AE263,"")</f>
        <v/>
      </c>
      <c r="L264" s="1039">
        <f>IF(E264=Data!R265,Data!AI265,"")</f>
        <v/>
      </c>
      <c r="M264" s="1039">
        <f>IF(E264=Data!R265,Data!AJ265,"")</f>
        <v/>
      </c>
      <c r="N264">
        <f>IF(AND(Data!R265&lt;&gt;"",Data!L265="Accepté"),Data!K265,"")</f>
        <v/>
      </c>
    </row>
    <row r="265" hidden="1" s="701">
      <c r="A265" s="164">
        <f>IF(AND(Data!R264&lt;&gt;"",Data!L264="Accepté"),Data!G264,"")</f>
        <v/>
      </c>
      <c r="B265" s="164">
        <f>IF(AND(Data!R264&lt;&gt;"",Data!L264="Accepté"),Data!L264,"")</f>
        <v/>
      </c>
      <c r="C265" s="329">
        <f>IF(D265&lt;&gt;"","S"&amp;TEXT(WEEKNUM(D265),"00"),"")</f>
        <v/>
      </c>
      <c r="D265" s="330">
        <f>IF(AND(Data!Q264&lt;&gt;"",Data!L264="Accepté"),Data!Q264,"")</f>
        <v/>
      </c>
      <c r="E265" s="106">
        <f>IF(AND(Data!R264&lt;&gt;"",Data!L264="Accepté"),Data!R264,"")</f>
        <v/>
      </c>
      <c r="F265" s="1037">
        <f>IF(AND(Data!R264&lt;&gt;"",Data!L264="Accepté"),Data!S264,"")</f>
        <v/>
      </c>
      <c r="G265" s="1038">
        <f>IF(Data!R264='Delivery Plan'!E265,Data!U264,"")</f>
        <v/>
      </c>
      <c r="H265" s="327" t="n"/>
      <c r="I265" s="329">
        <f>IF(J265&lt;&gt;"","S"&amp;TEXT(WEEKNUM(J265),"00"),"")</f>
        <v/>
      </c>
      <c r="J265" s="330">
        <f>IF(AND(E265=Data!R264,Data!AA264&lt;&gt;""),Data!AA264,"")</f>
        <v/>
      </c>
      <c r="K265" s="751">
        <f>IF(AND(E265=Data!R264,Data!AE264&lt;&gt;""),Data!AE264,"")</f>
        <v/>
      </c>
      <c r="L265" s="1039">
        <f>IF(E265=Data!R266,Data!AI266,"")</f>
        <v/>
      </c>
      <c r="M265" s="1039">
        <f>IF(E265=Data!R266,Data!AJ266,"")</f>
        <v/>
      </c>
      <c r="N265">
        <f>IF(AND(Data!R266&lt;&gt;"",Data!L266="Accepté"),Data!K266,"")</f>
        <v/>
      </c>
    </row>
    <row r="266" hidden="1" s="701">
      <c r="A266" s="164">
        <f>IF(AND(Data!R265&lt;&gt;"",Data!L265="Accepté"),Data!G265,"")</f>
        <v/>
      </c>
      <c r="B266" s="164">
        <f>IF(AND(Data!R265&lt;&gt;"",Data!L265="Accepté"),Data!L265,"")</f>
        <v/>
      </c>
      <c r="C266" s="329">
        <f>IF(D266&lt;&gt;"","S"&amp;TEXT(WEEKNUM(D266),"00"),"")</f>
        <v/>
      </c>
      <c r="D266" s="330">
        <f>IF(AND(Data!Q265&lt;&gt;"",Data!L265="Accepté"),Data!Q265,"")</f>
        <v/>
      </c>
      <c r="E266" s="106">
        <f>IF(AND(Data!R265&lt;&gt;"",Data!L265="Accepté"),Data!R265,"")</f>
        <v/>
      </c>
      <c r="F266" s="1037">
        <f>IF(AND(Data!R265&lt;&gt;"",Data!L265="Accepté"),Data!S265,"")</f>
        <v/>
      </c>
      <c r="G266" s="1038">
        <f>IF(Data!R265='Delivery Plan'!E266,Data!U265,"")</f>
        <v/>
      </c>
      <c r="H266" s="327" t="n"/>
      <c r="I266" s="329">
        <f>IF(J266&lt;&gt;"","S"&amp;TEXT(WEEKNUM(J266),"00"),"")</f>
        <v/>
      </c>
      <c r="J266" s="330">
        <f>IF(AND(E266=Data!R265,Data!AA265&lt;&gt;""),Data!AA265,"")</f>
        <v/>
      </c>
      <c r="K266" s="751">
        <f>IF(AND(E266=Data!R265,Data!AE265&lt;&gt;""),Data!AE265,"")</f>
        <v/>
      </c>
      <c r="L266" s="1039">
        <f>IF(E266=Data!R267,Data!AI267,"")</f>
        <v/>
      </c>
      <c r="M266" s="1039">
        <f>IF(E266=Data!R267,Data!AJ267,"")</f>
        <v/>
      </c>
      <c r="N266">
        <f>IF(AND(Data!R267&lt;&gt;"",Data!L267="Accepté"),Data!K267,"")</f>
        <v/>
      </c>
    </row>
    <row r="267" hidden="1" s="701">
      <c r="A267" s="164">
        <f>IF(AND(Data!R266&lt;&gt;"",Data!L266="Accepté"),Data!G266,"")</f>
        <v/>
      </c>
      <c r="B267" s="164">
        <f>IF(AND(Data!R266&lt;&gt;"",Data!L266="Accepté"),Data!L266,"")</f>
        <v/>
      </c>
      <c r="C267" s="329">
        <f>IF(D267&lt;&gt;"","S"&amp;TEXT(WEEKNUM(D267),"00"),"")</f>
        <v/>
      </c>
      <c r="D267" s="330">
        <f>IF(AND(Data!Q266&lt;&gt;"",Data!L266="Accepté"),Data!Q266,"")</f>
        <v/>
      </c>
      <c r="E267" s="106">
        <f>IF(AND(Data!R266&lt;&gt;"",Data!L266="Accepté"),Data!R266,"")</f>
        <v/>
      </c>
      <c r="F267" s="1037">
        <f>IF(AND(Data!R266&lt;&gt;"",Data!L266="Accepté"),Data!S266,"")</f>
        <v/>
      </c>
      <c r="G267" s="1038">
        <f>IF(Data!R266='Delivery Plan'!E267,Data!U266,"")</f>
        <v/>
      </c>
      <c r="H267" s="327" t="n"/>
      <c r="I267" s="329">
        <f>IF(J267&lt;&gt;"","S"&amp;TEXT(WEEKNUM(J267),"00"),"")</f>
        <v/>
      </c>
      <c r="J267" s="330">
        <f>IF(AND(E267=Data!R266,Data!AA266&lt;&gt;""),Data!AA266,"")</f>
        <v/>
      </c>
      <c r="K267" s="751">
        <f>IF(AND(E267=Data!R266,Data!AE266&lt;&gt;""),Data!AE266,"")</f>
        <v/>
      </c>
      <c r="L267" s="1039">
        <f>IF(E267=Data!R268,Data!AI268,"")</f>
        <v/>
      </c>
      <c r="M267" s="1039">
        <f>IF(E267=Data!R268,Data!AJ268,"")</f>
        <v/>
      </c>
      <c r="N267">
        <f>IF(AND(Data!R268&lt;&gt;"",Data!L268="Accepté"),Data!K268,"")</f>
        <v/>
      </c>
    </row>
    <row r="268" hidden="1" s="701">
      <c r="A268" s="164">
        <f>IF(AND(Data!R267&lt;&gt;"",Data!L267="Accepté"),Data!G267,"")</f>
        <v/>
      </c>
      <c r="B268" s="164">
        <f>IF(AND(Data!R267&lt;&gt;"",Data!L267="Accepté"),Data!L267,"")</f>
        <v/>
      </c>
      <c r="C268" s="329">
        <f>IF(D268&lt;&gt;"","S"&amp;TEXT(WEEKNUM(D268),"00"),"")</f>
        <v/>
      </c>
      <c r="D268" s="330">
        <f>IF(AND(Data!Q267&lt;&gt;"",Data!L267="Accepté"),Data!Q267,"")</f>
        <v/>
      </c>
      <c r="E268" s="106">
        <f>IF(AND(Data!R267&lt;&gt;"",Data!L267="Accepté"),Data!R267,"")</f>
        <v/>
      </c>
      <c r="F268" s="1037">
        <f>IF(AND(Data!R267&lt;&gt;"",Data!L267="Accepté"),Data!S267,"")</f>
        <v/>
      </c>
      <c r="G268" s="1038">
        <f>IF(Data!R267='Delivery Plan'!E268,Data!U267,"")</f>
        <v/>
      </c>
      <c r="H268" s="327" t="n"/>
      <c r="I268" s="329">
        <f>IF(J268&lt;&gt;"","S"&amp;TEXT(WEEKNUM(J268),"00"),"")</f>
        <v/>
      </c>
      <c r="J268" s="330">
        <f>IF(AND(E268=Data!R267,Data!AA267&lt;&gt;""),Data!AA267,"")</f>
        <v/>
      </c>
      <c r="K268" s="751">
        <f>IF(AND(E268=Data!R267,Data!AE267&lt;&gt;""),Data!AE267,"")</f>
        <v/>
      </c>
      <c r="L268" s="1039">
        <f>IF(E268=Data!R269,Data!AI269,"")</f>
        <v/>
      </c>
      <c r="M268" s="1039">
        <f>IF(E268=Data!R269,Data!AJ269,"")</f>
        <v/>
      </c>
      <c r="N268">
        <f>IF(AND(Data!R269&lt;&gt;"",Data!L269="Accepté"),Data!K269,"")</f>
        <v/>
      </c>
    </row>
    <row r="269" hidden="1" s="701">
      <c r="A269" s="164">
        <f>IF(AND(Data!R268&lt;&gt;"",Data!L268="Accepté"),Data!G268,"")</f>
        <v/>
      </c>
      <c r="B269" s="164">
        <f>IF(AND(Data!R268&lt;&gt;"",Data!L268="Accepté"),Data!L268,"")</f>
        <v/>
      </c>
      <c r="C269" s="329">
        <f>IF(D269&lt;&gt;"","S"&amp;TEXT(WEEKNUM(D269),"00"),"")</f>
        <v/>
      </c>
      <c r="D269" s="330">
        <f>IF(AND(Data!Q268&lt;&gt;"",Data!L268="Accepté"),Data!Q268,"")</f>
        <v/>
      </c>
      <c r="E269" s="106">
        <f>IF(AND(Data!R268&lt;&gt;"",Data!L268="Accepté"),Data!R268,"")</f>
        <v/>
      </c>
      <c r="F269" s="1037">
        <f>IF(AND(Data!R268&lt;&gt;"",Data!L268="Accepté"),Data!S268,"")</f>
        <v/>
      </c>
      <c r="G269" s="1038">
        <f>IF(Data!R268='Delivery Plan'!E269,Data!U268,"")</f>
        <v/>
      </c>
      <c r="H269" s="327" t="n"/>
      <c r="I269" s="329">
        <f>IF(J269&lt;&gt;"","S"&amp;TEXT(WEEKNUM(J269),"00"),"")</f>
        <v/>
      </c>
      <c r="J269" s="330">
        <f>IF(AND(E269=Data!R268,Data!AA268&lt;&gt;""),Data!AA268,"")</f>
        <v/>
      </c>
      <c r="K269" s="751">
        <f>IF(AND(E269=Data!R268,Data!AE268&lt;&gt;""),Data!AE268,"")</f>
        <v/>
      </c>
      <c r="L269" s="1039">
        <f>IF(E269=Data!R270,Data!AI270,"")</f>
        <v/>
      </c>
      <c r="M269" s="1039">
        <f>IF(E269=Data!R270,Data!AJ270,"")</f>
        <v/>
      </c>
      <c r="N269">
        <f>IF(AND(Data!R270&lt;&gt;"",Data!L270="Accepté"),Data!K270,"")</f>
        <v/>
      </c>
    </row>
    <row r="270" hidden="1" s="701">
      <c r="A270" s="164">
        <f>IF(AND(Data!R269&lt;&gt;"",Data!L269="Accepté"),Data!G269,"")</f>
        <v/>
      </c>
      <c r="B270" s="164">
        <f>IF(AND(Data!R269&lt;&gt;"",Data!L269="Accepté"),Data!L269,"")</f>
        <v/>
      </c>
      <c r="C270" s="329">
        <f>IF(D270&lt;&gt;"","S"&amp;TEXT(WEEKNUM(D270),"00"),"")</f>
        <v/>
      </c>
      <c r="D270" s="330">
        <f>IF(AND(Data!Q269&lt;&gt;"",Data!L269="Accepté"),Data!Q269,"")</f>
        <v/>
      </c>
      <c r="E270" s="106">
        <f>IF(AND(Data!R269&lt;&gt;"",Data!L269="Accepté"),Data!R269,"")</f>
        <v/>
      </c>
      <c r="F270" s="1037">
        <f>IF(AND(Data!R269&lt;&gt;"",Data!L269="Accepté"),Data!S269,"")</f>
        <v/>
      </c>
      <c r="G270" s="1038">
        <f>IF(Data!R269='Delivery Plan'!E270,Data!U269,"")</f>
        <v/>
      </c>
      <c r="H270" s="327" t="n"/>
      <c r="I270" s="329">
        <f>IF(J270&lt;&gt;"","S"&amp;TEXT(WEEKNUM(J270),"00"),"")</f>
        <v/>
      </c>
      <c r="J270" s="330">
        <f>IF(AND(E270=Data!R269,Data!AA269&lt;&gt;""),Data!AA269,"")</f>
        <v/>
      </c>
      <c r="K270" s="751">
        <f>IF(AND(E270=Data!R269,Data!AE269&lt;&gt;""),Data!AE269,"")</f>
        <v/>
      </c>
      <c r="L270" s="1039">
        <f>IF(E270=Data!R271,Data!AI271,"")</f>
        <v/>
      </c>
      <c r="M270" s="1039">
        <f>IF(E270=Data!R271,Data!AJ271,"")</f>
        <v/>
      </c>
      <c r="N270">
        <f>IF(AND(Data!R271&lt;&gt;"",Data!L271="Accepté"),Data!K271,"")</f>
        <v/>
      </c>
    </row>
    <row r="271" hidden="1" s="701">
      <c r="A271" s="164">
        <f>IF(AND(Data!R270&lt;&gt;"",Data!L270="Accepté"),Data!G270,"")</f>
        <v/>
      </c>
      <c r="B271" s="164">
        <f>IF(AND(Data!R270&lt;&gt;"",Data!L270="Accepté"),Data!L270,"")</f>
        <v/>
      </c>
      <c r="C271" s="329">
        <f>IF(D271&lt;&gt;"","S"&amp;TEXT(WEEKNUM(D271),"00"),"")</f>
        <v/>
      </c>
      <c r="D271" s="330">
        <f>IF(AND(Data!Q270&lt;&gt;"",Data!L270="Accepté"),Data!Q270,"")</f>
        <v/>
      </c>
      <c r="E271" s="106">
        <f>IF(AND(Data!R270&lt;&gt;"",Data!L270="Accepté"),Data!R270,"")</f>
        <v/>
      </c>
      <c r="F271" s="1037">
        <f>IF(AND(Data!R270&lt;&gt;"",Data!L270="Accepté"),Data!S270,"")</f>
        <v/>
      </c>
      <c r="G271" s="1038">
        <f>IF(Data!R270='Delivery Plan'!E271,Data!U270,"")</f>
        <v/>
      </c>
      <c r="H271" s="327" t="n"/>
      <c r="I271" s="329">
        <f>IF(J271&lt;&gt;"","S"&amp;TEXT(WEEKNUM(J271),"00"),"")</f>
        <v/>
      </c>
      <c r="J271" s="330">
        <f>IF(AND(E271=Data!R270,Data!AA270&lt;&gt;""),Data!AA270,"")</f>
        <v/>
      </c>
      <c r="K271" s="751">
        <f>IF(AND(E271=Data!R270,Data!AE270&lt;&gt;""),Data!AE270,"")</f>
        <v/>
      </c>
      <c r="L271" s="1039">
        <f>IF(E271=Data!R272,Data!AI272,"")</f>
        <v/>
      </c>
      <c r="M271" s="1039">
        <f>IF(E271=Data!R272,Data!AJ272,"")</f>
        <v/>
      </c>
      <c r="N271">
        <f>IF(AND(Data!R272&lt;&gt;"",Data!L272="Accepté"),Data!K272,"")</f>
        <v/>
      </c>
    </row>
    <row r="272" hidden="1" s="701">
      <c r="A272" s="164">
        <f>IF(AND(Data!R271&lt;&gt;"",Data!L271="Accepté"),Data!G271,"")</f>
        <v/>
      </c>
      <c r="B272" s="164">
        <f>IF(AND(Data!R271&lt;&gt;"",Data!L271="Accepté"),Data!L271,"")</f>
        <v/>
      </c>
      <c r="C272" s="329">
        <f>IF(D272&lt;&gt;"","S"&amp;TEXT(WEEKNUM(D272),"00"),"")</f>
        <v/>
      </c>
      <c r="D272" s="330">
        <f>IF(AND(Data!Q271&lt;&gt;"",Data!L271="Accepté"),Data!Q271,"")</f>
        <v/>
      </c>
      <c r="E272" s="106">
        <f>IF(AND(Data!R271&lt;&gt;"",Data!L271="Accepté"),Data!R271,"")</f>
        <v/>
      </c>
      <c r="F272" s="1037">
        <f>IF(AND(Data!R271&lt;&gt;"",Data!L271="Accepté"),Data!S271,"")</f>
        <v/>
      </c>
      <c r="G272" s="1038">
        <f>IF(Data!R271='Delivery Plan'!E272,Data!U271,"")</f>
        <v/>
      </c>
      <c r="H272" s="327" t="n"/>
      <c r="I272" s="329">
        <f>IF(J272&lt;&gt;"","S"&amp;TEXT(WEEKNUM(J272),"00"),"")</f>
        <v/>
      </c>
      <c r="J272" s="330">
        <f>IF(AND(E272=Data!R271,Data!AA271&lt;&gt;""),Data!AA271,"")</f>
        <v/>
      </c>
      <c r="K272" s="751">
        <f>IF(AND(E272=Data!R271,Data!AE271&lt;&gt;""),Data!AE271,"")</f>
        <v/>
      </c>
      <c r="L272" s="1039">
        <f>IF(E272=Data!R273,Data!AI273,"")</f>
        <v/>
      </c>
      <c r="M272" s="1039">
        <f>IF(E272=Data!R273,Data!AJ273,"")</f>
        <v/>
      </c>
      <c r="N272">
        <f>IF(AND(Data!R273&lt;&gt;"",Data!L273="Accepté"),Data!K273,"")</f>
        <v/>
      </c>
    </row>
    <row r="273" hidden="1" s="701">
      <c r="A273" s="164">
        <f>IF(AND(Data!R272&lt;&gt;"",Data!L272="Accepté"),Data!G272,"")</f>
        <v/>
      </c>
      <c r="B273" s="164">
        <f>IF(AND(Data!R272&lt;&gt;"",Data!L272="Accepté"),Data!L272,"")</f>
        <v/>
      </c>
      <c r="C273" s="329">
        <f>IF(D273&lt;&gt;"","S"&amp;TEXT(WEEKNUM(D273),"00"),"")</f>
        <v/>
      </c>
      <c r="D273" s="330">
        <f>IF(AND(Data!Q272&lt;&gt;"",Data!L272="Accepté"),Data!Q272,"")</f>
        <v/>
      </c>
      <c r="E273" s="106">
        <f>IF(AND(Data!R272&lt;&gt;"",Data!L272="Accepté"),Data!R272,"")</f>
        <v/>
      </c>
      <c r="F273" s="1037">
        <f>IF(AND(Data!R272&lt;&gt;"",Data!L272="Accepté"),Data!S272,"")</f>
        <v/>
      </c>
      <c r="G273" s="1038">
        <f>IF(Data!R272='Delivery Plan'!E273,Data!U272,"")</f>
        <v/>
      </c>
      <c r="H273" s="327" t="n"/>
      <c r="I273" s="329">
        <f>IF(J273&lt;&gt;"","S"&amp;TEXT(WEEKNUM(J273),"00"),"")</f>
        <v/>
      </c>
      <c r="J273" s="330">
        <f>IF(AND(E273=Data!R272,Data!AA272&lt;&gt;""),Data!AA272,"")</f>
        <v/>
      </c>
      <c r="K273" s="751">
        <f>IF(AND(E273=Data!R272,Data!AE272&lt;&gt;""),Data!AE272,"")</f>
        <v/>
      </c>
      <c r="L273" s="1039">
        <f>IF(E273=Data!R274,Data!AI274,"")</f>
        <v/>
      </c>
      <c r="M273" s="1039">
        <f>IF(E273=Data!R274,Data!AJ274,"")</f>
        <v/>
      </c>
      <c r="N273">
        <f>IF(AND(Data!R274&lt;&gt;"",Data!L274="Accepté"),Data!K274,"")</f>
        <v/>
      </c>
    </row>
    <row r="274" hidden="1" s="701">
      <c r="A274" s="164">
        <f>IF(AND(Data!R273&lt;&gt;"",Data!L273="Accepté"),Data!G273,"")</f>
        <v/>
      </c>
      <c r="B274" s="164">
        <f>IF(AND(Data!R273&lt;&gt;"",Data!L273="Accepté"),Data!L273,"")</f>
        <v/>
      </c>
      <c r="C274" s="329">
        <f>IF(D274&lt;&gt;"","S"&amp;TEXT(WEEKNUM(D274),"00"),"")</f>
        <v/>
      </c>
      <c r="D274" s="330">
        <f>IF(AND(Data!Q273&lt;&gt;"",Data!L273="Accepté"),Data!Q273,"")</f>
        <v/>
      </c>
      <c r="E274" s="106">
        <f>IF(AND(Data!R273&lt;&gt;"",Data!L273="Accepté"),Data!R273,"")</f>
        <v/>
      </c>
      <c r="F274" s="1037">
        <f>IF(AND(Data!R273&lt;&gt;"",Data!L273="Accepté"),Data!S273,"")</f>
        <v/>
      </c>
      <c r="G274" s="1038">
        <f>IF(Data!R273='Delivery Plan'!E274,Data!U273,"")</f>
        <v/>
      </c>
      <c r="H274" s="327" t="n"/>
      <c r="I274" s="329">
        <f>IF(J274&lt;&gt;"","S"&amp;TEXT(WEEKNUM(J274),"00"),"")</f>
        <v/>
      </c>
      <c r="J274" s="330">
        <f>IF(AND(E274=Data!R273,Data!AA273&lt;&gt;""),Data!AA273,"")</f>
        <v/>
      </c>
      <c r="K274" s="751">
        <f>IF(AND(E274=Data!R273,Data!AE273&lt;&gt;""),Data!AE273,"")</f>
        <v/>
      </c>
      <c r="L274" s="1039">
        <f>IF(E274=Data!R275,Data!AI275,"")</f>
        <v/>
      </c>
      <c r="M274" s="1039">
        <f>IF(E274=Data!R275,Data!AJ275,"")</f>
        <v/>
      </c>
      <c r="N274">
        <f>IF(AND(Data!R275&lt;&gt;"",Data!L275="Accepté"),Data!K275,"")</f>
        <v/>
      </c>
    </row>
    <row r="275" hidden="1" s="701">
      <c r="A275" s="164">
        <f>IF(AND(Data!R274&lt;&gt;"",Data!L274="Accepté"),Data!G274,"")</f>
        <v/>
      </c>
      <c r="B275" s="164">
        <f>IF(AND(Data!R274&lt;&gt;"",Data!L274="Accepté"),Data!L274,"")</f>
        <v/>
      </c>
      <c r="C275" s="329">
        <f>IF(D275&lt;&gt;"","S"&amp;TEXT(WEEKNUM(D275),"00"),"")</f>
        <v/>
      </c>
      <c r="D275" s="330">
        <f>IF(AND(Data!Q274&lt;&gt;"",Data!L274="Accepté"),Data!Q274,"")</f>
        <v/>
      </c>
      <c r="E275" s="106">
        <f>IF(AND(Data!R274&lt;&gt;"",Data!L274="Accepté"),Data!R274,"")</f>
        <v/>
      </c>
      <c r="F275" s="1037">
        <f>IF(AND(Data!R274&lt;&gt;"",Data!L274="Accepté"),Data!S274,"")</f>
        <v/>
      </c>
      <c r="G275" s="1038">
        <f>IF(Data!R274='Delivery Plan'!E275,Data!U274,"")</f>
        <v/>
      </c>
      <c r="H275" s="327" t="n"/>
      <c r="I275" s="329">
        <f>IF(J275&lt;&gt;"","S"&amp;TEXT(WEEKNUM(J275),"00"),"")</f>
        <v/>
      </c>
      <c r="J275" s="330">
        <f>IF(AND(E275=Data!R274,Data!AA274&lt;&gt;""),Data!AA274,"")</f>
        <v/>
      </c>
      <c r="K275" s="751">
        <f>IF(AND(E275=Data!R274,Data!AE274&lt;&gt;""),Data!AE274,"")</f>
        <v/>
      </c>
      <c r="L275" s="1039">
        <f>IF(E275=Data!R276,Data!AI276,"")</f>
        <v/>
      </c>
      <c r="M275" s="1039">
        <f>IF(E275=Data!R276,Data!AJ276,"")</f>
        <v/>
      </c>
      <c r="N275">
        <f>IF(AND(Data!R276&lt;&gt;"",Data!L276="Accepté"),Data!K276,"")</f>
        <v/>
      </c>
    </row>
    <row r="276" hidden="1" s="701">
      <c r="A276" s="164">
        <f>IF(AND(Data!R275&lt;&gt;"",Data!L275="Accepté"),Data!G275,"")</f>
        <v/>
      </c>
      <c r="B276" s="164">
        <f>IF(AND(Data!R275&lt;&gt;"",Data!L275="Accepté"),Data!L275,"")</f>
        <v/>
      </c>
      <c r="C276" s="329">
        <f>IF(D276&lt;&gt;"","S"&amp;TEXT(WEEKNUM(D276),"00"),"")</f>
        <v/>
      </c>
      <c r="D276" s="330">
        <f>IF(AND(Data!Q275&lt;&gt;"",Data!L275="Accepté"),Data!Q275,"")</f>
        <v/>
      </c>
      <c r="E276" s="106">
        <f>IF(AND(Data!R275&lt;&gt;"",Data!L275="Accepté"),Data!R275,"")</f>
        <v/>
      </c>
      <c r="F276" s="1037">
        <f>IF(AND(Data!R275&lt;&gt;"",Data!L275="Accepté"),Data!S275,"")</f>
        <v/>
      </c>
      <c r="G276" s="1038">
        <f>IF(Data!R275='Delivery Plan'!E276,Data!U275,"")</f>
        <v/>
      </c>
      <c r="H276" s="327" t="n"/>
      <c r="I276" s="329">
        <f>IF(J276&lt;&gt;"","S"&amp;TEXT(WEEKNUM(J276),"00"),"")</f>
        <v/>
      </c>
      <c r="J276" s="330">
        <f>IF(AND(E276=Data!R275,Data!AA275&lt;&gt;""),Data!AA275,"")</f>
        <v/>
      </c>
      <c r="K276" s="751">
        <f>IF(AND(E276=Data!R275,Data!AE275&lt;&gt;""),Data!AE275,"")</f>
        <v/>
      </c>
      <c r="L276" s="1039">
        <f>IF(E276=Data!R277,Data!AI277,"")</f>
        <v/>
      </c>
      <c r="M276" s="1039">
        <f>IF(E276=Data!R277,Data!AJ277,"")</f>
        <v/>
      </c>
      <c r="N276">
        <f>IF(AND(Data!R277&lt;&gt;"",Data!L277="Accepté"),Data!K277,"")</f>
        <v/>
      </c>
    </row>
    <row r="277" hidden="1" s="701">
      <c r="A277" s="164">
        <f>IF(AND(Data!R276&lt;&gt;"",Data!L276="Accepté"),Data!G276,"")</f>
        <v/>
      </c>
      <c r="B277" s="164">
        <f>IF(AND(Data!R276&lt;&gt;"",Data!L276="Accepté"),Data!L276,"")</f>
        <v/>
      </c>
      <c r="C277" s="329">
        <f>IF(D277&lt;&gt;"","S"&amp;TEXT(WEEKNUM(D277),"00"),"")</f>
        <v/>
      </c>
      <c r="D277" s="330">
        <f>IF(AND(Data!Q276&lt;&gt;"",Data!L276="Accepté"),Data!Q276,"")</f>
        <v/>
      </c>
      <c r="E277" s="106">
        <f>IF(AND(Data!R276&lt;&gt;"",Data!L276="Accepté"),Data!R276,"")</f>
        <v/>
      </c>
      <c r="F277" s="1037">
        <f>IF(AND(Data!R276&lt;&gt;"",Data!L276="Accepté"),Data!S276,"")</f>
        <v/>
      </c>
      <c r="G277" s="1038">
        <f>IF(Data!R276='Delivery Plan'!E277,Data!U276,"")</f>
        <v/>
      </c>
      <c r="H277" s="327" t="n"/>
      <c r="I277" s="329">
        <f>IF(J277&lt;&gt;"","S"&amp;TEXT(WEEKNUM(J277),"00"),"")</f>
        <v/>
      </c>
      <c r="J277" s="330">
        <f>IF(AND(E277=Data!R276,Data!AA276&lt;&gt;""),Data!AA276,"")</f>
        <v/>
      </c>
      <c r="K277" s="751">
        <f>IF(AND(E277=Data!R276,Data!AE276&lt;&gt;""),Data!AE276,"")</f>
        <v/>
      </c>
      <c r="L277" s="1039">
        <f>IF(E277=Data!R278,Data!AI278,"")</f>
        <v/>
      </c>
      <c r="M277" s="1039">
        <f>IF(E277=Data!R278,Data!AJ278,"")</f>
        <v/>
      </c>
      <c r="N277">
        <f>IF(AND(Data!R278&lt;&gt;"",Data!L278="Accepté"),Data!K278,"")</f>
        <v/>
      </c>
    </row>
    <row r="278" hidden="1" s="701">
      <c r="A278" s="164">
        <f>IF(AND(Data!R277&lt;&gt;"",Data!L277="Accepté"),Data!G277,"")</f>
        <v/>
      </c>
      <c r="B278" s="164">
        <f>IF(AND(Data!R277&lt;&gt;"",Data!L277="Accepté"),Data!L277,"")</f>
        <v/>
      </c>
      <c r="C278" s="329">
        <f>IF(D278&lt;&gt;"","S"&amp;TEXT(WEEKNUM(D278),"00"),"")</f>
        <v/>
      </c>
      <c r="D278" s="330">
        <f>IF(AND(Data!Q277&lt;&gt;"",Data!L277="Accepté"),Data!Q277,"")</f>
        <v/>
      </c>
      <c r="E278" s="106">
        <f>IF(AND(Data!R277&lt;&gt;"",Data!L277="Accepté"),Data!R277,"")</f>
        <v/>
      </c>
      <c r="F278" s="1037">
        <f>IF(AND(Data!R277&lt;&gt;"",Data!L277="Accepté"),Data!S277,"")</f>
        <v/>
      </c>
      <c r="G278" s="1038">
        <f>IF(Data!R277='Delivery Plan'!E278,Data!U277,"")</f>
        <v/>
      </c>
      <c r="H278" s="327" t="n"/>
      <c r="I278" s="329">
        <f>IF(J278&lt;&gt;"","S"&amp;TEXT(WEEKNUM(J278),"00"),"")</f>
        <v/>
      </c>
      <c r="J278" s="330">
        <f>IF(AND(E278=Data!R277,Data!AA277&lt;&gt;""),Data!AA277,"")</f>
        <v/>
      </c>
      <c r="K278" s="751">
        <f>IF(AND(E278=Data!R277,Data!AE277&lt;&gt;""),Data!AE277,"")</f>
        <v/>
      </c>
      <c r="L278" s="1039">
        <f>IF(E278=Data!R279,Data!AI279,"")</f>
        <v/>
      </c>
      <c r="M278" s="1039">
        <f>IF(E278=Data!R279,Data!AJ279,"")</f>
        <v/>
      </c>
      <c r="N278">
        <f>IF(AND(Data!R279&lt;&gt;"",Data!L279="Accepté"),Data!K279,"")</f>
        <v/>
      </c>
    </row>
    <row r="279" hidden="1" s="701">
      <c r="A279" s="164">
        <f>IF(AND(Data!R278&lt;&gt;"",Data!L278="Accepté"),Data!G278,"")</f>
        <v/>
      </c>
      <c r="B279" s="164">
        <f>IF(AND(Data!R278&lt;&gt;"",Data!L278="Accepté"),Data!L278,"")</f>
        <v/>
      </c>
      <c r="C279" s="329">
        <f>IF(D279&lt;&gt;"","S"&amp;TEXT(WEEKNUM(D279),"00"),"")</f>
        <v/>
      </c>
      <c r="D279" s="330">
        <f>IF(AND(Data!Q278&lt;&gt;"",Data!L278="Accepté"),Data!Q278,"")</f>
        <v/>
      </c>
      <c r="E279" s="106">
        <f>IF(AND(Data!R278&lt;&gt;"",Data!L278="Accepté"),Data!R278,"")</f>
        <v/>
      </c>
      <c r="F279" s="1037">
        <f>IF(AND(Data!R278&lt;&gt;"",Data!L278="Accepté"),Data!S278,"")</f>
        <v/>
      </c>
      <c r="G279" s="1038">
        <f>IF(Data!R278='Delivery Plan'!E279,Data!U278,"")</f>
        <v/>
      </c>
      <c r="H279" s="327" t="n"/>
      <c r="I279" s="329">
        <f>IF(J279&lt;&gt;"","S"&amp;TEXT(WEEKNUM(J279),"00"),"")</f>
        <v/>
      </c>
      <c r="J279" s="330">
        <f>IF(AND(E279=Data!R278,Data!AA278&lt;&gt;""),Data!AA278,"")</f>
        <v/>
      </c>
      <c r="K279" s="751">
        <f>IF(AND(E279=Data!R278,Data!AE278&lt;&gt;""),Data!AE278,"")</f>
        <v/>
      </c>
      <c r="L279" s="1039">
        <f>IF(E279=Data!R280,Data!AI280,"")</f>
        <v/>
      </c>
      <c r="M279" s="1039">
        <f>IF(E279=Data!R280,Data!AJ280,"")</f>
        <v/>
      </c>
      <c r="N279">
        <f>IF(AND(Data!R280&lt;&gt;"",Data!L280="Accepté"),Data!K280,"")</f>
        <v/>
      </c>
    </row>
    <row r="280" hidden="1" s="701">
      <c r="A280" s="164">
        <f>IF(AND(Data!R279&lt;&gt;"",Data!L279="Accepté"),Data!G279,"")</f>
        <v/>
      </c>
      <c r="B280" s="164">
        <f>IF(AND(Data!R279&lt;&gt;"",Data!L279="Accepté"),Data!L279,"")</f>
        <v/>
      </c>
      <c r="C280" s="329">
        <f>IF(D280&lt;&gt;"","S"&amp;TEXT(WEEKNUM(D280),"00"),"")</f>
        <v/>
      </c>
      <c r="D280" s="330">
        <f>IF(AND(Data!Q279&lt;&gt;"",Data!L279="Accepté"),Data!Q279,"")</f>
        <v/>
      </c>
      <c r="E280" s="106">
        <f>IF(AND(Data!R279&lt;&gt;"",Data!L279="Accepté"),Data!R279,"")</f>
        <v/>
      </c>
      <c r="F280" s="1037">
        <f>IF(AND(Data!R279&lt;&gt;"",Data!L279="Accepté"),Data!S279,"")</f>
        <v/>
      </c>
      <c r="G280" s="1038">
        <f>IF(Data!R279='Delivery Plan'!E280,Data!U279,"")</f>
        <v/>
      </c>
      <c r="H280" s="327" t="n"/>
      <c r="I280" s="329">
        <f>IF(J280&lt;&gt;"","S"&amp;TEXT(WEEKNUM(J280),"00"),"")</f>
        <v/>
      </c>
      <c r="J280" s="330">
        <f>IF(AND(E280=Data!R279,Data!AA279&lt;&gt;""),Data!AA279,"")</f>
        <v/>
      </c>
      <c r="K280" s="751">
        <f>IF(AND(E280=Data!R279,Data!AE279&lt;&gt;""),Data!AE279,"")</f>
        <v/>
      </c>
      <c r="L280" s="1039">
        <f>IF(E280=Data!R281,Data!AI281,"")</f>
        <v/>
      </c>
      <c r="M280" s="1039">
        <f>IF(E280=Data!R281,Data!AJ281,"")</f>
        <v/>
      </c>
      <c r="N280">
        <f>IF(AND(Data!R281&lt;&gt;"",Data!L281="Accepté"),Data!K281,"")</f>
        <v/>
      </c>
    </row>
    <row r="281" hidden="1" s="701">
      <c r="A281" s="164">
        <f>IF(AND(Data!R280&lt;&gt;"",Data!L280="Accepté"),Data!G280,"")</f>
        <v/>
      </c>
      <c r="B281" s="164">
        <f>IF(AND(Data!R280&lt;&gt;"",Data!L280="Accepté"),Data!L280,"")</f>
        <v/>
      </c>
      <c r="C281" s="329">
        <f>IF(D281&lt;&gt;"","S"&amp;TEXT(WEEKNUM(D281),"00"),"")</f>
        <v/>
      </c>
      <c r="D281" s="330">
        <f>IF(AND(Data!Q280&lt;&gt;"",Data!L280="Accepté"),Data!Q280,"")</f>
        <v/>
      </c>
      <c r="E281" s="106">
        <f>IF(AND(Data!R280&lt;&gt;"",Data!L280="Accepté"),Data!R280,"")</f>
        <v/>
      </c>
      <c r="F281" s="1037">
        <f>IF(AND(Data!R280&lt;&gt;"",Data!L280="Accepté"),Data!S280,"")</f>
        <v/>
      </c>
      <c r="G281" s="1038">
        <f>IF(Data!R280='Delivery Plan'!E281,Data!U280,"")</f>
        <v/>
      </c>
      <c r="H281" s="327" t="n"/>
      <c r="I281" s="329">
        <f>IF(J281&lt;&gt;"","S"&amp;TEXT(WEEKNUM(J281),"00"),"")</f>
        <v/>
      </c>
      <c r="J281" s="330">
        <f>IF(AND(E281=Data!R280,Data!AA280&lt;&gt;""),Data!AA280,"")</f>
        <v/>
      </c>
      <c r="K281" s="751">
        <f>IF(AND(E281=Data!R280,Data!AE280&lt;&gt;""),Data!AE280,"")</f>
        <v/>
      </c>
      <c r="L281" s="1039">
        <f>IF(E281=Data!R282,Data!AI282,"")</f>
        <v/>
      </c>
      <c r="M281" s="1039">
        <f>IF(E281=Data!R282,Data!AJ282,"")</f>
        <v/>
      </c>
      <c r="N281">
        <f>IF(AND(Data!R282&lt;&gt;"",Data!L282="Accepté"),Data!K282,"")</f>
        <v/>
      </c>
    </row>
    <row r="282" hidden="1" s="701">
      <c r="A282" s="164">
        <f>IF(AND(Data!R281&lt;&gt;"",Data!L281="Accepté"),Data!G281,"")</f>
        <v/>
      </c>
      <c r="B282" s="164">
        <f>IF(AND(Data!R281&lt;&gt;"",Data!L281="Accepté"),Data!L281,"")</f>
        <v/>
      </c>
      <c r="C282" s="329">
        <f>IF(D282&lt;&gt;"","S"&amp;TEXT(WEEKNUM(D282),"00"),"")</f>
        <v/>
      </c>
      <c r="D282" s="330">
        <f>IF(AND(Data!Q281&lt;&gt;"",Data!L281="Accepté"),Data!Q281,"")</f>
        <v/>
      </c>
      <c r="E282" s="106">
        <f>IF(AND(Data!R281&lt;&gt;"",Data!L281="Accepté"),Data!R281,"")</f>
        <v/>
      </c>
      <c r="F282" s="1037">
        <f>IF(AND(Data!R281&lt;&gt;"",Data!L281="Accepté"),Data!S281,"")</f>
        <v/>
      </c>
      <c r="G282" s="1038">
        <f>IF(Data!R281='Delivery Plan'!E282,Data!U281,"")</f>
        <v/>
      </c>
      <c r="H282" s="327" t="n"/>
      <c r="I282" s="329">
        <f>IF(J282&lt;&gt;"","S"&amp;TEXT(WEEKNUM(J282),"00"),"")</f>
        <v/>
      </c>
      <c r="J282" s="330">
        <f>IF(AND(E282=Data!R281,Data!AA281&lt;&gt;""),Data!AA281,"")</f>
        <v/>
      </c>
      <c r="K282" s="751">
        <f>IF(AND(E282=Data!R281,Data!AE281&lt;&gt;""),Data!AE281,"")</f>
        <v/>
      </c>
      <c r="L282" s="1039">
        <f>IF(E282=Data!R283,Data!AI283,"")</f>
        <v/>
      </c>
      <c r="M282" s="1039">
        <f>IF(E282=Data!R283,Data!AJ283,"")</f>
        <v/>
      </c>
      <c r="N282">
        <f>IF(AND(Data!R283&lt;&gt;"",Data!L283="Accepté"),Data!K283,"")</f>
        <v/>
      </c>
    </row>
    <row r="283" hidden="1" s="701">
      <c r="A283" s="164">
        <f>IF(AND(Data!R282&lt;&gt;"",Data!L282="Accepté"),Data!G282,"")</f>
        <v/>
      </c>
      <c r="B283" s="164">
        <f>IF(AND(Data!R282&lt;&gt;"",Data!L282="Accepté"),Data!L282,"")</f>
        <v/>
      </c>
      <c r="C283" s="329">
        <f>IF(D283&lt;&gt;"","S"&amp;TEXT(WEEKNUM(D283),"00"),"")</f>
        <v/>
      </c>
      <c r="D283" s="330">
        <f>IF(AND(Data!Q282&lt;&gt;"",Data!L282="Accepté"),Data!Q282,"")</f>
        <v/>
      </c>
      <c r="E283" s="106">
        <f>IF(AND(Data!R282&lt;&gt;"",Data!L282="Accepté"),Data!R282,"")</f>
        <v/>
      </c>
      <c r="F283" s="1037">
        <f>IF(AND(Data!R282&lt;&gt;"",Data!L282="Accepté"),Data!S282,"")</f>
        <v/>
      </c>
      <c r="G283" s="1038">
        <f>IF(Data!R282='Delivery Plan'!E283,Data!U282,"")</f>
        <v/>
      </c>
      <c r="H283" s="327" t="n"/>
      <c r="I283" s="329">
        <f>IF(J283&lt;&gt;"","S"&amp;TEXT(WEEKNUM(J283),"00"),"")</f>
        <v/>
      </c>
      <c r="J283" s="330">
        <f>IF(AND(E283=Data!R282,Data!AA282&lt;&gt;""),Data!AA282,"")</f>
        <v/>
      </c>
      <c r="K283" s="751">
        <f>IF(AND(E283=Data!R282,Data!AE282&lt;&gt;""),Data!AE282,"")</f>
        <v/>
      </c>
      <c r="L283" s="1039">
        <f>IF(E283=Data!R284,Data!AI284,"")</f>
        <v/>
      </c>
      <c r="M283" s="1039">
        <f>IF(E283=Data!R284,Data!AJ284,"")</f>
        <v/>
      </c>
      <c r="N283">
        <f>IF(AND(Data!R284&lt;&gt;"",Data!L284="Accepté"),Data!K284,"")</f>
        <v/>
      </c>
    </row>
    <row r="284" hidden="1" s="701">
      <c r="A284" s="164">
        <f>IF(AND(Data!R283&lt;&gt;"",Data!L283="Accepté"),Data!G283,"")</f>
        <v/>
      </c>
      <c r="B284" s="164">
        <f>IF(AND(Data!R283&lt;&gt;"",Data!L283="Accepté"),Data!L283,"")</f>
        <v/>
      </c>
      <c r="C284" s="329">
        <f>IF(D284&lt;&gt;"","S"&amp;TEXT(WEEKNUM(D284),"00"),"")</f>
        <v/>
      </c>
      <c r="D284" s="330">
        <f>IF(AND(Data!Q283&lt;&gt;"",Data!L283="Accepté"),Data!Q283,"")</f>
        <v/>
      </c>
      <c r="E284" s="106">
        <f>IF(AND(Data!R283&lt;&gt;"",Data!L283="Accepté"),Data!R283,"")</f>
        <v/>
      </c>
      <c r="F284" s="1037">
        <f>IF(AND(Data!R283&lt;&gt;"",Data!L283="Accepté"),Data!S283,"")</f>
        <v/>
      </c>
      <c r="G284" s="1038">
        <f>IF(Data!R283='Delivery Plan'!E284,Data!U283,"")</f>
        <v/>
      </c>
      <c r="H284" s="327" t="n"/>
      <c r="I284" s="329">
        <f>IF(J284&lt;&gt;"","S"&amp;TEXT(WEEKNUM(J284),"00"),"")</f>
        <v/>
      </c>
      <c r="J284" s="330">
        <f>IF(AND(E284=Data!R283,Data!AA283&lt;&gt;""),Data!AA283,"")</f>
        <v/>
      </c>
      <c r="K284" s="751">
        <f>IF(AND(E284=Data!R283,Data!AE283&lt;&gt;""),Data!AE283,"")</f>
        <v/>
      </c>
      <c r="L284" s="1039">
        <f>IF(E284=Data!R285,Data!AI285,"")</f>
        <v/>
      </c>
      <c r="M284" s="1039">
        <f>IF(E284=Data!R285,Data!AJ285,"")</f>
        <v/>
      </c>
      <c r="N284">
        <f>IF(AND(Data!R285&lt;&gt;"",Data!L285="Accepté"),Data!K285,"")</f>
        <v/>
      </c>
    </row>
    <row r="285" hidden="1" s="701">
      <c r="A285" s="164">
        <f>IF(AND(Data!R284&lt;&gt;"",Data!L284="Accepté"),Data!G284,"")</f>
        <v/>
      </c>
      <c r="B285" s="164">
        <f>IF(AND(Data!R284&lt;&gt;"",Data!L284="Accepté"),Data!L284,"")</f>
        <v/>
      </c>
      <c r="C285" s="329">
        <f>IF(D285&lt;&gt;"","S"&amp;TEXT(WEEKNUM(D285),"00"),"")</f>
        <v/>
      </c>
      <c r="D285" s="330">
        <f>IF(AND(Data!Q284&lt;&gt;"",Data!L284="Accepté"),Data!Q284,"")</f>
        <v/>
      </c>
      <c r="E285" s="106">
        <f>IF(AND(Data!R284&lt;&gt;"",Data!L284="Accepté"),Data!R284,"")</f>
        <v/>
      </c>
      <c r="F285" s="1037">
        <f>IF(AND(Data!R284&lt;&gt;"",Data!L284="Accepté"),Data!S284,"")</f>
        <v/>
      </c>
      <c r="G285" s="1038">
        <f>IF(Data!R284='Delivery Plan'!E285,Data!U284,"")</f>
        <v/>
      </c>
      <c r="H285" s="327" t="n"/>
      <c r="I285" s="329">
        <f>IF(J285&lt;&gt;"","S"&amp;TEXT(WEEKNUM(J285),"00"),"")</f>
        <v/>
      </c>
      <c r="J285" s="330">
        <f>IF(AND(E285=Data!R284,Data!AA284&lt;&gt;""),Data!AA284,"")</f>
        <v/>
      </c>
      <c r="K285" s="751">
        <f>IF(AND(E285=Data!R284,Data!AE284&lt;&gt;""),Data!AE284,"")</f>
        <v/>
      </c>
      <c r="L285" s="1039">
        <f>IF(E285=Data!R286,Data!AI286,"")</f>
        <v/>
      </c>
      <c r="M285" s="1039">
        <f>IF(E285=Data!R286,Data!AJ286,"")</f>
        <v/>
      </c>
      <c r="N285">
        <f>IF(AND(Data!R286&lt;&gt;"",Data!L286="Accepté"),Data!K286,"")</f>
        <v/>
      </c>
    </row>
    <row r="286" hidden="1" s="701">
      <c r="A286" s="164">
        <f>IF(AND(Data!R285&lt;&gt;"",Data!L285="Accepté"),Data!G285,"")</f>
        <v/>
      </c>
      <c r="B286" s="164">
        <f>IF(AND(Data!R285&lt;&gt;"",Data!L285="Accepté"),Data!L285,"")</f>
        <v/>
      </c>
      <c r="C286" s="329">
        <f>IF(D286&lt;&gt;"","S"&amp;TEXT(WEEKNUM(D286),"00"),"")</f>
        <v/>
      </c>
      <c r="D286" s="330">
        <f>IF(AND(Data!Q285&lt;&gt;"",Data!L285="Accepté"),Data!Q285,"")</f>
        <v/>
      </c>
      <c r="E286" s="106">
        <f>IF(AND(Data!R285&lt;&gt;"",Data!L285="Accepté"),Data!R285,"")</f>
        <v/>
      </c>
      <c r="F286" s="1037">
        <f>IF(AND(Data!R285&lt;&gt;"",Data!L285="Accepté"),Data!S285,"")</f>
        <v/>
      </c>
      <c r="G286" s="1038">
        <f>IF(Data!R285='Delivery Plan'!E286,Data!U285,"")</f>
        <v/>
      </c>
      <c r="H286" s="327" t="n"/>
      <c r="I286" s="329">
        <f>IF(J286&lt;&gt;"","S"&amp;TEXT(WEEKNUM(J286),"00"),"")</f>
        <v/>
      </c>
      <c r="J286" s="330">
        <f>IF(AND(E286=Data!R285,Data!AA285&lt;&gt;""),Data!AA285,"")</f>
        <v/>
      </c>
      <c r="K286" s="751">
        <f>IF(AND(E286=Data!R285,Data!AE285&lt;&gt;""),Data!AE285,"")</f>
        <v/>
      </c>
      <c r="L286" s="1039">
        <f>IF(E286=Data!R287,Data!AI287,"")</f>
        <v/>
      </c>
      <c r="M286" s="1039">
        <f>IF(E286=Data!R287,Data!AJ287,"")</f>
        <v/>
      </c>
      <c r="N286">
        <f>IF(AND(Data!R287&lt;&gt;"",Data!L287="Accepté"),Data!K287,"")</f>
        <v/>
      </c>
    </row>
    <row r="287" hidden="1" s="701">
      <c r="A287" s="164">
        <f>IF(AND(Data!R286&lt;&gt;"",Data!L286="Accepté"),Data!G286,"")</f>
        <v/>
      </c>
      <c r="B287" s="164">
        <f>IF(AND(Data!R286&lt;&gt;"",Data!L286="Accepté"),Data!L286,"")</f>
        <v/>
      </c>
      <c r="C287" s="329">
        <f>IF(D287&lt;&gt;"","S"&amp;TEXT(WEEKNUM(D287),"00"),"")</f>
        <v/>
      </c>
      <c r="D287" s="330">
        <f>IF(AND(Data!Q286&lt;&gt;"",Data!L286="Accepté"),Data!Q286,"")</f>
        <v/>
      </c>
      <c r="E287" s="106">
        <f>IF(AND(Data!R286&lt;&gt;"",Data!L286="Accepté"),Data!R286,"")</f>
        <v/>
      </c>
      <c r="F287" s="1037">
        <f>IF(AND(Data!R286&lt;&gt;"",Data!L286="Accepté"),Data!S286,"")</f>
        <v/>
      </c>
      <c r="G287" s="1038">
        <f>IF(Data!R286='Delivery Plan'!E287,Data!U286,"")</f>
        <v/>
      </c>
      <c r="H287" s="327" t="n"/>
      <c r="I287" s="329">
        <f>IF(J287&lt;&gt;"","S"&amp;TEXT(WEEKNUM(J287),"00"),"")</f>
        <v/>
      </c>
      <c r="J287" s="330">
        <f>IF(AND(E287=Data!R286,Data!AA286&lt;&gt;""),Data!AA286,"")</f>
        <v/>
      </c>
      <c r="K287" s="751">
        <f>IF(AND(E287=Data!R286,Data!AE286&lt;&gt;""),Data!AE286,"")</f>
        <v/>
      </c>
      <c r="L287" s="1039">
        <f>IF(E287=Data!R288,Data!AI288,"")</f>
        <v/>
      </c>
      <c r="M287" s="1039">
        <f>IF(E287=Data!R288,Data!AJ288,"")</f>
        <v/>
      </c>
      <c r="N287">
        <f>IF(AND(Data!R288&lt;&gt;"",Data!L288="Accepté"),Data!K288,"")</f>
        <v/>
      </c>
    </row>
    <row r="288" hidden="1" s="701">
      <c r="A288" s="164">
        <f>IF(AND(Data!R287&lt;&gt;"",Data!L287="Accepté"),Data!G287,"")</f>
        <v/>
      </c>
      <c r="B288" s="164">
        <f>IF(AND(Data!R287&lt;&gt;"",Data!L287="Accepté"),Data!L287,"")</f>
        <v/>
      </c>
      <c r="C288" s="329">
        <f>IF(D288&lt;&gt;"","S"&amp;TEXT(WEEKNUM(D288),"00"),"")</f>
        <v/>
      </c>
      <c r="D288" s="330">
        <f>IF(AND(Data!Q287&lt;&gt;"",Data!L287="Accepté"),Data!Q287,"")</f>
        <v/>
      </c>
      <c r="E288" s="106">
        <f>IF(AND(Data!R287&lt;&gt;"",Data!L287="Accepté"),Data!R287,"")</f>
        <v/>
      </c>
      <c r="F288" s="1037">
        <f>IF(AND(Data!R287&lt;&gt;"",Data!L287="Accepté"),Data!S287,"")</f>
        <v/>
      </c>
      <c r="G288" s="1038">
        <f>IF(Data!R287='Delivery Plan'!E288,Data!U287,"")</f>
        <v/>
      </c>
      <c r="H288" s="327" t="n"/>
      <c r="I288" s="329">
        <f>IF(J288&lt;&gt;"","S"&amp;TEXT(WEEKNUM(J288),"00"),"")</f>
        <v/>
      </c>
      <c r="J288" s="330">
        <f>IF(AND(E288=Data!R287,Data!AA287&lt;&gt;""),Data!AA287,"")</f>
        <v/>
      </c>
      <c r="K288" s="751">
        <f>IF(AND(E288=Data!R287,Data!AE287&lt;&gt;""),Data!AE287,"")</f>
        <v/>
      </c>
      <c r="L288" s="1039">
        <f>IF(E288=Data!R289,Data!AI289,"")</f>
        <v/>
      </c>
      <c r="M288" s="1039">
        <f>IF(E288=Data!R289,Data!AJ289,"")</f>
        <v/>
      </c>
      <c r="N288">
        <f>IF(AND(Data!R289&lt;&gt;"",Data!L289="Accepté"),Data!K289,"")</f>
        <v/>
      </c>
    </row>
    <row r="289" hidden="1" s="701">
      <c r="A289" s="164">
        <f>IF(AND(Data!R288&lt;&gt;"",Data!L288="Accepté"),Data!G288,"")</f>
        <v/>
      </c>
      <c r="B289" s="164">
        <f>IF(AND(Data!R288&lt;&gt;"",Data!L288="Accepté"),Data!L288,"")</f>
        <v/>
      </c>
      <c r="C289" s="329">
        <f>IF(D289&lt;&gt;"","S"&amp;TEXT(WEEKNUM(D289),"00"),"")</f>
        <v/>
      </c>
      <c r="D289" s="330">
        <f>IF(AND(Data!Q288&lt;&gt;"",Data!L288="Accepté"),Data!Q288,"")</f>
        <v/>
      </c>
      <c r="E289" s="106">
        <f>IF(AND(Data!R288&lt;&gt;"",Data!L288="Accepté"),Data!R288,"")</f>
        <v/>
      </c>
      <c r="F289" s="1037">
        <f>IF(AND(Data!R288&lt;&gt;"",Data!L288="Accepté"),Data!S288,"")</f>
        <v/>
      </c>
      <c r="G289" s="1038">
        <f>IF(Data!R288='Delivery Plan'!E289,Data!U288,"")</f>
        <v/>
      </c>
      <c r="H289" s="327" t="n"/>
      <c r="I289" s="329">
        <f>IF(J289&lt;&gt;"","S"&amp;TEXT(WEEKNUM(J289),"00"),"")</f>
        <v/>
      </c>
      <c r="J289" s="330">
        <f>IF(AND(E289=Data!R288,Data!AA288&lt;&gt;""),Data!AA288,"")</f>
        <v/>
      </c>
      <c r="K289" s="751">
        <f>IF(AND(E289=Data!R288,Data!AE288&lt;&gt;""),Data!AE288,"")</f>
        <v/>
      </c>
      <c r="L289" s="1039">
        <f>IF(E289=Data!R290,Data!AI290,"")</f>
        <v/>
      </c>
      <c r="M289" s="1039">
        <f>IF(E289=Data!R290,Data!AJ290,"")</f>
        <v/>
      </c>
      <c r="N289">
        <f>IF(AND(Data!R290&lt;&gt;"",Data!L290="Accepté"),Data!K290,"")</f>
        <v/>
      </c>
    </row>
    <row r="290" hidden="1" s="701">
      <c r="A290" s="164">
        <f>IF(AND(Data!R289&lt;&gt;"",Data!L289="Accepté"),Data!G289,"")</f>
        <v/>
      </c>
      <c r="B290" s="164">
        <f>IF(AND(Data!R289&lt;&gt;"",Data!L289="Accepté"),Data!L289,"")</f>
        <v/>
      </c>
      <c r="C290" s="329">
        <f>IF(D290&lt;&gt;"","S"&amp;TEXT(WEEKNUM(D290),"00"),"")</f>
        <v/>
      </c>
      <c r="D290" s="330">
        <f>IF(AND(Data!Q289&lt;&gt;"",Data!L289="Accepté"),Data!Q289,"")</f>
        <v/>
      </c>
      <c r="E290" s="106">
        <f>IF(AND(Data!R289&lt;&gt;"",Data!L289="Accepté"),Data!R289,"")</f>
        <v/>
      </c>
      <c r="F290" s="1037">
        <f>IF(AND(Data!R289&lt;&gt;"",Data!L289="Accepté"),Data!S289,"")</f>
        <v/>
      </c>
      <c r="G290" s="1038">
        <f>IF(Data!R289='Delivery Plan'!E290,Data!U289,"")</f>
        <v/>
      </c>
      <c r="H290" s="327" t="n"/>
      <c r="I290" s="329">
        <f>IF(J290&lt;&gt;"","S"&amp;TEXT(WEEKNUM(J290),"00"),"")</f>
        <v/>
      </c>
      <c r="J290" s="330">
        <f>IF(AND(E290=Data!R289,Data!AA289&lt;&gt;""),Data!AA289,"")</f>
        <v/>
      </c>
      <c r="K290" s="751">
        <f>IF(AND(E290=Data!R289,Data!AE289&lt;&gt;""),Data!AE289,"")</f>
        <v/>
      </c>
      <c r="L290" s="1039">
        <f>IF(E290=Data!R291,Data!AI291,"")</f>
        <v/>
      </c>
      <c r="M290" s="1039">
        <f>IF(E290=Data!R291,Data!AJ291,"")</f>
        <v/>
      </c>
      <c r="N290">
        <f>IF(AND(Data!R291&lt;&gt;"",Data!L291="Accepté"),Data!K291,"")</f>
        <v/>
      </c>
    </row>
    <row r="291" hidden="1" s="701">
      <c r="A291" s="164">
        <f>IF(AND(Data!R290&lt;&gt;"",Data!L290="Accepté"),Data!G290,"")</f>
        <v/>
      </c>
      <c r="B291" s="164">
        <f>IF(AND(Data!R290&lt;&gt;"",Data!L290="Accepté"),Data!L290,"")</f>
        <v/>
      </c>
      <c r="C291" s="329">
        <f>IF(D291&lt;&gt;"","S"&amp;TEXT(WEEKNUM(D291),"00"),"")</f>
        <v/>
      </c>
      <c r="D291" s="330">
        <f>IF(AND(Data!Q290&lt;&gt;"",Data!L290="Accepté"),Data!Q290,"")</f>
        <v/>
      </c>
      <c r="E291" s="106">
        <f>IF(AND(Data!R290&lt;&gt;"",Data!L290="Accepté"),Data!R290,"")</f>
        <v/>
      </c>
      <c r="F291" s="1037">
        <f>IF(AND(Data!R290&lt;&gt;"",Data!L290="Accepté"),Data!S290,"")</f>
        <v/>
      </c>
      <c r="G291" s="1038">
        <f>IF(Data!R290='Delivery Plan'!E291,Data!U290,"")</f>
        <v/>
      </c>
      <c r="H291" s="327" t="n"/>
      <c r="I291" s="329">
        <f>IF(J291&lt;&gt;"","S"&amp;TEXT(WEEKNUM(J291),"00"),"")</f>
        <v/>
      </c>
      <c r="J291" s="330">
        <f>IF(AND(E291=Data!R290,Data!AA290&lt;&gt;""),Data!AA290,"")</f>
        <v/>
      </c>
      <c r="K291" s="751">
        <f>IF(AND(E291=Data!R290,Data!AE290&lt;&gt;""),Data!AE290,"")</f>
        <v/>
      </c>
      <c r="L291" s="1039">
        <f>IF(E291=Data!R292,Data!AI292,"")</f>
        <v/>
      </c>
      <c r="M291" s="1039">
        <f>IF(E291=Data!R292,Data!AJ292,"")</f>
        <v/>
      </c>
      <c r="N291">
        <f>IF(AND(Data!R292&lt;&gt;"",Data!L292="Accepté"),Data!K292,"")</f>
        <v/>
      </c>
    </row>
    <row r="292" hidden="1" s="701">
      <c r="A292" s="164">
        <f>IF(AND(Data!R291&lt;&gt;"",Data!L291="Accepté"),Data!G291,"")</f>
        <v/>
      </c>
      <c r="B292" s="164">
        <f>IF(AND(Data!R291&lt;&gt;"",Data!L291="Accepté"),Data!L291,"")</f>
        <v/>
      </c>
      <c r="C292" s="329">
        <f>IF(D292&lt;&gt;"","S"&amp;TEXT(WEEKNUM(D292),"00"),"")</f>
        <v/>
      </c>
      <c r="D292" s="330">
        <f>IF(AND(Data!Q291&lt;&gt;"",Data!L291="Accepté"),Data!Q291,"")</f>
        <v/>
      </c>
      <c r="E292" s="106">
        <f>IF(AND(Data!R291&lt;&gt;"",Data!L291="Accepté"),Data!R291,"")</f>
        <v/>
      </c>
      <c r="F292" s="1037">
        <f>IF(AND(Data!R291&lt;&gt;"",Data!L291="Accepté"),Data!S291,"")</f>
        <v/>
      </c>
      <c r="G292" s="1038">
        <f>IF(Data!R291='Delivery Plan'!E292,Data!U291,"")</f>
        <v/>
      </c>
      <c r="H292" s="327" t="n"/>
      <c r="I292" s="329">
        <f>IF(J292&lt;&gt;"","S"&amp;TEXT(WEEKNUM(J292),"00"),"")</f>
        <v/>
      </c>
      <c r="J292" s="330">
        <f>IF(AND(E292=Data!R291,Data!AA291&lt;&gt;""),Data!AA291,"")</f>
        <v/>
      </c>
      <c r="K292" s="751">
        <f>IF(AND(E292=Data!R291,Data!AE291&lt;&gt;""),Data!AE291,"")</f>
        <v/>
      </c>
      <c r="L292" s="1039">
        <f>IF(E292=Data!R293,Data!AI293,"")</f>
        <v/>
      </c>
      <c r="M292" s="1039">
        <f>IF(E292=Data!R293,Data!AJ293,"")</f>
        <v/>
      </c>
      <c r="N292">
        <f>IF(AND(Data!R293&lt;&gt;"",Data!L293="Accepté"),Data!K293,"")</f>
        <v/>
      </c>
    </row>
    <row r="293" hidden="1" s="701">
      <c r="A293" s="164">
        <f>IF(AND(Data!R292&lt;&gt;"",Data!L292="Accepté"),Data!G292,"")</f>
        <v/>
      </c>
      <c r="B293" s="164">
        <f>IF(AND(Data!R292&lt;&gt;"",Data!L292="Accepté"),Data!L292,"")</f>
        <v/>
      </c>
      <c r="C293" s="329">
        <f>IF(D293&lt;&gt;"","S"&amp;TEXT(WEEKNUM(D293),"00"),"")</f>
        <v/>
      </c>
      <c r="D293" s="330">
        <f>IF(AND(Data!Q292&lt;&gt;"",Data!L292="Accepté"),Data!Q292,"")</f>
        <v/>
      </c>
      <c r="E293" s="106">
        <f>IF(AND(Data!R292&lt;&gt;"",Data!L292="Accepté"),Data!R292,"")</f>
        <v/>
      </c>
      <c r="F293" s="1037">
        <f>IF(AND(Data!R292&lt;&gt;"",Data!L292="Accepté"),Data!S292,"")</f>
        <v/>
      </c>
      <c r="G293" s="1038">
        <f>IF(Data!R292='Delivery Plan'!E293,Data!U292,"")</f>
        <v/>
      </c>
      <c r="H293" s="327" t="n"/>
      <c r="I293" s="329">
        <f>IF(J293&lt;&gt;"","S"&amp;TEXT(WEEKNUM(J293),"00"),"")</f>
        <v/>
      </c>
      <c r="J293" s="330">
        <f>IF(AND(E293=Data!R292,Data!AA292&lt;&gt;""),Data!AA292,"")</f>
        <v/>
      </c>
      <c r="K293" s="751">
        <f>IF(AND(E293=Data!R292,Data!AE292&lt;&gt;""),Data!AE292,"")</f>
        <v/>
      </c>
      <c r="L293" s="1039">
        <f>IF(E293=Data!R294,Data!AI294,"")</f>
        <v/>
      </c>
      <c r="M293" s="1039">
        <f>IF(E293=Data!R294,Data!AJ294,"")</f>
        <v/>
      </c>
      <c r="N293">
        <f>IF(AND(Data!R294&lt;&gt;"",Data!L294="Accepté"),Data!K294,"")</f>
        <v/>
      </c>
    </row>
    <row r="294" hidden="1" s="701">
      <c r="A294" s="164">
        <f>IF(AND(Data!R293&lt;&gt;"",Data!L293="Accepté"),Data!G293,"")</f>
        <v/>
      </c>
      <c r="B294" s="164">
        <f>IF(AND(Data!R293&lt;&gt;"",Data!L293="Accepté"),Data!L293,"")</f>
        <v/>
      </c>
      <c r="C294" s="329">
        <f>IF(D294&lt;&gt;"","S"&amp;TEXT(WEEKNUM(D294),"00"),"")</f>
        <v/>
      </c>
      <c r="D294" s="330">
        <f>IF(AND(Data!Q293&lt;&gt;"",Data!L293="Accepté"),Data!Q293,"")</f>
        <v/>
      </c>
      <c r="E294" s="106">
        <f>IF(AND(Data!R293&lt;&gt;"",Data!L293="Accepté"),Data!R293,"")</f>
        <v/>
      </c>
      <c r="F294" s="1037">
        <f>IF(AND(Data!R293&lt;&gt;"",Data!L293="Accepté"),Data!S293,"")</f>
        <v/>
      </c>
      <c r="G294" s="1038">
        <f>IF(Data!R293='Delivery Plan'!E294,Data!U293,"")</f>
        <v/>
      </c>
      <c r="H294" s="327" t="n"/>
      <c r="I294" s="329">
        <f>IF(J294&lt;&gt;"","S"&amp;TEXT(WEEKNUM(J294),"00"),"")</f>
        <v/>
      </c>
      <c r="J294" s="330">
        <f>IF(AND(E294=Data!R293,Data!AA293&lt;&gt;""),Data!AA293,"")</f>
        <v/>
      </c>
      <c r="K294" s="751">
        <f>IF(AND(E294=Data!R293,Data!AE293&lt;&gt;""),Data!AE293,"")</f>
        <v/>
      </c>
      <c r="L294" s="1039">
        <f>IF(E294=Data!R295,Data!AI295,"")</f>
        <v/>
      </c>
      <c r="M294" s="1039">
        <f>IF(E294=Data!R295,Data!AJ295,"")</f>
        <v/>
      </c>
      <c r="N294">
        <f>IF(AND(Data!R295&lt;&gt;"",Data!L295="Accepté"),Data!K295,"")</f>
        <v/>
      </c>
    </row>
    <row r="295" hidden="1" s="701">
      <c r="A295" s="164">
        <f>IF(AND(Data!R294&lt;&gt;"",Data!L294="Accepté"),Data!G294,"")</f>
        <v/>
      </c>
      <c r="B295" s="164">
        <f>IF(AND(Data!R294&lt;&gt;"",Data!L294="Accepté"),Data!L294,"")</f>
        <v/>
      </c>
      <c r="C295" s="329">
        <f>IF(D295&lt;&gt;"","S"&amp;TEXT(WEEKNUM(D295),"00"),"")</f>
        <v/>
      </c>
      <c r="D295" s="330">
        <f>IF(AND(Data!Q294&lt;&gt;"",Data!L294="Accepté"),Data!Q294,"")</f>
        <v/>
      </c>
      <c r="E295" s="106">
        <f>IF(AND(Data!R294&lt;&gt;"",Data!L294="Accepté"),Data!R294,"")</f>
        <v/>
      </c>
      <c r="F295" s="1037">
        <f>IF(AND(Data!R294&lt;&gt;"",Data!L294="Accepté"),Data!S294,"")</f>
        <v/>
      </c>
      <c r="G295" s="1038">
        <f>IF(Data!R294='Delivery Plan'!E295,Data!U294,"")</f>
        <v/>
      </c>
      <c r="H295" s="327" t="n"/>
      <c r="I295" s="329">
        <f>IF(J295&lt;&gt;"","S"&amp;TEXT(WEEKNUM(J295),"00"),"")</f>
        <v/>
      </c>
      <c r="J295" s="330">
        <f>IF(AND(E295=Data!R294,Data!AA294&lt;&gt;""),Data!AA294,"")</f>
        <v/>
      </c>
      <c r="K295" s="751">
        <f>IF(AND(E295=Data!R294,Data!AE294&lt;&gt;""),Data!AE294,"")</f>
        <v/>
      </c>
      <c r="L295" s="1039">
        <f>IF(E295=Data!R296,Data!AI296,"")</f>
        <v/>
      </c>
      <c r="M295" s="1039">
        <f>IF(E295=Data!R296,Data!AJ296,"")</f>
        <v/>
      </c>
      <c r="N295">
        <f>IF(AND(Data!R296&lt;&gt;"",Data!L296="Accepté"),Data!K296,"")</f>
        <v/>
      </c>
    </row>
    <row r="296" hidden="1" s="701">
      <c r="A296" s="164">
        <f>IF(AND(Data!R295&lt;&gt;"",Data!L295="Accepté"),Data!G295,"")</f>
        <v/>
      </c>
      <c r="B296" s="164">
        <f>IF(AND(Data!R295&lt;&gt;"",Data!L295="Accepté"),Data!L295,"")</f>
        <v/>
      </c>
      <c r="C296" s="329">
        <f>IF(D296&lt;&gt;"","S"&amp;TEXT(WEEKNUM(D296),"00"),"")</f>
        <v/>
      </c>
      <c r="D296" s="330">
        <f>IF(AND(Data!Q295&lt;&gt;"",Data!L295="Accepté"),Data!Q295,"")</f>
        <v/>
      </c>
      <c r="E296" s="106">
        <f>IF(AND(Data!R295&lt;&gt;"",Data!L295="Accepté"),Data!R295,"")</f>
        <v/>
      </c>
      <c r="F296" s="1037">
        <f>IF(AND(Data!R295&lt;&gt;"",Data!L295="Accepté"),Data!S295,"")</f>
        <v/>
      </c>
      <c r="G296" s="1038">
        <f>IF(Data!R295='Delivery Plan'!E296,Data!U295,"")</f>
        <v/>
      </c>
      <c r="H296" s="327" t="n"/>
      <c r="I296" s="329">
        <f>IF(J296&lt;&gt;"","S"&amp;TEXT(WEEKNUM(J296),"00"),"")</f>
        <v/>
      </c>
      <c r="J296" s="330">
        <f>IF(AND(E296=Data!R295,Data!AA295&lt;&gt;""),Data!AA295,"")</f>
        <v/>
      </c>
      <c r="K296" s="751">
        <f>IF(AND(E296=Data!R295,Data!AE295&lt;&gt;""),Data!AE295,"")</f>
        <v/>
      </c>
      <c r="L296" s="1039">
        <f>IF(E296=Data!R297,Data!AI297,"")</f>
        <v/>
      </c>
      <c r="M296" s="1039">
        <f>IF(E296=Data!R297,Data!AJ297,"")</f>
        <v/>
      </c>
      <c r="N296">
        <f>IF(AND(Data!R297&lt;&gt;"",Data!L297="Accepté"),Data!K297,"")</f>
        <v/>
      </c>
    </row>
    <row r="297" hidden="1" s="701">
      <c r="A297" s="164">
        <f>IF(AND(Data!R296&lt;&gt;"",Data!L296="Accepté"),Data!G296,"")</f>
        <v/>
      </c>
      <c r="B297" s="164">
        <f>IF(AND(Data!R296&lt;&gt;"",Data!L296="Accepté"),Data!L296,"")</f>
        <v/>
      </c>
      <c r="C297" s="329">
        <f>IF(D297&lt;&gt;"","S"&amp;TEXT(WEEKNUM(D297),"00"),"")</f>
        <v/>
      </c>
      <c r="D297" s="330">
        <f>IF(AND(Data!Q296&lt;&gt;"",Data!L296="Accepté"),Data!Q296,"")</f>
        <v/>
      </c>
      <c r="E297" s="106">
        <f>IF(AND(Data!R296&lt;&gt;"",Data!L296="Accepté"),Data!R296,"")</f>
        <v/>
      </c>
      <c r="F297" s="1037">
        <f>IF(AND(Data!R296&lt;&gt;"",Data!L296="Accepté"),Data!S296,"")</f>
        <v/>
      </c>
      <c r="G297" s="1038">
        <f>IF(Data!R296='Delivery Plan'!E297,Data!U296,"")</f>
        <v/>
      </c>
      <c r="H297" s="327" t="n"/>
      <c r="I297" s="329">
        <f>IF(J297&lt;&gt;"","S"&amp;TEXT(WEEKNUM(J297),"00"),"")</f>
        <v/>
      </c>
      <c r="J297" s="330">
        <f>IF(AND(E297=Data!R296,Data!AA296&lt;&gt;""),Data!AA296,"")</f>
        <v/>
      </c>
      <c r="K297" s="751">
        <f>IF(AND(E297=Data!R296,Data!AE296&lt;&gt;""),Data!AE296,"")</f>
        <v/>
      </c>
      <c r="L297" s="1039">
        <f>IF(E297=Data!R298,Data!AI298,"")</f>
        <v/>
      </c>
      <c r="M297" s="1039">
        <f>IF(E297=Data!R298,Data!AJ298,"")</f>
        <v/>
      </c>
      <c r="N297">
        <f>IF(AND(Data!R298&lt;&gt;"",Data!L298="Accepté"),Data!K298,"")</f>
        <v/>
      </c>
    </row>
    <row r="298" hidden="1" s="701">
      <c r="A298" s="164">
        <f>IF(AND(Data!R297&lt;&gt;"",Data!L297="Accepté"),Data!G297,"")</f>
        <v/>
      </c>
      <c r="B298" s="164">
        <f>IF(AND(Data!R297&lt;&gt;"",Data!L297="Accepté"),Data!L297,"")</f>
        <v/>
      </c>
      <c r="C298" s="329">
        <f>IF(D298&lt;&gt;"","S"&amp;TEXT(WEEKNUM(D298),"00"),"")</f>
        <v/>
      </c>
      <c r="D298" s="330">
        <f>IF(AND(Data!Q297&lt;&gt;"",Data!L297="Accepté"),Data!Q297,"")</f>
        <v/>
      </c>
      <c r="E298" s="106">
        <f>IF(AND(Data!R297&lt;&gt;"",Data!L297="Accepté"),Data!R297,"")</f>
        <v/>
      </c>
      <c r="F298" s="1037">
        <f>IF(AND(Data!R297&lt;&gt;"",Data!L297="Accepté"),Data!S297,"")</f>
        <v/>
      </c>
      <c r="G298" s="1038">
        <f>IF(Data!R297='Delivery Plan'!E298,Data!U297,"")</f>
        <v/>
      </c>
      <c r="H298" s="327" t="n"/>
      <c r="I298" s="329">
        <f>IF(J298&lt;&gt;"","S"&amp;TEXT(WEEKNUM(J298),"00"),"")</f>
        <v/>
      </c>
      <c r="J298" s="330">
        <f>IF(AND(E298=Data!R297,Data!AA297&lt;&gt;""),Data!AA297,"")</f>
        <v/>
      </c>
      <c r="K298" s="751">
        <f>IF(AND(E298=Data!R297,Data!AE297&lt;&gt;""),Data!AE297,"")</f>
        <v/>
      </c>
      <c r="L298" s="1039">
        <f>IF(E298=Data!R299,Data!AI299,"")</f>
        <v/>
      </c>
      <c r="M298" s="1039">
        <f>IF(E298=Data!R299,Data!AJ299,"")</f>
        <v/>
      </c>
      <c r="N298">
        <f>IF(AND(Data!R299&lt;&gt;"",Data!L299="Accepté"),Data!K299,"")</f>
        <v/>
      </c>
    </row>
    <row r="299" hidden="1" s="701">
      <c r="A299" s="164">
        <f>IF(AND(Data!R298&lt;&gt;"",Data!L298="Accepté"),Data!G298,"")</f>
        <v/>
      </c>
      <c r="B299" s="164">
        <f>IF(AND(Data!R298&lt;&gt;"",Data!L298="Accepté"),Data!L298,"")</f>
        <v/>
      </c>
      <c r="C299" s="329">
        <f>IF(D299&lt;&gt;"","S"&amp;TEXT(WEEKNUM(D299),"00"),"")</f>
        <v/>
      </c>
      <c r="D299" s="330">
        <f>IF(AND(Data!Q298&lt;&gt;"",Data!L298="Accepté"),Data!Q298,"")</f>
        <v/>
      </c>
      <c r="E299" s="106">
        <f>IF(AND(Data!R298&lt;&gt;"",Data!L298="Accepté"),Data!R298,"")</f>
        <v/>
      </c>
      <c r="F299" s="1037">
        <f>IF(AND(Data!R298&lt;&gt;"",Data!L298="Accepté"),Data!S298,"")</f>
        <v/>
      </c>
      <c r="G299" s="1038">
        <f>IF(Data!R298='Delivery Plan'!E299,Data!U298,"")</f>
        <v/>
      </c>
      <c r="H299" s="327" t="n"/>
      <c r="I299" s="329">
        <f>IF(J299&lt;&gt;"","S"&amp;TEXT(WEEKNUM(J299),"00"),"")</f>
        <v/>
      </c>
      <c r="J299" s="330">
        <f>IF(AND(E299=Data!R298,Data!AA298&lt;&gt;""),Data!AA298,"")</f>
        <v/>
      </c>
      <c r="K299" s="751">
        <f>IF(AND(E299=Data!R298,Data!AE298&lt;&gt;""),Data!AE298,"")</f>
        <v/>
      </c>
      <c r="L299" s="1039">
        <f>IF(E299=Data!R300,Data!AI300,"")</f>
        <v/>
      </c>
      <c r="M299" s="1039">
        <f>IF(E299=Data!R300,Data!AJ300,"")</f>
        <v/>
      </c>
      <c r="N299">
        <f>IF(AND(Data!R300&lt;&gt;"",Data!L300="Accepté"),Data!K300,"")</f>
        <v/>
      </c>
    </row>
    <row r="300" hidden="1" s="701">
      <c r="A300" s="164">
        <f>IF(AND(Data!R299&lt;&gt;"",Data!L299="Accepté"),Data!G299,"")</f>
        <v/>
      </c>
      <c r="B300" s="164">
        <f>IF(AND(Data!R299&lt;&gt;"",Data!L299="Accepté"),Data!L299,"")</f>
        <v/>
      </c>
      <c r="C300" s="329">
        <f>IF(D300&lt;&gt;"","S"&amp;TEXT(WEEKNUM(D300),"00"),"")</f>
        <v/>
      </c>
      <c r="D300" s="330">
        <f>IF(AND(Data!Q299&lt;&gt;"",Data!L299="Accepté"),Data!Q299,"")</f>
        <v/>
      </c>
      <c r="E300" s="106">
        <f>IF(AND(Data!R299&lt;&gt;"",Data!L299="Accepté"),Data!R299,"")</f>
        <v/>
      </c>
      <c r="F300" s="1037">
        <f>IF(AND(Data!R299&lt;&gt;"",Data!L299="Accepté"),Data!S299,"")</f>
        <v/>
      </c>
      <c r="G300" s="1038">
        <f>IF(Data!R299='Delivery Plan'!E300,Data!U299,"")</f>
        <v/>
      </c>
      <c r="H300" s="327" t="n"/>
      <c r="I300" s="329">
        <f>IF(J300&lt;&gt;"","S"&amp;TEXT(WEEKNUM(J300),"00"),"")</f>
        <v/>
      </c>
      <c r="J300" s="330">
        <f>IF(AND(E300=Data!R299,Data!AA299&lt;&gt;""),Data!AA299,"")</f>
        <v/>
      </c>
      <c r="K300" s="751">
        <f>IF(AND(E300=Data!R299,Data!AE299&lt;&gt;""),Data!AE299,"")</f>
        <v/>
      </c>
      <c r="L300" s="1039">
        <f>IF(E300=Data!R301,Data!AI301,"")</f>
        <v/>
      </c>
      <c r="M300" s="1039">
        <f>IF(E300=Data!R301,Data!AJ301,"")</f>
        <v/>
      </c>
      <c r="N300">
        <f>IF(AND(Data!R301&lt;&gt;"",Data!L301="Accepté"),Data!K301,"")</f>
        <v/>
      </c>
    </row>
    <row r="301" hidden="1" s="701">
      <c r="A301" s="164">
        <f>IF(AND(Data!R300&lt;&gt;"",Data!L300="Accepté"),Data!G300,"")</f>
        <v/>
      </c>
      <c r="B301" s="164">
        <f>IF(AND(Data!R300&lt;&gt;"",Data!L300="Accepté"),Data!L300,"")</f>
        <v/>
      </c>
      <c r="C301" s="329">
        <f>IF(D301&lt;&gt;"","S"&amp;TEXT(WEEKNUM(D301),"00"),"")</f>
        <v/>
      </c>
      <c r="D301" s="330">
        <f>IF(AND(Data!Q300&lt;&gt;"",Data!L300="Accepté"),Data!Q300,"")</f>
        <v/>
      </c>
      <c r="E301" s="106">
        <f>IF(AND(Data!R300&lt;&gt;"",Data!L300="Accepté"),Data!R300,"")</f>
        <v/>
      </c>
      <c r="F301" s="1037">
        <f>IF(AND(Data!R300&lt;&gt;"",Data!L300="Accepté"),Data!S300,"")</f>
        <v/>
      </c>
      <c r="G301" s="1038">
        <f>IF(Data!R300='Delivery Plan'!E301,Data!U300,"")</f>
        <v/>
      </c>
      <c r="H301" s="327" t="n"/>
      <c r="I301" s="329">
        <f>IF(J301&lt;&gt;"","S"&amp;TEXT(WEEKNUM(J301),"00"),"")</f>
        <v/>
      </c>
      <c r="J301" s="330">
        <f>IF(AND(E301=Data!R300,Data!AA300&lt;&gt;""),Data!AA300,"")</f>
        <v/>
      </c>
      <c r="K301" s="751">
        <f>IF(AND(E301=Data!R300,Data!AE300&lt;&gt;""),Data!AE300,"")</f>
        <v/>
      </c>
      <c r="L301" s="1039">
        <f>IF(E301=Data!R302,Data!AI302,"")</f>
        <v/>
      </c>
      <c r="M301" s="1039">
        <f>IF(E301=Data!R302,Data!AJ302,"")</f>
        <v/>
      </c>
      <c r="N301">
        <f>IF(AND(Data!R302&lt;&gt;"",Data!L302="Accepté"),Data!K302,"")</f>
        <v/>
      </c>
    </row>
    <row r="302" hidden="1" s="701">
      <c r="A302" s="164">
        <f>IF(AND(Data!R301&lt;&gt;"",Data!L301="Accepté"),Data!G301,"")</f>
        <v/>
      </c>
      <c r="B302" s="164">
        <f>IF(AND(Data!R301&lt;&gt;"",Data!L301="Accepté"),Data!L301,"")</f>
        <v/>
      </c>
      <c r="C302" s="329">
        <f>IF(D302&lt;&gt;"","S"&amp;TEXT(WEEKNUM(D302),"00"),"")</f>
        <v/>
      </c>
      <c r="D302" s="330">
        <f>IF(AND(Data!Q301&lt;&gt;"",Data!L301="Accepté"),Data!Q301,"")</f>
        <v/>
      </c>
      <c r="E302" s="106">
        <f>IF(AND(Data!R301&lt;&gt;"",Data!L301="Accepté"),Data!R301,"")</f>
        <v/>
      </c>
      <c r="F302" s="1037">
        <f>IF(AND(Data!R301&lt;&gt;"",Data!L301="Accepté"),Data!S301,"")</f>
        <v/>
      </c>
      <c r="G302" s="1038">
        <f>IF(Data!R301='Delivery Plan'!E302,Data!U301,"")</f>
        <v/>
      </c>
      <c r="H302" s="327" t="n"/>
      <c r="I302" s="329">
        <f>IF(J302&lt;&gt;"","S"&amp;TEXT(WEEKNUM(J302),"00"),"")</f>
        <v/>
      </c>
      <c r="J302" s="330">
        <f>IF(AND(E302=Data!R301,Data!AA301&lt;&gt;""),Data!AA301,"")</f>
        <v/>
      </c>
      <c r="K302" s="751">
        <f>IF(AND(E302=Data!R301,Data!AE301&lt;&gt;""),Data!AE301,"")</f>
        <v/>
      </c>
      <c r="L302" s="1039">
        <f>IF(E302=Data!R303,Data!AI303,"")</f>
        <v/>
      </c>
      <c r="M302" s="1039">
        <f>IF(E302=Data!R303,Data!AJ303,"")</f>
        <v/>
      </c>
      <c r="N302">
        <f>IF(AND(Data!R303&lt;&gt;"",Data!L303="Accepté"),Data!K303,"")</f>
        <v/>
      </c>
    </row>
    <row r="303" hidden="1" s="701">
      <c r="A303" s="164">
        <f>IF(AND(Data!R302&lt;&gt;"",Data!L302="Accepté"),Data!G302,"")</f>
        <v/>
      </c>
      <c r="B303" s="164">
        <f>IF(AND(Data!R302&lt;&gt;"",Data!L302="Accepté"),Data!L302,"")</f>
        <v/>
      </c>
      <c r="C303" s="329">
        <f>IF(D303&lt;&gt;"","S"&amp;TEXT(WEEKNUM(D303),"00"),"")</f>
        <v/>
      </c>
      <c r="D303" s="330">
        <f>IF(AND(Data!Q302&lt;&gt;"",Data!L302="Accepté"),Data!Q302,"")</f>
        <v/>
      </c>
      <c r="E303" s="106">
        <f>IF(AND(Data!R302&lt;&gt;"",Data!L302="Accepté"),Data!R302,"")</f>
        <v/>
      </c>
      <c r="F303" s="1037">
        <f>IF(AND(Data!R302&lt;&gt;"",Data!L302="Accepté"),Data!S302,"")</f>
        <v/>
      </c>
      <c r="G303" s="1038">
        <f>IF(Data!R302='Delivery Plan'!E303,Data!U302,"")</f>
        <v/>
      </c>
      <c r="H303" s="327" t="n"/>
      <c r="I303" s="329">
        <f>IF(J303&lt;&gt;"","S"&amp;TEXT(WEEKNUM(J303),"00"),"")</f>
        <v/>
      </c>
      <c r="J303" s="330">
        <f>IF(AND(E303=Data!R302,Data!AA302&lt;&gt;""),Data!AA302,"")</f>
        <v/>
      </c>
      <c r="K303" s="751">
        <f>IF(AND(E303=Data!R302,Data!AE302&lt;&gt;""),Data!AE302,"")</f>
        <v/>
      </c>
      <c r="L303" s="1039">
        <f>IF(E303=Data!R304,Data!AI304,"")</f>
        <v/>
      </c>
      <c r="M303" s="1039">
        <f>IF(E303=Data!R304,Data!AJ304,"")</f>
        <v/>
      </c>
      <c r="N303">
        <f>IF(AND(Data!R304&lt;&gt;"",Data!L304="Accepté"),Data!K304,"")</f>
        <v/>
      </c>
    </row>
    <row r="304" hidden="1" s="701">
      <c r="A304" s="164">
        <f>IF(AND(Data!R303&lt;&gt;"",Data!L303="Accepté"),Data!G303,"")</f>
        <v/>
      </c>
      <c r="B304" s="164">
        <f>IF(AND(Data!R303&lt;&gt;"",Data!L303="Accepté"),Data!L303,"")</f>
        <v/>
      </c>
      <c r="C304" s="329">
        <f>IF(D304&lt;&gt;"","S"&amp;TEXT(WEEKNUM(D304),"00"),"")</f>
        <v/>
      </c>
      <c r="D304" s="330">
        <f>IF(AND(Data!Q303&lt;&gt;"",Data!L303="Accepté"),Data!Q303,"")</f>
        <v/>
      </c>
      <c r="E304" s="106">
        <f>IF(AND(Data!R303&lt;&gt;"",Data!L303="Accepté"),Data!R303,"")</f>
        <v/>
      </c>
      <c r="F304" s="1037">
        <f>IF(AND(Data!R303&lt;&gt;"",Data!L303="Accepté"),Data!S303,"")</f>
        <v/>
      </c>
      <c r="G304" s="1038">
        <f>IF(Data!R303='Delivery Plan'!E304,Data!U303,"")</f>
        <v/>
      </c>
      <c r="H304" s="327" t="n"/>
      <c r="I304" s="329">
        <f>IF(J304&lt;&gt;"","S"&amp;TEXT(WEEKNUM(J304),"00"),"")</f>
        <v/>
      </c>
      <c r="J304" s="330">
        <f>IF(AND(E304=Data!R303,Data!AA303&lt;&gt;""),Data!AA303,"")</f>
        <v/>
      </c>
      <c r="K304" s="751">
        <f>IF(AND(E304=Data!R303,Data!AE303&lt;&gt;""),Data!AE303,"")</f>
        <v/>
      </c>
      <c r="L304" s="1039">
        <f>IF(E304=Data!R305,Data!AI305,"")</f>
        <v/>
      </c>
      <c r="M304" s="1039">
        <f>IF(E304=Data!R305,Data!AJ305,"")</f>
        <v/>
      </c>
      <c r="N304">
        <f>IF(AND(Data!R305&lt;&gt;"",Data!L305="Accepté"),Data!K305,"")</f>
        <v/>
      </c>
    </row>
    <row r="305" hidden="1" s="701">
      <c r="A305" s="164">
        <f>IF(AND(Data!R304&lt;&gt;"",Data!L304="Accepté"),Data!G304,"")</f>
        <v/>
      </c>
      <c r="B305" s="164">
        <f>IF(AND(Data!R304&lt;&gt;"",Data!L304="Accepté"),Data!L304,"")</f>
        <v/>
      </c>
      <c r="C305" s="329">
        <f>IF(D305&lt;&gt;"","S"&amp;TEXT(WEEKNUM(D305),"00"),"")</f>
        <v/>
      </c>
      <c r="D305" s="330">
        <f>IF(AND(Data!Q304&lt;&gt;"",Data!L304="Accepté"),Data!Q304,"")</f>
        <v/>
      </c>
      <c r="E305" s="106">
        <f>IF(AND(Data!R304&lt;&gt;"",Data!L304="Accepté"),Data!R304,"")</f>
        <v/>
      </c>
      <c r="F305" s="1037">
        <f>IF(AND(Data!R304&lt;&gt;"",Data!L304="Accepté"),Data!S304,"")</f>
        <v/>
      </c>
      <c r="G305" s="1038">
        <f>IF(Data!R304='Delivery Plan'!E305,Data!U304,"")</f>
        <v/>
      </c>
      <c r="H305" s="327" t="n"/>
      <c r="I305" s="329">
        <f>IF(J305&lt;&gt;"","S"&amp;TEXT(WEEKNUM(J305),"00"),"")</f>
        <v/>
      </c>
      <c r="J305" s="330">
        <f>IF(AND(E305=Data!R304,Data!AA304&lt;&gt;""),Data!AA304,"")</f>
        <v/>
      </c>
      <c r="K305" s="751">
        <f>IF(AND(E305=Data!R304,Data!AE304&lt;&gt;""),Data!AE304,"")</f>
        <v/>
      </c>
      <c r="L305" s="1039">
        <f>IF(E305=Data!R317,Data!AI317,"")</f>
        <v/>
      </c>
      <c r="M305" s="1039">
        <f>IF(E305=Data!R317,Data!AJ317,"")</f>
        <v/>
      </c>
      <c r="N305">
        <f>IF(AND(Data!R317&lt;&gt;"",Data!L317="Accepté"),Data!K317,"")</f>
        <v/>
      </c>
    </row>
    <row r="306" hidden="1" s="701">
      <c r="A306" s="164">
        <f>IF(AND(Data!R305&lt;&gt;"",Data!L305="Accepté"),Data!G305,"")</f>
        <v/>
      </c>
      <c r="B306" s="164">
        <f>IF(AND(Data!R305&lt;&gt;"",Data!L305="Accepté"),Data!L305,"")</f>
        <v/>
      </c>
      <c r="C306" s="329">
        <f>IF(D306&lt;&gt;"","S"&amp;TEXT(WEEKNUM(D306),"00"),"")</f>
        <v/>
      </c>
      <c r="D306" s="330">
        <f>IF(AND(Data!Q305&lt;&gt;"",Data!L305="Accepté"),Data!Q305,"")</f>
        <v/>
      </c>
      <c r="E306" s="106">
        <f>IF(AND(Data!R305&lt;&gt;"",Data!L305="Accepté"),Data!R305,"")</f>
        <v/>
      </c>
      <c r="F306" s="1037">
        <f>IF(AND(Data!R305&lt;&gt;"",Data!L305="Accepté"),Data!S305,"")</f>
        <v/>
      </c>
      <c r="G306" s="1038">
        <f>IF(Data!R305='Delivery Plan'!E306,Data!U305,"")</f>
        <v/>
      </c>
      <c r="H306" s="327" t="n"/>
      <c r="I306" s="329">
        <f>IF(J306&lt;&gt;"","S"&amp;TEXT(WEEKNUM(J306),"00"),"")</f>
        <v/>
      </c>
      <c r="J306" s="330">
        <f>IF(AND(E306=Data!R305,Data!AA305&lt;&gt;""),Data!AA305,"")</f>
        <v/>
      </c>
      <c r="K306" s="751">
        <f>IF(AND(E306=Data!R305,Data!AE305&lt;&gt;""),Data!AE305,"")</f>
        <v/>
      </c>
      <c r="L306" s="1039">
        <f>IF(E306=Data!R318,Data!AI318,"")</f>
        <v/>
      </c>
      <c r="M306" s="1039">
        <f>IF(E306=Data!R318,Data!AJ318,"")</f>
        <v/>
      </c>
      <c r="N306">
        <f>IF(AND(Data!R318&lt;&gt;"",Data!L318="Accepté"),Data!K318,"")</f>
        <v/>
      </c>
    </row>
    <row r="307" hidden="1" s="701">
      <c r="A307" s="164">
        <f>IF(AND(Data!R306&lt;&gt;"",Data!L306="Accepté"),Data!G306,"")</f>
        <v/>
      </c>
      <c r="B307" s="164">
        <f>IF(AND(Data!R306&lt;&gt;"",Data!L306="Accepté"),Data!L306,"")</f>
        <v/>
      </c>
      <c r="C307" s="329">
        <f>IF(D307&lt;&gt;"","S"&amp;TEXT(WEEKNUM(D307),"00"),"")</f>
        <v/>
      </c>
      <c r="D307" s="330">
        <f>IF(AND(Data!Q306&lt;&gt;"",Data!L306="Accepté"),Data!Q306,"")</f>
        <v/>
      </c>
      <c r="E307" s="106">
        <f>IF(AND(Data!R306&lt;&gt;"",Data!L306="Accepté"),Data!R306,"")</f>
        <v/>
      </c>
      <c r="F307" s="1037">
        <f>IF(AND(Data!R306&lt;&gt;"",Data!L306="Accepté"),Data!S306,"")</f>
        <v/>
      </c>
      <c r="G307" s="1038">
        <f>IF(Data!R306='Delivery Plan'!E307,Data!U306,"")</f>
        <v/>
      </c>
      <c r="H307" s="327" t="n"/>
      <c r="I307" s="329">
        <f>IF(J307&lt;&gt;"","S"&amp;TEXT(WEEKNUM(J307),"00"),"")</f>
        <v/>
      </c>
      <c r="J307" s="330">
        <f>IF(AND(E307=Data!R306,Data!AA306&lt;&gt;""),Data!AA306,"")</f>
        <v/>
      </c>
      <c r="K307" s="751">
        <f>IF(AND(E307=Data!R306,Data!AE306&lt;&gt;""),Data!AE306,"")</f>
        <v/>
      </c>
      <c r="L307" s="1039">
        <f>IF(E307=Data!R319,Data!AI319,"")</f>
        <v/>
      </c>
      <c r="M307" s="1039">
        <f>IF(E307=Data!R319,Data!AJ319,"")</f>
        <v/>
      </c>
      <c r="N307">
        <f>IF(AND(Data!R319&lt;&gt;"",Data!L319="Accepté"),Data!K319,"")</f>
        <v/>
      </c>
    </row>
    <row r="308" hidden="1" s="701">
      <c r="A308" s="164">
        <f>IF(AND(Data!R307&lt;&gt;"",Data!L307="Accepté"),Data!G307,"")</f>
        <v/>
      </c>
      <c r="B308" s="164">
        <f>IF(AND(Data!R307&lt;&gt;"",Data!L307="Accepté"),Data!L307,"")</f>
        <v/>
      </c>
      <c r="C308" s="329">
        <f>IF(D308&lt;&gt;"","S"&amp;TEXT(WEEKNUM(D308),"00"),"")</f>
        <v/>
      </c>
      <c r="D308" s="330">
        <f>IF(AND(Data!Q307&lt;&gt;"",Data!L307="Accepté"),Data!Q307,"")</f>
        <v/>
      </c>
      <c r="E308" s="106">
        <f>IF(AND(Data!R307&lt;&gt;"",Data!L307="Accepté"),Data!R307,"")</f>
        <v/>
      </c>
      <c r="F308" s="1037">
        <f>IF(AND(Data!R307&lt;&gt;"",Data!L307="Accepté"),Data!S307,"")</f>
        <v/>
      </c>
      <c r="G308" s="1038">
        <f>IF(Data!R307='Delivery Plan'!E308,Data!U307,"")</f>
        <v/>
      </c>
      <c r="H308" s="327" t="n"/>
      <c r="I308" s="329">
        <f>IF(J308&lt;&gt;"","S"&amp;TEXT(WEEKNUM(J308),"00"),"")</f>
        <v/>
      </c>
      <c r="J308" s="330">
        <f>IF(AND(E308=Data!R307,Data!AA307&lt;&gt;""),Data!AA307,"")</f>
        <v/>
      </c>
      <c r="K308" s="751">
        <f>IF(AND(E308=Data!R307,Data!AE307&lt;&gt;""),Data!AE307,"")</f>
        <v/>
      </c>
      <c r="L308" s="1039">
        <f>IF(E308=Data!R320,Data!AI320,"")</f>
        <v/>
      </c>
      <c r="M308" s="1039">
        <f>IF(E308=Data!R320,Data!AJ320,"")</f>
        <v/>
      </c>
      <c r="N308">
        <f>IF(AND(Data!R320&lt;&gt;"",Data!L320="Accepté"),Data!K320,"")</f>
        <v/>
      </c>
    </row>
    <row r="309" hidden="1" s="701">
      <c r="A309" s="164">
        <f>IF(AND(Data!R308&lt;&gt;"",Data!L308="Accepté"),Data!G308,"")</f>
        <v/>
      </c>
      <c r="B309" s="164">
        <f>IF(AND(Data!R308&lt;&gt;"",Data!L308="Accepté"),Data!L308,"")</f>
        <v/>
      </c>
      <c r="C309" s="329">
        <f>IF(D309&lt;&gt;"","S"&amp;TEXT(WEEKNUM(D309),"00"),"")</f>
        <v/>
      </c>
      <c r="D309" s="330">
        <f>IF(AND(Data!Q308&lt;&gt;"",Data!L308="Accepté"),Data!Q308,"")</f>
        <v/>
      </c>
      <c r="E309" s="106">
        <f>IF(AND(Data!R308&lt;&gt;"",Data!L308="Accepté"),Data!R308,"")</f>
        <v/>
      </c>
      <c r="F309" s="1037">
        <f>IF(AND(Data!R308&lt;&gt;"",Data!L308="Accepté"),Data!S308,"")</f>
        <v/>
      </c>
      <c r="G309" s="1038">
        <f>IF(Data!R308='Delivery Plan'!E309,Data!U308,"")</f>
        <v/>
      </c>
      <c r="H309" s="327" t="n"/>
      <c r="I309" s="329">
        <f>IF(J309&lt;&gt;"","S"&amp;TEXT(WEEKNUM(J309),"00"),"")</f>
        <v/>
      </c>
      <c r="J309" s="330">
        <f>IF(AND(E309=Data!R308,Data!AA308&lt;&gt;""),Data!AA308,"")</f>
        <v/>
      </c>
      <c r="K309" s="751">
        <f>IF(AND(E309=Data!R308,Data!AE308&lt;&gt;""),Data!AE308,"")</f>
        <v/>
      </c>
      <c r="L309" s="1039">
        <f>IF(E309=Data!R321,Data!AI321,"")</f>
        <v/>
      </c>
      <c r="M309" s="1039">
        <f>IF(E309=Data!R321,Data!AJ321,"")</f>
        <v/>
      </c>
      <c r="N309">
        <f>IF(AND(Data!R321&lt;&gt;"",Data!L321="Accepté"),Data!K321,"")</f>
        <v/>
      </c>
    </row>
    <row r="310" hidden="1" s="701">
      <c r="A310" s="164">
        <f>IF(AND(Data!R309&lt;&gt;"",Data!L309="Accepté"),Data!G309,"")</f>
        <v/>
      </c>
      <c r="B310" s="164">
        <f>IF(AND(Data!R309&lt;&gt;"",Data!L309="Accepté"),Data!L309,"")</f>
        <v/>
      </c>
      <c r="C310" s="329">
        <f>IF(D310&lt;&gt;"","S"&amp;TEXT(WEEKNUM(D310),"00"),"")</f>
        <v/>
      </c>
      <c r="D310" s="330">
        <f>IF(AND(Data!Q309&lt;&gt;"",Data!L309="Accepté"),Data!Q309,"")</f>
        <v/>
      </c>
      <c r="E310" s="106">
        <f>IF(AND(Data!R309&lt;&gt;"",Data!L309="Accepté"),Data!R309,"")</f>
        <v/>
      </c>
      <c r="F310" s="1037">
        <f>IF(AND(Data!R309&lt;&gt;"",Data!L309="Accepté"),Data!S309,"")</f>
        <v/>
      </c>
      <c r="G310" s="1038">
        <f>IF(Data!R309='Delivery Plan'!E310,Data!U309,"")</f>
        <v/>
      </c>
      <c r="H310" s="327" t="n"/>
      <c r="I310" s="329">
        <f>IF(J310&lt;&gt;"","S"&amp;TEXT(WEEKNUM(J310),"00"),"")</f>
        <v/>
      </c>
      <c r="J310" s="330">
        <f>IF(AND(E310=Data!R309,Data!AA309&lt;&gt;""),Data!AA309,"")</f>
        <v/>
      </c>
      <c r="K310" s="751">
        <f>IF(AND(E310=Data!R309,Data!AE309&lt;&gt;""),Data!AE309,"")</f>
        <v/>
      </c>
      <c r="L310" s="1039">
        <f>IF(E310=Data!R322,Data!AI322,"")</f>
        <v/>
      </c>
      <c r="M310" s="1039">
        <f>IF(E310=Data!R322,Data!AJ322,"")</f>
        <v/>
      </c>
      <c r="N310">
        <f>IF(AND(Data!R322&lt;&gt;"",Data!L322="Accepté"),Data!K322,"")</f>
        <v/>
      </c>
    </row>
    <row r="311" hidden="1" s="701">
      <c r="A311" s="164">
        <f>IF(AND(Data!R310&lt;&gt;"",Data!L310="Accepté"),Data!G310,"")</f>
        <v/>
      </c>
      <c r="B311" s="164">
        <f>IF(AND(Data!R310&lt;&gt;"",Data!L310="Accepté"),Data!L310,"")</f>
        <v/>
      </c>
      <c r="C311" s="329">
        <f>IF(D311&lt;&gt;"","S"&amp;TEXT(WEEKNUM(D311),"00"),"")</f>
        <v/>
      </c>
      <c r="D311" s="330">
        <f>IF(AND(Data!Q310&lt;&gt;"",Data!L310="Accepté"),Data!Q310,"")</f>
        <v/>
      </c>
      <c r="E311" s="106">
        <f>IF(AND(Data!R310&lt;&gt;"",Data!L310="Accepté"),Data!R310,"")</f>
        <v/>
      </c>
      <c r="F311" s="1037">
        <f>IF(AND(Data!R310&lt;&gt;"",Data!L310="Accepté"),Data!S310,"")</f>
        <v/>
      </c>
      <c r="G311" s="1038">
        <f>IF(Data!R310='Delivery Plan'!E311,Data!U310,"")</f>
        <v/>
      </c>
      <c r="H311" s="327" t="n"/>
      <c r="I311" s="329">
        <f>IF(J311&lt;&gt;"","S"&amp;TEXT(WEEKNUM(J311),"00"),"")</f>
        <v/>
      </c>
      <c r="J311" s="330">
        <f>IF(AND(E311=Data!R310,Data!AA310&lt;&gt;""),Data!AA310,"")</f>
        <v/>
      </c>
      <c r="K311" s="751">
        <f>IF(AND(E311=Data!R310,Data!AE310&lt;&gt;""),Data!AE310,"")</f>
        <v/>
      </c>
      <c r="L311" s="1039">
        <f>IF(E311=Data!R323,Data!AI323,"")</f>
        <v/>
      </c>
      <c r="M311" s="1039">
        <f>IF(E311=Data!R323,Data!AJ323,"")</f>
        <v/>
      </c>
      <c r="N311">
        <f>IF(AND(Data!R323&lt;&gt;"",Data!L323="Accepté"),Data!K323,"")</f>
        <v/>
      </c>
    </row>
    <row r="312" hidden="1" s="701">
      <c r="A312" s="164">
        <f>IF(AND(Data!R311&lt;&gt;"",Data!L311="Accepté"),Data!G311,"")</f>
        <v/>
      </c>
      <c r="B312" s="164">
        <f>IF(AND(Data!R311&lt;&gt;"",Data!L311="Accepté"),Data!L311,"")</f>
        <v/>
      </c>
      <c r="C312" s="329">
        <f>IF(D312&lt;&gt;"","S"&amp;TEXT(WEEKNUM(D312),"00"),"")</f>
        <v/>
      </c>
      <c r="D312" s="330">
        <f>IF(AND(Data!Q311&lt;&gt;"",Data!L311="Accepté"),Data!Q311,"")</f>
        <v/>
      </c>
      <c r="E312" s="106">
        <f>IF(AND(Data!R311&lt;&gt;"",Data!L311="Accepté"),Data!R311,"")</f>
        <v/>
      </c>
      <c r="F312" s="1037">
        <f>IF(AND(Data!R311&lt;&gt;"",Data!L311="Accepté"),Data!S311,"")</f>
        <v/>
      </c>
      <c r="G312" s="1038">
        <f>IF(Data!R311='Delivery Plan'!E312,Data!U311,"")</f>
        <v/>
      </c>
      <c r="H312" s="327" t="n"/>
      <c r="I312" s="329">
        <f>IF(J312&lt;&gt;"","S"&amp;TEXT(WEEKNUM(J312),"00"),"")</f>
        <v/>
      </c>
      <c r="J312" s="330">
        <f>IF(AND(E312=Data!R311,Data!AA311&lt;&gt;""),Data!AA311,"")</f>
        <v/>
      </c>
      <c r="K312" s="751">
        <f>IF(AND(E312=Data!R311,Data!AE311&lt;&gt;""),Data!AE311,"")</f>
        <v/>
      </c>
      <c r="L312" s="1039">
        <f>IF(E312=Data!R324,Data!AI324,"")</f>
        <v/>
      </c>
      <c r="M312" s="1039">
        <f>IF(E312=Data!R324,Data!AJ324,"")</f>
        <v/>
      </c>
      <c r="N312">
        <f>IF(AND(Data!R324&lt;&gt;"",Data!L324="Accepté"),Data!K324,"")</f>
        <v/>
      </c>
    </row>
    <row r="313" hidden="1" s="701">
      <c r="A313" s="164">
        <f>IF(AND(Data!R312&lt;&gt;"",Data!L312="Accepté"),Data!G312,"")</f>
        <v/>
      </c>
      <c r="B313" s="164">
        <f>IF(AND(Data!R312&lt;&gt;"",Data!L312="Accepté"),Data!L312,"")</f>
        <v/>
      </c>
      <c r="C313" s="329">
        <f>IF(D313&lt;&gt;"","S"&amp;TEXT(WEEKNUM(D313),"00"),"")</f>
        <v/>
      </c>
      <c r="D313" s="330">
        <f>IF(AND(Data!Q312&lt;&gt;"",Data!L312="Accepté"),Data!Q312,"")</f>
        <v/>
      </c>
      <c r="E313" s="106">
        <f>IF(AND(Data!R312&lt;&gt;"",Data!L312="Accepté"),Data!R312,"")</f>
        <v/>
      </c>
      <c r="F313" s="1037">
        <f>IF(AND(Data!R312&lt;&gt;"",Data!L312="Accepté"),Data!S312,"")</f>
        <v/>
      </c>
      <c r="G313" s="1038">
        <f>IF(Data!R312='Delivery Plan'!E313,Data!U312,"")</f>
        <v/>
      </c>
      <c r="H313" s="327" t="n"/>
      <c r="I313" s="329">
        <f>IF(J313&lt;&gt;"","S"&amp;TEXT(WEEKNUM(J313),"00"),"")</f>
        <v/>
      </c>
      <c r="J313" s="330">
        <f>IF(AND(E313=Data!R312,Data!AA312&lt;&gt;""),Data!AA312,"")</f>
        <v/>
      </c>
      <c r="K313" s="751">
        <f>IF(AND(E313=Data!R312,Data!AE312&lt;&gt;""),Data!AE312,"")</f>
        <v/>
      </c>
      <c r="L313" s="1039">
        <f>IF(E313=Data!R325,Data!AI325,"")</f>
        <v/>
      </c>
      <c r="M313" s="1039">
        <f>IF(E313=Data!R325,Data!AJ325,"")</f>
        <v/>
      </c>
      <c r="N313">
        <f>IF(AND(Data!R325&lt;&gt;"",Data!L325="Accepté"),Data!K325,"")</f>
        <v/>
      </c>
    </row>
    <row r="314" hidden="1" s="701">
      <c r="A314" s="164">
        <f>IF(AND(Data!R313&lt;&gt;"",Data!L313="Accepté"),Data!G313,"")</f>
        <v/>
      </c>
      <c r="B314" s="164">
        <f>IF(AND(Data!R313&lt;&gt;"",Data!L313="Accepté"),Data!L313,"")</f>
        <v/>
      </c>
      <c r="C314" s="329">
        <f>IF(D314&lt;&gt;"","S"&amp;TEXT(WEEKNUM(D314),"00"),"")</f>
        <v/>
      </c>
      <c r="D314" s="330">
        <f>IF(AND(Data!Q313&lt;&gt;"",Data!L313="Accepté"),Data!Q313,"")</f>
        <v/>
      </c>
      <c r="E314" s="106">
        <f>IF(AND(Data!R313&lt;&gt;"",Data!L313="Accepté"),Data!R313,"")</f>
        <v/>
      </c>
      <c r="F314" s="1037">
        <f>IF(AND(Data!R313&lt;&gt;"",Data!L313="Accepté"),Data!S313,"")</f>
        <v/>
      </c>
      <c r="G314" s="1038">
        <f>IF(Data!R313='Delivery Plan'!E314,Data!U313,"")</f>
        <v/>
      </c>
      <c r="H314" s="327" t="n"/>
      <c r="I314" s="329">
        <f>IF(J314&lt;&gt;"","S"&amp;TEXT(WEEKNUM(J314),"00"),"")</f>
        <v/>
      </c>
      <c r="J314" s="330">
        <f>IF(AND(E314=Data!R313,Data!AA313&lt;&gt;""),Data!AA313,"")</f>
        <v/>
      </c>
      <c r="K314" s="751">
        <f>IF(AND(E314=Data!R313,Data!AE313&lt;&gt;""),Data!AE313,"")</f>
        <v/>
      </c>
      <c r="L314" s="1039">
        <f>IF(E314=Data!R326,Data!AI326,"")</f>
        <v/>
      </c>
      <c r="M314" s="1039">
        <f>IF(E314=Data!R326,Data!AJ326,"")</f>
        <v/>
      </c>
      <c r="N314">
        <f>IF(AND(Data!R326&lt;&gt;"",Data!L326="Accepté"),Data!K326,"")</f>
        <v/>
      </c>
    </row>
    <row r="315" hidden="1" s="701">
      <c r="A315" s="164">
        <f>IF(AND(Data!R314&lt;&gt;"",Data!L314="Accepté"),Data!G314,"")</f>
        <v/>
      </c>
      <c r="B315" s="164">
        <f>IF(AND(Data!R314&lt;&gt;"",Data!L314="Accepté"),Data!L314,"")</f>
        <v/>
      </c>
      <c r="C315" s="329">
        <f>IF(D315&lt;&gt;"","S"&amp;TEXT(WEEKNUM(D315),"00"),"")</f>
        <v/>
      </c>
      <c r="D315" s="330">
        <f>IF(AND(Data!Q314&lt;&gt;"",Data!L314="Accepté"),Data!Q314,"")</f>
        <v/>
      </c>
      <c r="E315" s="106">
        <f>IF(AND(Data!R314&lt;&gt;"",Data!L314="Accepté"),Data!R314,"")</f>
        <v/>
      </c>
      <c r="F315" s="1037">
        <f>IF(AND(Data!R314&lt;&gt;"",Data!L314="Accepté"),Data!S314,"")</f>
        <v/>
      </c>
      <c r="G315" s="1038">
        <f>IF(Data!R314='Delivery Plan'!E315,Data!U314,"")</f>
        <v/>
      </c>
      <c r="H315" s="327" t="n"/>
      <c r="I315" s="329">
        <f>IF(J315&lt;&gt;"","S"&amp;TEXT(WEEKNUM(J315),"00"),"")</f>
        <v/>
      </c>
      <c r="J315" s="330">
        <f>IF(AND(E315=Data!R314,Data!AA314&lt;&gt;""),Data!AA314,"")</f>
        <v/>
      </c>
      <c r="K315" s="751">
        <f>IF(AND(E315=Data!R314,Data!AE314&lt;&gt;""),Data!AE314,"")</f>
        <v/>
      </c>
      <c r="L315" s="1039">
        <f>IF(E315=Data!R327,Data!AI327,"")</f>
        <v/>
      </c>
      <c r="M315" s="1039">
        <f>IF(E315=Data!R327,Data!AJ327,"")</f>
        <v/>
      </c>
      <c r="N315">
        <f>IF(AND(Data!R327&lt;&gt;"",Data!L327="Accepté"),Data!K327,"")</f>
        <v/>
      </c>
    </row>
    <row r="316" hidden="1" s="701">
      <c r="A316" s="164">
        <f>IF(AND(Data!R315&lt;&gt;"",Data!L315="Accepté"),Data!G315,"")</f>
        <v/>
      </c>
      <c r="B316" s="164">
        <f>IF(AND(Data!R315&lt;&gt;"",Data!L315="Accepté"),Data!L315,"")</f>
        <v/>
      </c>
      <c r="C316" s="329">
        <f>IF(D316&lt;&gt;"","S"&amp;TEXT(WEEKNUM(D316),"00"),"")</f>
        <v/>
      </c>
      <c r="D316" s="330">
        <f>IF(AND(Data!Q315&lt;&gt;"",Data!L315="Accepté"),Data!Q315,"")</f>
        <v/>
      </c>
      <c r="E316" s="106">
        <f>IF(AND(Data!R315&lt;&gt;"",Data!L315="Accepté"),Data!R315,"")</f>
        <v/>
      </c>
      <c r="F316" s="1037">
        <f>IF(AND(Data!R315&lt;&gt;"",Data!L315="Accepté"),Data!S315,"")</f>
        <v/>
      </c>
      <c r="G316" s="1038">
        <f>IF(Data!R315='Delivery Plan'!E316,Data!U315,"")</f>
        <v/>
      </c>
      <c r="H316" s="327" t="n"/>
      <c r="I316" s="329">
        <f>IF(J316&lt;&gt;"","S"&amp;TEXT(WEEKNUM(J316),"00"),"")</f>
        <v/>
      </c>
      <c r="J316" s="330">
        <f>IF(AND(E316=Data!R315,Data!AA315&lt;&gt;""),Data!AA315,"")</f>
        <v/>
      </c>
      <c r="K316" s="751">
        <f>IF(AND(E316=Data!R315,Data!AE315&lt;&gt;""),Data!AE315,"")</f>
        <v/>
      </c>
      <c r="L316" s="1039">
        <f>IF(E316=Data!R328,Data!AI328,"")</f>
        <v/>
      </c>
      <c r="M316" s="1039">
        <f>IF(E316=Data!R328,Data!AJ328,"")</f>
        <v/>
      </c>
      <c r="N316">
        <f>IF(AND(Data!R328&lt;&gt;"",Data!L328="Accepté"),Data!K328,"")</f>
        <v/>
      </c>
    </row>
    <row r="317" hidden="1" s="701">
      <c r="A317" s="164">
        <f>IF(AND(Data!R317&lt;&gt;"",Data!L317="Accepté"),Data!G317,"")</f>
        <v/>
      </c>
      <c r="B317" s="164">
        <f>IF(AND(Data!R317&lt;&gt;"",Data!L317="Accepté"),Data!L317,"")</f>
        <v/>
      </c>
      <c r="C317" s="329">
        <f>IF(D317&lt;&gt;"","S"&amp;TEXT(WEEKNUM(D317),"00"),"")</f>
        <v/>
      </c>
      <c r="D317" s="330">
        <f>IF(AND(Data!Q317&lt;&gt;"",Data!L317="Accepté"),Data!Q317,"")</f>
        <v/>
      </c>
      <c r="E317" s="106">
        <f>IF(AND(Data!R317&lt;&gt;"",Data!L317="Accepté"),Data!R317,"")</f>
        <v/>
      </c>
      <c r="F317" s="1037">
        <f>IF(AND(Data!R317&lt;&gt;"",Data!L317="Accepté"),Data!S317,"")</f>
        <v/>
      </c>
      <c r="G317" s="1038">
        <f>IF(Data!R317='Delivery Plan'!E317,Data!U317,"")</f>
        <v/>
      </c>
      <c r="H317" s="327" t="n"/>
      <c r="I317" s="329">
        <f>IF(J317&lt;&gt;"","S"&amp;TEXT(WEEKNUM(J317),"00"),"")</f>
        <v/>
      </c>
      <c r="J317" s="330">
        <f>IF(AND(E317=Data!R317,Data!AA317&lt;&gt;""),Data!AA317,"")</f>
        <v/>
      </c>
      <c r="K317" s="751">
        <f>IF(AND(E317=Data!R317,Data!AE317&lt;&gt;""),Data!AE317,"")</f>
        <v/>
      </c>
      <c r="L317" s="1039">
        <f>IF(E317=Data!R329,Data!AI329,"")</f>
        <v/>
      </c>
      <c r="M317" s="1039">
        <f>IF(E317=Data!R329,Data!AJ329,"")</f>
        <v/>
      </c>
      <c r="N317">
        <f>IF(AND(Data!R329&lt;&gt;"",Data!L329="Accepté"),Data!K329,"")</f>
        <v/>
      </c>
    </row>
    <row r="318" hidden="1" s="701">
      <c r="A318" s="164">
        <f>IF(AND(Data!R318&lt;&gt;"",Data!L318="Accepté"),Data!G318,"")</f>
        <v/>
      </c>
      <c r="B318" s="164">
        <f>IF(AND(Data!R318&lt;&gt;"",Data!L318="Accepté"),Data!L318,"")</f>
        <v/>
      </c>
      <c r="C318" s="329">
        <f>IF(D318&lt;&gt;"","S"&amp;TEXT(WEEKNUM(D318),"00"),"")</f>
        <v/>
      </c>
      <c r="D318" s="330">
        <f>IF(AND(Data!Q318&lt;&gt;"",Data!L318="Accepté"),Data!Q318,"")</f>
        <v/>
      </c>
      <c r="E318" s="106">
        <f>IF(AND(Data!R318&lt;&gt;"",Data!L318="Accepté"),Data!R318,"")</f>
        <v/>
      </c>
      <c r="F318" s="1037">
        <f>IF(AND(Data!R318&lt;&gt;"",Data!L318="Accepté"),Data!S318,"")</f>
        <v/>
      </c>
      <c r="G318" s="1038">
        <f>IF(Data!R318='Delivery Plan'!E318,Data!U318,"")</f>
        <v/>
      </c>
      <c r="H318" s="327" t="n"/>
      <c r="I318" s="329">
        <f>IF(J318&lt;&gt;"","S"&amp;TEXT(WEEKNUM(J318),"00"),"")</f>
        <v/>
      </c>
      <c r="J318" s="330">
        <f>IF(AND(E318=Data!R318,Data!AA318&lt;&gt;""),Data!AA318,"")</f>
        <v/>
      </c>
      <c r="K318" s="751">
        <f>IF(AND(E318=Data!R318,Data!AE318&lt;&gt;""),Data!AE318,"")</f>
        <v/>
      </c>
      <c r="L318" s="1039">
        <f>IF(E318=Data!R330,Data!AI330,"")</f>
        <v/>
      </c>
      <c r="M318" s="1039">
        <f>IF(E318=Data!R330,Data!AJ330,"")</f>
        <v/>
      </c>
      <c r="N318">
        <f>IF(AND(Data!R330&lt;&gt;"",Data!L330="Accepté"),Data!K330,"")</f>
        <v/>
      </c>
    </row>
    <row r="319" hidden="1" s="701">
      <c r="A319" s="164">
        <f>IF(AND(Data!R319&lt;&gt;"",Data!L319="Accepté"),Data!G319,"")</f>
        <v/>
      </c>
      <c r="B319" s="164">
        <f>IF(AND(Data!R319&lt;&gt;"",Data!L319="Accepté"),Data!L319,"")</f>
        <v/>
      </c>
      <c r="C319" s="329">
        <f>IF(D319&lt;&gt;"","S"&amp;TEXT(WEEKNUM(D319),"00"),"")</f>
        <v/>
      </c>
      <c r="D319" s="330">
        <f>IF(AND(Data!Q319&lt;&gt;"",Data!L319="Accepté"),Data!Q319,"")</f>
        <v/>
      </c>
      <c r="E319" s="106">
        <f>IF(AND(Data!R319&lt;&gt;"",Data!L319="Accepté"),Data!R319,"")</f>
        <v/>
      </c>
      <c r="F319" s="1037">
        <f>IF(AND(Data!R319&lt;&gt;"",Data!L319="Accepté"),Data!S319,"")</f>
        <v/>
      </c>
      <c r="G319" s="1038">
        <f>IF(Data!R319='Delivery Plan'!E319,Data!U319,"")</f>
        <v/>
      </c>
      <c r="H319" s="327" t="n"/>
      <c r="I319" s="329">
        <f>IF(J319&lt;&gt;"","S"&amp;TEXT(WEEKNUM(J319),"00"),"")</f>
        <v/>
      </c>
      <c r="J319" s="330">
        <f>IF(AND(E319=Data!R319,Data!AA319&lt;&gt;""),Data!AA319,"")</f>
        <v/>
      </c>
      <c r="K319" s="751">
        <f>IF(AND(E319=Data!R319,Data!AE319&lt;&gt;""),Data!AE319,"")</f>
        <v/>
      </c>
      <c r="L319" s="1039">
        <f>IF(E319=Data!R331,Data!AI331,"")</f>
        <v/>
      </c>
      <c r="M319" s="1039">
        <f>IF(E319=Data!R331,Data!AJ331,"")</f>
        <v/>
      </c>
      <c r="N319">
        <f>IF(AND(Data!R331&lt;&gt;"",Data!L331="Accepté"),Data!K331,"")</f>
        <v/>
      </c>
    </row>
    <row r="320" hidden="1" s="701">
      <c r="A320" s="164">
        <f>IF(AND(Data!R320&lt;&gt;"",Data!L320="Accepté"),Data!G320,"")</f>
        <v/>
      </c>
      <c r="B320" s="164">
        <f>IF(AND(Data!R320&lt;&gt;"",Data!L320="Accepté"),Data!L320,"")</f>
        <v/>
      </c>
      <c r="C320" s="329">
        <f>IF(D320&lt;&gt;"","S"&amp;TEXT(WEEKNUM(D320),"00"),"")</f>
        <v/>
      </c>
      <c r="D320" s="330">
        <f>IF(AND(Data!Q320&lt;&gt;"",Data!L320="Accepté"),Data!Q320,"")</f>
        <v/>
      </c>
      <c r="E320" s="106">
        <f>IF(AND(Data!R320&lt;&gt;"",Data!L320="Accepté"),Data!R320,"")</f>
        <v/>
      </c>
      <c r="F320" s="1037">
        <f>IF(AND(Data!R320&lt;&gt;"",Data!L320="Accepté"),Data!S320,"")</f>
        <v/>
      </c>
      <c r="G320" s="1038">
        <f>IF(Data!R320='Delivery Plan'!E320,Data!U320,"")</f>
        <v/>
      </c>
      <c r="H320" s="327" t="n"/>
      <c r="I320" s="329">
        <f>IF(J320&lt;&gt;"","S"&amp;TEXT(WEEKNUM(J320),"00"),"")</f>
        <v/>
      </c>
      <c r="J320" s="330">
        <f>IF(AND(E320=Data!R320,Data!AA320&lt;&gt;""),Data!AA320,"")</f>
        <v/>
      </c>
      <c r="K320" s="751">
        <f>IF(AND(E320=Data!R320,Data!AE320&lt;&gt;""),Data!AE320,"")</f>
        <v/>
      </c>
      <c r="L320" s="1039">
        <f>IF(E320=Data!R332,Data!AI332,"")</f>
        <v/>
      </c>
      <c r="M320" s="1039">
        <f>IF(E320=Data!R332,Data!AJ332,"")</f>
        <v/>
      </c>
      <c r="N320">
        <f>IF(AND(Data!R332&lt;&gt;"",Data!L332="Accepté"),Data!K332,"")</f>
        <v/>
      </c>
    </row>
    <row r="321" hidden="1" s="701">
      <c r="A321" s="164">
        <f>IF(AND(Data!R321&lt;&gt;"",Data!L321="Accepté"),Data!G321,"")</f>
        <v/>
      </c>
      <c r="B321" s="164">
        <f>IF(AND(Data!R321&lt;&gt;"",Data!L321="Accepté"),Data!L321,"")</f>
        <v/>
      </c>
      <c r="C321" s="329">
        <f>IF(D321&lt;&gt;"","S"&amp;TEXT(WEEKNUM(D321),"00"),"")</f>
        <v/>
      </c>
      <c r="D321" s="330">
        <f>IF(AND(Data!Q321&lt;&gt;"",Data!L321="Accepté"),Data!Q321,"")</f>
        <v/>
      </c>
      <c r="E321" s="106">
        <f>IF(AND(Data!R321&lt;&gt;"",Data!L321="Accepté"),Data!R321,"")</f>
        <v/>
      </c>
      <c r="F321" s="1037">
        <f>IF(AND(Data!R321&lt;&gt;"",Data!L321="Accepté"),Data!S321,"")</f>
        <v/>
      </c>
      <c r="G321" s="1038">
        <f>IF(Data!R321='Delivery Plan'!E321,Data!U321,"")</f>
        <v/>
      </c>
      <c r="H321" s="327" t="n"/>
      <c r="I321" s="329">
        <f>IF(J321&lt;&gt;"","S"&amp;TEXT(WEEKNUM(J321),"00"),"")</f>
        <v/>
      </c>
      <c r="J321" s="330">
        <f>IF(AND(E321=Data!R321,Data!AA321&lt;&gt;""),Data!AA321,"")</f>
        <v/>
      </c>
      <c r="K321" s="751">
        <f>IF(AND(E321=Data!R321,Data!AE321&lt;&gt;""),Data!AE321,"")</f>
        <v/>
      </c>
      <c r="L321" s="1039">
        <f>IF(E321=Data!R333,Data!AI333,"")</f>
        <v/>
      </c>
      <c r="M321" s="1039">
        <f>IF(E321=Data!R333,Data!AJ333,"")</f>
        <v/>
      </c>
      <c r="N321">
        <f>IF(AND(Data!R333&lt;&gt;"",Data!L333="Accepté"),Data!K333,"")</f>
        <v/>
      </c>
    </row>
    <row r="322" hidden="1" s="701">
      <c r="A322" s="164">
        <f>IF(AND(Data!R322&lt;&gt;"",Data!L322="Accepté"),Data!G322,"")</f>
        <v/>
      </c>
      <c r="B322" s="164">
        <f>IF(AND(Data!R322&lt;&gt;"",Data!L322="Accepté"),Data!L322,"")</f>
        <v/>
      </c>
      <c r="C322" s="329">
        <f>IF(D322&lt;&gt;"","S"&amp;TEXT(WEEKNUM(D322),"00"),"")</f>
        <v/>
      </c>
      <c r="D322" s="330">
        <f>IF(AND(Data!Q322&lt;&gt;"",Data!L322="Accepté"),Data!Q322,"")</f>
        <v/>
      </c>
      <c r="E322" s="106">
        <f>IF(AND(Data!R322&lt;&gt;"",Data!L322="Accepté"),Data!R322,"")</f>
        <v/>
      </c>
      <c r="F322" s="1037">
        <f>IF(AND(Data!R322&lt;&gt;"",Data!L322="Accepté"),Data!S322,"")</f>
        <v/>
      </c>
      <c r="G322" s="1038">
        <f>IF(Data!R322='Delivery Plan'!E322,Data!U322,"")</f>
        <v/>
      </c>
      <c r="H322" s="327" t="n"/>
      <c r="I322" s="329">
        <f>IF(J322&lt;&gt;"","S"&amp;TEXT(WEEKNUM(J322),"00"),"")</f>
        <v/>
      </c>
      <c r="J322" s="330">
        <f>IF(AND(E322=Data!R322,Data!AA322&lt;&gt;""),Data!AA322,"")</f>
        <v/>
      </c>
      <c r="K322" s="751">
        <f>IF(AND(E322=Data!R322,Data!AE322&lt;&gt;""),Data!AE322,"")</f>
        <v/>
      </c>
      <c r="L322" s="1039">
        <f>IF(E322=Data!R334,Data!AI334,"")</f>
        <v/>
      </c>
      <c r="M322" s="1039">
        <f>IF(E322=Data!R334,Data!AJ334,"")</f>
        <v/>
      </c>
      <c r="N322">
        <f>IF(AND(Data!R334&lt;&gt;"",Data!L334="Accepté"),Data!K334,"")</f>
        <v/>
      </c>
    </row>
    <row r="323" hidden="1" s="701">
      <c r="A323" s="164">
        <f>IF(AND(Data!R323&lt;&gt;"",Data!L323="Accepté"),Data!G323,"")</f>
        <v/>
      </c>
      <c r="B323" s="164">
        <f>IF(AND(Data!R323&lt;&gt;"",Data!L323="Accepté"),Data!L323,"")</f>
        <v/>
      </c>
      <c r="C323" s="329">
        <f>IF(D323&lt;&gt;"","S"&amp;TEXT(WEEKNUM(D323),"00"),"")</f>
        <v/>
      </c>
      <c r="D323" s="330">
        <f>IF(AND(Data!Q323&lt;&gt;"",Data!L323="Accepté"),Data!Q323,"")</f>
        <v/>
      </c>
      <c r="E323" s="106">
        <f>IF(AND(Data!R323&lt;&gt;"",Data!L323="Accepté"),Data!R323,"")</f>
        <v/>
      </c>
      <c r="F323" s="1037">
        <f>IF(AND(Data!R323&lt;&gt;"",Data!L323="Accepté"),Data!S323,"")</f>
        <v/>
      </c>
      <c r="G323" s="1038">
        <f>IF(Data!R323='Delivery Plan'!E323,Data!U323,"")</f>
        <v/>
      </c>
      <c r="H323" s="327" t="n"/>
      <c r="I323" s="329">
        <f>IF(J323&lt;&gt;"","S"&amp;TEXT(WEEKNUM(J323),"00"),"")</f>
        <v/>
      </c>
      <c r="J323" s="330">
        <f>IF(AND(E323=Data!R323,Data!AA323&lt;&gt;""),Data!AA323,"")</f>
        <v/>
      </c>
      <c r="K323" s="751">
        <f>IF(AND(E323=Data!R323,Data!AE323&lt;&gt;""),Data!AE323,"")</f>
        <v/>
      </c>
      <c r="L323" s="1039">
        <f>IF(E323=Data!R335,Data!AI335,"")</f>
        <v/>
      </c>
      <c r="M323" s="1039">
        <f>IF(E323=Data!R335,Data!AJ335,"")</f>
        <v/>
      </c>
      <c r="N323">
        <f>IF(AND(Data!R335&lt;&gt;"",Data!L335="Accepté"),Data!K335,"")</f>
        <v/>
      </c>
    </row>
    <row r="324" hidden="1" s="701">
      <c r="A324" s="164">
        <f>IF(AND(Data!R324&lt;&gt;"",Data!L324="Accepté"),Data!G324,"")</f>
        <v/>
      </c>
      <c r="B324" s="164">
        <f>IF(AND(Data!R324&lt;&gt;"",Data!L324="Accepté"),Data!L324,"")</f>
        <v/>
      </c>
      <c r="C324" s="329">
        <f>IF(D324&lt;&gt;"","S"&amp;TEXT(WEEKNUM(D324),"00"),"")</f>
        <v/>
      </c>
      <c r="D324" s="330">
        <f>IF(AND(Data!Q324&lt;&gt;"",Data!L324="Accepté"),Data!Q324,"")</f>
        <v/>
      </c>
      <c r="E324" s="106">
        <f>IF(AND(Data!R324&lt;&gt;"",Data!L324="Accepté"),Data!R324,"")</f>
        <v/>
      </c>
      <c r="F324" s="1037">
        <f>IF(AND(Data!R324&lt;&gt;"",Data!L324="Accepté"),Data!S324,"")</f>
        <v/>
      </c>
      <c r="G324" s="1038">
        <f>IF(Data!R324='Delivery Plan'!E324,Data!U324,"")</f>
        <v/>
      </c>
      <c r="H324" s="327" t="n"/>
      <c r="I324" s="329">
        <f>IF(J324&lt;&gt;"","S"&amp;TEXT(WEEKNUM(J324),"00"),"")</f>
        <v/>
      </c>
      <c r="J324" s="330">
        <f>IF(AND(E324=Data!R324,Data!AA324&lt;&gt;""),Data!AA324,"")</f>
        <v/>
      </c>
      <c r="K324" s="751">
        <f>IF(AND(E324=Data!R324,Data!AE324&lt;&gt;""),Data!AE324,"")</f>
        <v/>
      </c>
      <c r="L324" s="1039">
        <f>IF(E324=Data!R336,Data!AI336,"")</f>
        <v/>
      </c>
      <c r="M324" s="1039">
        <f>IF(E324=Data!R336,Data!AJ336,"")</f>
        <v/>
      </c>
      <c r="N324">
        <f>IF(AND(Data!R336&lt;&gt;"",Data!L336="Accepté"),Data!K336,"")</f>
        <v/>
      </c>
    </row>
    <row r="325" hidden="1" s="701">
      <c r="A325" s="164">
        <f>IF(AND(Data!R325&lt;&gt;"",Data!L325="Accepté"),Data!G325,"")</f>
        <v/>
      </c>
      <c r="B325" s="164">
        <f>IF(AND(Data!R325&lt;&gt;"",Data!L325="Accepté"),Data!L325,"")</f>
        <v/>
      </c>
      <c r="C325" s="329">
        <f>IF(D325&lt;&gt;"","S"&amp;TEXT(WEEKNUM(D325),"00"),"")</f>
        <v/>
      </c>
      <c r="D325" s="330">
        <f>IF(AND(Data!Q325&lt;&gt;"",Data!L325="Accepté"),Data!Q325,"")</f>
        <v/>
      </c>
      <c r="E325" s="106">
        <f>IF(AND(Data!R325&lt;&gt;"",Data!L325="Accepté"),Data!R325,"")</f>
        <v/>
      </c>
      <c r="F325" s="1037">
        <f>IF(AND(Data!R325&lt;&gt;"",Data!L325="Accepté"),Data!S325,"")</f>
        <v/>
      </c>
      <c r="G325" s="1038">
        <f>IF(Data!R325='Delivery Plan'!E325,Data!U325,"")</f>
        <v/>
      </c>
      <c r="H325" s="327" t="n"/>
      <c r="I325" s="329">
        <f>IF(J325&lt;&gt;"","S"&amp;TEXT(WEEKNUM(J325),"00"),"")</f>
        <v/>
      </c>
      <c r="J325" s="330">
        <f>IF(AND(E325=Data!R325,Data!AA325&lt;&gt;""),Data!AA325,"")</f>
        <v/>
      </c>
      <c r="K325" s="751">
        <f>IF(AND(E325=Data!R325,Data!AE325&lt;&gt;""),Data!AE325,"")</f>
        <v/>
      </c>
      <c r="L325" s="1039">
        <f>IF(E325=Data!R337,Data!AI337,"")</f>
        <v/>
      </c>
      <c r="M325" s="1039">
        <f>IF(E325=Data!R337,Data!AJ337,"")</f>
        <v/>
      </c>
      <c r="N325">
        <f>IF(AND(Data!R337&lt;&gt;"",Data!L337="Accepté"),Data!K337,"")</f>
        <v/>
      </c>
    </row>
    <row r="326" hidden="1" s="701">
      <c r="A326" s="164">
        <f>IF(AND(Data!R326&lt;&gt;"",Data!L326="Accepté"),Data!G326,"")</f>
        <v/>
      </c>
      <c r="B326" s="164">
        <f>IF(AND(Data!R326&lt;&gt;"",Data!L326="Accepté"),Data!L326,"")</f>
        <v/>
      </c>
      <c r="C326" s="329">
        <f>IF(D326&lt;&gt;"","S"&amp;TEXT(WEEKNUM(D326),"00"),"")</f>
        <v/>
      </c>
      <c r="D326" s="330">
        <f>IF(AND(Data!Q326&lt;&gt;"",Data!L326="Accepté"),Data!Q326,"")</f>
        <v/>
      </c>
      <c r="E326" s="106">
        <f>IF(AND(Data!R326&lt;&gt;"",Data!L326="Accepté"),Data!R326,"")</f>
        <v/>
      </c>
      <c r="F326" s="1037">
        <f>IF(AND(Data!R326&lt;&gt;"",Data!L326="Accepté"),Data!S326,"")</f>
        <v/>
      </c>
      <c r="G326" s="1038">
        <f>IF(Data!R326='Delivery Plan'!E326,Data!U326,"")</f>
        <v/>
      </c>
      <c r="H326" s="327" t="n"/>
      <c r="I326" s="329">
        <f>IF(J326&lt;&gt;"","S"&amp;TEXT(WEEKNUM(J326),"00"),"")</f>
        <v/>
      </c>
      <c r="J326" s="330">
        <f>IF(AND(E326=Data!R326,Data!AA326&lt;&gt;""),Data!AA326,"")</f>
        <v/>
      </c>
      <c r="K326" s="751">
        <f>IF(AND(E326=Data!R326,Data!AE326&lt;&gt;""),Data!AE326,"")</f>
        <v/>
      </c>
      <c r="L326" s="1039">
        <f>IF(E326=Data!R338,Data!AI338,"")</f>
        <v/>
      </c>
      <c r="M326" s="1039">
        <f>IF(E326=Data!R338,Data!AJ338,"")</f>
        <v/>
      </c>
      <c r="N326">
        <f>IF(AND(Data!R338&lt;&gt;"",Data!L338="Accepté"),Data!K338,"")</f>
        <v/>
      </c>
    </row>
    <row r="327" hidden="1" s="701">
      <c r="A327" s="164">
        <f>IF(AND(Data!R327&lt;&gt;"",Data!L327="Accepté"),Data!G327,"")</f>
        <v/>
      </c>
      <c r="B327" s="164">
        <f>IF(AND(Data!R327&lt;&gt;"",Data!L327="Accepté"),Data!L327,"")</f>
        <v/>
      </c>
      <c r="C327" s="329">
        <f>IF(D327&lt;&gt;"","S"&amp;TEXT(WEEKNUM(D327),"00"),"")</f>
        <v/>
      </c>
      <c r="D327" s="330">
        <f>IF(AND(Data!Q327&lt;&gt;"",Data!L327="Accepté"),Data!Q327,"")</f>
        <v/>
      </c>
      <c r="E327" s="106">
        <f>IF(AND(Data!R327&lt;&gt;"",Data!L327="Accepté"),Data!R327,"")</f>
        <v/>
      </c>
      <c r="F327" s="1037">
        <f>IF(AND(Data!R327&lt;&gt;"",Data!L327="Accepté"),Data!S327,"")</f>
        <v/>
      </c>
      <c r="G327" s="1038">
        <f>IF(Data!R327='Delivery Plan'!E327,Data!U327,"")</f>
        <v/>
      </c>
      <c r="H327" s="327" t="n"/>
      <c r="I327" s="329">
        <f>IF(J327&lt;&gt;"","S"&amp;TEXT(WEEKNUM(J327),"00"),"")</f>
        <v/>
      </c>
      <c r="J327" s="330">
        <f>IF(AND(E327=Data!R327,Data!AA327&lt;&gt;""),Data!AA327,"")</f>
        <v/>
      </c>
      <c r="K327" s="751">
        <f>IF(AND(E327=Data!R327,Data!AE327&lt;&gt;""),Data!AE327,"")</f>
        <v/>
      </c>
      <c r="L327" s="1039">
        <f>IF(E327=Data!R339,Data!AI339,"")</f>
        <v/>
      </c>
      <c r="M327" s="1039">
        <f>IF(E327=Data!R339,Data!AJ339,"")</f>
        <v/>
      </c>
      <c r="N327">
        <f>IF(AND(Data!R339&lt;&gt;"",Data!L339="Accepté"),Data!K339,"")</f>
        <v/>
      </c>
    </row>
    <row r="328" hidden="1" s="701">
      <c r="A328" s="164">
        <f>IF(AND(Data!R328&lt;&gt;"",Data!L328="Accepté"),Data!G328,"")</f>
        <v/>
      </c>
      <c r="B328" s="164">
        <f>IF(AND(Data!R328&lt;&gt;"",Data!L328="Accepté"),Data!L328,"")</f>
        <v/>
      </c>
      <c r="C328" s="329">
        <f>IF(D328&lt;&gt;"","S"&amp;TEXT(WEEKNUM(D328),"00"),"")</f>
        <v/>
      </c>
      <c r="D328" s="330">
        <f>IF(AND(Data!Q328&lt;&gt;"",Data!L328="Accepté"),Data!Q328,"")</f>
        <v/>
      </c>
      <c r="E328" s="106">
        <f>IF(AND(Data!R328&lt;&gt;"",Data!L328="Accepté"),Data!R328,"")</f>
        <v/>
      </c>
      <c r="F328" s="1037">
        <f>IF(AND(Data!R328&lt;&gt;"",Data!L328="Accepté"),Data!S328,"")</f>
        <v/>
      </c>
      <c r="G328" s="1038">
        <f>IF(Data!R328='Delivery Plan'!E328,Data!U328,"")</f>
        <v/>
      </c>
      <c r="H328" s="327" t="n"/>
      <c r="I328" s="329">
        <f>IF(J328&lt;&gt;"","S"&amp;TEXT(WEEKNUM(J328),"00"),"")</f>
        <v/>
      </c>
      <c r="J328" s="330">
        <f>IF(AND(E328=Data!R328,Data!AA328&lt;&gt;""),Data!AA328,"")</f>
        <v/>
      </c>
      <c r="K328" s="751">
        <f>IF(AND(E328=Data!R328,Data!AE328&lt;&gt;""),Data!AE328,"")</f>
        <v/>
      </c>
      <c r="L328" s="1039">
        <f>IF(E328=Data!R340,Data!AI340,"")</f>
        <v/>
      </c>
      <c r="M328" s="1039">
        <f>IF(E328=Data!R340,Data!AJ340,"")</f>
        <v/>
      </c>
      <c r="N328">
        <f>IF(AND(Data!R340&lt;&gt;"",Data!L340="Accepté"),Data!K340,"")</f>
        <v/>
      </c>
    </row>
    <row r="329" hidden="1" s="701">
      <c r="A329" s="164">
        <f>IF(AND(Data!R329&lt;&gt;"",Data!L329="Accepté"),Data!G329,"")</f>
        <v/>
      </c>
      <c r="B329" s="164">
        <f>IF(AND(Data!R329&lt;&gt;"",Data!L329="Accepté"),Data!L329,"")</f>
        <v/>
      </c>
      <c r="C329" s="329">
        <f>IF(D329&lt;&gt;"","S"&amp;TEXT(WEEKNUM(D329),"00"),"")</f>
        <v/>
      </c>
      <c r="D329" s="330">
        <f>IF(AND(Data!Q329&lt;&gt;"",Data!L329="Accepté"),Data!Q329,"")</f>
        <v/>
      </c>
      <c r="E329" s="106">
        <f>IF(AND(Data!R329&lt;&gt;"",Data!L329="Accepté"),Data!R329,"")</f>
        <v/>
      </c>
      <c r="F329" s="1037">
        <f>IF(AND(Data!R329&lt;&gt;"",Data!L329="Accepté"),Data!S329,"")</f>
        <v/>
      </c>
      <c r="G329" s="1038">
        <f>IF(Data!R329='Delivery Plan'!E329,Data!U329,"")</f>
        <v/>
      </c>
      <c r="H329" s="327" t="n"/>
      <c r="I329" s="329">
        <f>IF(J329&lt;&gt;"","S"&amp;TEXT(WEEKNUM(J329),"00"),"")</f>
        <v/>
      </c>
      <c r="J329" s="330">
        <f>IF(AND(E329=Data!R329,Data!AA329&lt;&gt;""),Data!AA329,"")</f>
        <v/>
      </c>
      <c r="K329" s="751">
        <f>IF(AND(E329=Data!R329,Data!AE329&lt;&gt;""),Data!AE329,"")</f>
        <v/>
      </c>
      <c r="L329" s="1039">
        <f>IF(E329=Data!R341,Data!AI341,"")</f>
        <v/>
      </c>
      <c r="M329" s="1039">
        <f>IF(E329=Data!R341,Data!AJ341,"")</f>
        <v/>
      </c>
      <c r="N329">
        <f>IF(AND(Data!R341&lt;&gt;"",Data!L341="Accepté"),Data!K341,"")</f>
        <v/>
      </c>
    </row>
    <row r="330" hidden="1" s="701">
      <c r="A330" s="164">
        <f>IF(AND(Data!R330&lt;&gt;"",Data!L330="Accepté"),Data!G330,"")</f>
        <v/>
      </c>
      <c r="B330" s="164">
        <f>IF(AND(Data!R330&lt;&gt;"",Data!L330="Accepté"),Data!L330,"")</f>
        <v/>
      </c>
      <c r="C330" s="329">
        <f>IF(D330&lt;&gt;"","S"&amp;TEXT(WEEKNUM(D330),"00"),"")</f>
        <v/>
      </c>
      <c r="D330" s="330">
        <f>IF(AND(Data!Q330&lt;&gt;"",Data!L330="Accepté"),Data!Q330,"")</f>
        <v/>
      </c>
      <c r="E330" s="106">
        <f>IF(AND(Data!R330&lt;&gt;"",Data!L330="Accepté"),Data!R330,"")</f>
        <v/>
      </c>
      <c r="F330" s="1037">
        <f>IF(AND(Data!R330&lt;&gt;"",Data!L330="Accepté"),Data!S330,"")</f>
        <v/>
      </c>
      <c r="G330" s="1038">
        <f>IF(Data!R330='Delivery Plan'!E330,Data!U330,"")</f>
        <v/>
      </c>
      <c r="H330" s="327" t="n"/>
      <c r="I330" s="329">
        <f>IF(J330&lt;&gt;"","S"&amp;TEXT(WEEKNUM(J330),"00"),"")</f>
        <v/>
      </c>
      <c r="J330" s="330">
        <f>IF(AND(E330=Data!R330,Data!AA330&lt;&gt;""),Data!AA330,"")</f>
        <v/>
      </c>
      <c r="K330" s="751">
        <f>IF(AND(E330=Data!R330,Data!AE330&lt;&gt;""),Data!AE330,"")</f>
        <v/>
      </c>
      <c r="L330" s="1039">
        <f>IF(E330=Data!R342,Data!AI342,"")</f>
        <v/>
      </c>
      <c r="M330" s="1039">
        <f>IF(E330=Data!R342,Data!AJ342,"")</f>
        <v/>
      </c>
      <c r="N330">
        <f>IF(AND(Data!R342&lt;&gt;"",Data!L342="Accepté"),Data!K342,"")</f>
        <v/>
      </c>
    </row>
    <row r="331" hidden="1" s="701">
      <c r="A331" s="164">
        <f>IF(AND(Data!R331&lt;&gt;"",Data!L331="Accepté"),Data!G331,"")</f>
        <v/>
      </c>
      <c r="B331" s="164">
        <f>IF(AND(Data!R331&lt;&gt;"",Data!L331="Accepté"),Data!L331,"")</f>
        <v/>
      </c>
      <c r="C331" s="329">
        <f>IF(D331&lt;&gt;"","S"&amp;TEXT(WEEKNUM(D331),"00"),"")</f>
        <v/>
      </c>
      <c r="D331" s="330">
        <f>IF(AND(Data!Q331&lt;&gt;"",Data!L331="Accepté"),Data!Q331,"")</f>
        <v/>
      </c>
      <c r="E331" s="106">
        <f>IF(AND(Data!R331&lt;&gt;"",Data!L331="Accepté"),Data!R331,"")</f>
        <v/>
      </c>
      <c r="F331" s="1037">
        <f>IF(AND(Data!R331&lt;&gt;"",Data!L331="Accepté"),Data!S331,"")</f>
        <v/>
      </c>
      <c r="G331" s="1038">
        <f>IF(Data!R331='Delivery Plan'!E331,Data!U331,"")</f>
        <v/>
      </c>
      <c r="H331" s="327" t="n"/>
      <c r="I331" s="329">
        <f>IF(J331&lt;&gt;"","S"&amp;TEXT(WEEKNUM(J331),"00"),"")</f>
        <v/>
      </c>
      <c r="J331" s="330">
        <f>IF(AND(E331=Data!R331,Data!AA331&lt;&gt;""),Data!AA331,"")</f>
        <v/>
      </c>
      <c r="K331" s="751">
        <f>IF(AND(E331=Data!R331,Data!AE331&lt;&gt;""),Data!AE331,"")</f>
        <v/>
      </c>
      <c r="L331" s="1039">
        <f>IF(E331=Data!R343,Data!AI343,"")</f>
        <v/>
      </c>
      <c r="M331" s="1039">
        <f>IF(E331=Data!R343,Data!AJ343,"")</f>
        <v/>
      </c>
      <c r="N331">
        <f>IF(AND(Data!R343&lt;&gt;"",Data!L343="Accepté"),Data!K343,"")</f>
        <v/>
      </c>
    </row>
    <row r="332" hidden="1" s="701">
      <c r="A332" s="164">
        <f>IF(AND(Data!R332&lt;&gt;"",Data!L332="Accepté"),Data!G332,"")</f>
        <v/>
      </c>
      <c r="B332" s="164">
        <f>IF(AND(Data!R332&lt;&gt;"",Data!L332="Accepté"),Data!L332,"")</f>
        <v/>
      </c>
      <c r="C332" s="329">
        <f>IF(D332&lt;&gt;"","S"&amp;TEXT(WEEKNUM(D332),"00"),"")</f>
        <v/>
      </c>
      <c r="D332" s="330">
        <f>IF(AND(Data!Q332&lt;&gt;"",Data!L332="Accepté"),Data!Q332,"")</f>
        <v/>
      </c>
      <c r="E332" s="106">
        <f>IF(AND(Data!R332&lt;&gt;"",Data!L332="Accepté"),Data!R332,"")</f>
        <v/>
      </c>
      <c r="F332" s="1037">
        <f>IF(AND(Data!R332&lt;&gt;"",Data!L332="Accepté"),Data!S332,"")</f>
        <v/>
      </c>
      <c r="G332" s="1038">
        <f>IF(Data!R332='Delivery Plan'!E332,Data!U332,"")</f>
        <v/>
      </c>
      <c r="H332" s="327" t="n"/>
      <c r="I332" s="329">
        <f>IF(J332&lt;&gt;"","S"&amp;TEXT(WEEKNUM(J332),"00"),"")</f>
        <v/>
      </c>
      <c r="J332" s="330">
        <f>IF(AND(E332=Data!R332,Data!AA332&lt;&gt;""),Data!AA332,"")</f>
        <v/>
      </c>
      <c r="K332" s="751">
        <f>IF(AND(E332=Data!R332,Data!AE332&lt;&gt;""),Data!AE332,"")</f>
        <v/>
      </c>
      <c r="L332" s="1039">
        <f>IF(E332=Data!R344,Data!AI344,"")</f>
        <v/>
      </c>
      <c r="M332" s="1039">
        <f>IF(E332=Data!R344,Data!AJ344,"")</f>
        <v/>
      </c>
      <c r="N332">
        <f>IF(AND(Data!R344&lt;&gt;"",Data!L344="Accepté"),Data!K344,"")</f>
        <v/>
      </c>
    </row>
    <row r="333" hidden="1" s="701">
      <c r="A333" s="164">
        <f>IF(AND(Data!R333&lt;&gt;"",Data!L333="Accepté"),Data!G333,"")</f>
        <v/>
      </c>
      <c r="B333" s="164">
        <f>IF(AND(Data!R333&lt;&gt;"",Data!L333="Accepté"),Data!L333,"")</f>
        <v/>
      </c>
      <c r="C333" s="329">
        <f>IF(D333&lt;&gt;"","S"&amp;TEXT(WEEKNUM(D333),"00"),"")</f>
        <v/>
      </c>
      <c r="D333" s="330">
        <f>IF(AND(Data!Q333&lt;&gt;"",Data!L333="Accepté"),Data!Q333,"")</f>
        <v/>
      </c>
      <c r="E333" s="106">
        <f>IF(AND(Data!R333&lt;&gt;"",Data!L333="Accepté"),Data!R333,"")</f>
        <v/>
      </c>
      <c r="F333" s="1037">
        <f>IF(AND(Data!R333&lt;&gt;"",Data!L333="Accepté"),Data!S333,"")</f>
        <v/>
      </c>
      <c r="G333" s="1038">
        <f>IF(Data!R333='Delivery Plan'!E333,Data!U333,"")</f>
        <v/>
      </c>
      <c r="H333" s="327" t="n"/>
      <c r="I333" s="329">
        <f>IF(J333&lt;&gt;"","S"&amp;TEXT(WEEKNUM(J333),"00"),"")</f>
        <v/>
      </c>
      <c r="J333" s="330">
        <f>IF(AND(E333=Data!R333,Data!AA333&lt;&gt;""),Data!AA333,"")</f>
        <v/>
      </c>
      <c r="K333" s="751">
        <f>IF(AND(E333=Data!R333,Data!AE333&lt;&gt;""),Data!AE333,"")</f>
        <v/>
      </c>
      <c r="L333" s="1039">
        <f>IF(E333=Data!R345,Data!AI345,"")</f>
        <v/>
      </c>
      <c r="M333" s="1039">
        <f>IF(E333=Data!R345,Data!AJ345,"")</f>
        <v/>
      </c>
      <c r="N333">
        <f>IF(AND(Data!R345&lt;&gt;"",Data!L345="Accepté"),Data!K345,"")</f>
        <v/>
      </c>
    </row>
    <row r="334" hidden="1" s="701">
      <c r="A334" s="164">
        <f>IF(AND(Data!R334&lt;&gt;"",Data!L334="Accepté"),Data!G334,"")</f>
        <v/>
      </c>
      <c r="B334" s="164">
        <f>IF(AND(Data!R334&lt;&gt;"",Data!L334="Accepté"),Data!L334,"")</f>
        <v/>
      </c>
      <c r="C334" s="329">
        <f>IF(D334&lt;&gt;"","S"&amp;TEXT(WEEKNUM(D334),"00"),"")</f>
        <v/>
      </c>
      <c r="D334" s="330">
        <f>IF(AND(Data!Q334&lt;&gt;"",Data!L334="Accepté"),Data!Q334,"")</f>
        <v/>
      </c>
      <c r="E334" s="106">
        <f>IF(AND(Data!R334&lt;&gt;"",Data!L334="Accepté"),Data!R334,"")</f>
        <v/>
      </c>
      <c r="F334" s="1037">
        <f>IF(AND(Data!R334&lt;&gt;"",Data!L334="Accepté"),Data!S334,"")</f>
        <v/>
      </c>
      <c r="G334" s="1038">
        <f>IF(Data!R334='Delivery Plan'!E334,Data!U334,"")</f>
        <v/>
      </c>
      <c r="H334" s="327" t="n"/>
      <c r="I334" s="329">
        <f>IF(J334&lt;&gt;"","S"&amp;TEXT(WEEKNUM(J334),"00"),"")</f>
        <v/>
      </c>
      <c r="J334" s="330">
        <f>IF(AND(E334=Data!R334,Data!AA334&lt;&gt;""),Data!AA334,"")</f>
        <v/>
      </c>
      <c r="K334" s="751">
        <f>IF(AND(E334=Data!R334,Data!AE334&lt;&gt;""),Data!AE334,"")</f>
        <v/>
      </c>
      <c r="L334" s="1039">
        <f>IF(E334=Data!R346,Data!AI346,"")</f>
        <v/>
      </c>
      <c r="M334" s="1039">
        <f>IF(E334=Data!R346,Data!AJ346,"")</f>
        <v/>
      </c>
      <c r="N334">
        <f>IF(AND(Data!R346&lt;&gt;"",Data!L346="Accepté"),Data!K346,"")</f>
        <v/>
      </c>
    </row>
    <row r="335" hidden="1" s="701">
      <c r="A335" s="164">
        <f>IF(AND(Data!R335&lt;&gt;"",Data!L335="Accepté"),Data!G335,"")</f>
        <v/>
      </c>
      <c r="B335" s="164">
        <f>IF(AND(Data!R335&lt;&gt;"",Data!L335="Accepté"),Data!L335,"")</f>
        <v/>
      </c>
      <c r="C335" s="329">
        <f>IF(D335&lt;&gt;"","S"&amp;TEXT(WEEKNUM(D335),"00"),"")</f>
        <v/>
      </c>
      <c r="D335" s="330">
        <f>IF(AND(Data!Q335&lt;&gt;"",Data!L335="Accepté"),Data!Q335,"")</f>
        <v/>
      </c>
      <c r="E335" s="106">
        <f>IF(AND(Data!R335&lt;&gt;"",Data!L335="Accepté"),Data!R335,"")</f>
        <v/>
      </c>
      <c r="F335" s="1037">
        <f>IF(AND(Data!R335&lt;&gt;"",Data!L335="Accepté"),Data!S335,"")</f>
        <v/>
      </c>
      <c r="G335" s="1038">
        <f>IF(Data!R335='Delivery Plan'!E335,Data!U335,"")</f>
        <v/>
      </c>
      <c r="H335" s="327" t="n"/>
      <c r="I335" s="329">
        <f>IF(J335&lt;&gt;"","S"&amp;TEXT(WEEKNUM(J335),"00"),"")</f>
        <v/>
      </c>
      <c r="J335" s="330">
        <f>IF(AND(E335=Data!R335,Data!AA335&lt;&gt;""),Data!AA335,"")</f>
        <v/>
      </c>
      <c r="K335" s="751">
        <f>IF(AND(E335=Data!R335,Data!AE335&lt;&gt;""),Data!AE335,"")</f>
        <v/>
      </c>
      <c r="L335" s="1039">
        <f>IF(E335=Data!R347,Data!AI347,"")</f>
        <v/>
      </c>
      <c r="M335" s="1039">
        <f>IF(E335=Data!R347,Data!AJ347,"")</f>
        <v/>
      </c>
      <c r="N335">
        <f>IF(AND(Data!R347&lt;&gt;"",Data!L347="Accepté"),Data!K347,"")</f>
        <v/>
      </c>
    </row>
    <row r="336" hidden="1" s="701">
      <c r="A336" s="164">
        <f>IF(AND(Data!R336&lt;&gt;"",Data!L336="Accepté"),Data!G336,"")</f>
        <v/>
      </c>
      <c r="B336" s="164">
        <f>IF(AND(Data!R336&lt;&gt;"",Data!L336="Accepté"),Data!L336,"")</f>
        <v/>
      </c>
      <c r="C336" s="329">
        <f>IF(D336&lt;&gt;"","S"&amp;TEXT(WEEKNUM(D336),"00"),"")</f>
        <v/>
      </c>
      <c r="D336" s="330">
        <f>IF(AND(Data!Q336&lt;&gt;"",Data!L336="Accepté"),Data!Q336,"")</f>
        <v/>
      </c>
      <c r="E336" s="106">
        <f>IF(AND(Data!R336&lt;&gt;"",Data!L336="Accepté"),Data!R336,"")</f>
        <v/>
      </c>
      <c r="F336" s="1037">
        <f>IF(AND(Data!R336&lt;&gt;"",Data!L336="Accepté"),Data!S336,"")</f>
        <v/>
      </c>
      <c r="G336" s="1038">
        <f>IF(Data!R336='Delivery Plan'!E336,Data!U336,"")</f>
        <v/>
      </c>
      <c r="H336" s="327" t="n"/>
      <c r="I336" s="329">
        <f>IF(J336&lt;&gt;"","S"&amp;TEXT(WEEKNUM(J336),"00"),"")</f>
        <v/>
      </c>
      <c r="J336" s="330">
        <f>IF(AND(E336=Data!R336,Data!AA336&lt;&gt;""),Data!AA336,"")</f>
        <v/>
      </c>
      <c r="K336" s="751">
        <f>IF(AND(E336=Data!R336,Data!AE336&lt;&gt;""),Data!AE336,"")</f>
        <v/>
      </c>
      <c r="L336" s="1039">
        <f>IF(E336=Data!R348,Data!AI348,"")</f>
        <v/>
      </c>
      <c r="M336" s="1039">
        <f>IF(E336=Data!R348,Data!AJ348,"")</f>
        <v/>
      </c>
      <c r="N336">
        <f>IF(AND(Data!R348&lt;&gt;"",Data!L348="Accepté"),Data!K348,"")</f>
        <v/>
      </c>
    </row>
    <row r="337" hidden="1" s="701">
      <c r="A337" s="164">
        <f>IF(AND(Data!R337&lt;&gt;"",Data!L337="Accepté"),Data!G337,"")</f>
        <v/>
      </c>
      <c r="B337" s="164">
        <f>IF(AND(Data!R337&lt;&gt;"",Data!L337="Accepté"),Data!L337,"")</f>
        <v/>
      </c>
      <c r="C337" s="329">
        <f>IF(D337&lt;&gt;"","S"&amp;TEXT(WEEKNUM(D337),"00"),"")</f>
        <v/>
      </c>
      <c r="D337" s="330">
        <f>IF(AND(Data!Q337&lt;&gt;"",Data!L337="Accepté"),Data!Q337,"")</f>
        <v/>
      </c>
      <c r="E337" s="106">
        <f>IF(AND(Data!R337&lt;&gt;"",Data!L337="Accepté"),Data!R337,"")</f>
        <v/>
      </c>
      <c r="F337" s="1037">
        <f>IF(AND(Data!R337&lt;&gt;"",Data!L337="Accepté"),Data!S337,"")</f>
        <v/>
      </c>
      <c r="G337" s="1038">
        <f>IF(Data!R337='Delivery Plan'!E337,Data!U337,"")</f>
        <v/>
      </c>
      <c r="H337" s="327" t="n"/>
      <c r="I337" s="329">
        <f>IF(J337&lt;&gt;"","S"&amp;TEXT(WEEKNUM(J337),"00"),"")</f>
        <v/>
      </c>
      <c r="J337" s="330">
        <f>IF(AND(E337=Data!R337,Data!AA337&lt;&gt;""),Data!AA337,"")</f>
        <v/>
      </c>
      <c r="K337" s="751">
        <f>IF(AND(E337=Data!R337,Data!AE337&lt;&gt;""),Data!AE337,"")</f>
        <v/>
      </c>
      <c r="L337" s="1039">
        <f>IF(E337=Data!R349,Data!AI349,"")</f>
        <v/>
      </c>
      <c r="M337" s="1039">
        <f>IF(E337=Data!R349,Data!AJ349,"")</f>
        <v/>
      </c>
      <c r="N337">
        <f>IF(AND(Data!R349&lt;&gt;"",Data!L349="Accepté"),Data!K349,"")</f>
        <v/>
      </c>
    </row>
    <row r="338" hidden="1" s="701">
      <c r="A338" s="164">
        <f>IF(AND(Data!R338&lt;&gt;"",Data!L338="Accepté"),Data!G338,"")</f>
        <v/>
      </c>
      <c r="B338" s="164">
        <f>IF(AND(Data!R338&lt;&gt;"",Data!L338="Accepté"),Data!L338,"")</f>
        <v/>
      </c>
      <c r="C338" s="329">
        <f>IF(D338&lt;&gt;"","S"&amp;TEXT(WEEKNUM(D338),"00"),"")</f>
        <v/>
      </c>
      <c r="D338" s="330">
        <f>IF(AND(Data!Q338&lt;&gt;"",Data!L338="Accepté"),Data!Q338,"")</f>
        <v/>
      </c>
      <c r="E338" s="106">
        <f>IF(AND(Data!R338&lt;&gt;"",Data!L338="Accepté"),Data!R338,"")</f>
        <v/>
      </c>
      <c r="F338" s="1037">
        <f>IF(AND(Data!R338&lt;&gt;"",Data!L338="Accepté"),Data!S338,"")</f>
        <v/>
      </c>
      <c r="G338" s="1038">
        <f>IF(Data!R338='Delivery Plan'!E338,Data!U338,"")</f>
        <v/>
      </c>
      <c r="H338" s="327" t="n"/>
      <c r="I338" s="329">
        <f>IF(J338&lt;&gt;"","S"&amp;TEXT(WEEKNUM(J338),"00"),"")</f>
        <v/>
      </c>
      <c r="J338" s="330">
        <f>IF(AND(E338=Data!R338,Data!AA338&lt;&gt;""),Data!AA338,"")</f>
        <v/>
      </c>
      <c r="K338" s="751">
        <f>IF(AND(E338=Data!R338,Data!AE338&lt;&gt;""),Data!AE338,"")</f>
        <v/>
      </c>
      <c r="L338" s="1039">
        <f>IF(E338=Data!R350,Data!AI350,"")</f>
        <v/>
      </c>
      <c r="M338" s="1039">
        <f>IF(E338=Data!R350,Data!AJ350,"")</f>
        <v/>
      </c>
      <c r="N338">
        <f>IF(AND(Data!R350&lt;&gt;"",Data!L350="Accepté"),Data!K350,"")</f>
        <v/>
      </c>
    </row>
    <row r="339" hidden="1" s="701">
      <c r="A339" s="164">
        <f>IF(AND(Data!R339&lt;&gt;"",Data!L339="Accepté"),Data!G339,"")</f>
        <v/>
      </c>
      <c r="B339" s="164">
        <f>IF(AND(Data!R339&lt;&gt;"",Data!L339="Accepté"),Data!L339,"")</f>
        <v/>
      </c>
      <c r="C339" s="329">
        <f>IF(D339&lt;&gt;"","S"&amp;TEXT(WEEKNUM(D339),"00"),"")</f>
        <v/>
      </c>
      <c r="D339" s="330">
        <f>IF(AND(Data!Q339&lt;&gt;"",Data!L339="Accepté"),Data!Q339,"")</f>
        <v/>
      </c>
      <c r="E339" s="106">
        <f>IF(AND(Data!R339&lt;&gt;"",Data!L339="Accepté"),Data!R339,"")</f>
        <v/>
      </c>
      <c r="F339" s="1037">
        <f>IF(AND(Data!R339&lt;&gt;"",Data!L339="Accepté"),Data!S339,"")</f>
        <v/>
      </c>
      <c r="G339" s="1038">
        <f>IF(Data!R339='Delivery Plan'!E339,Data!U339,"")</f>
        <v/>
      </c>
      <c r="H339" s="327" t="n"/>
      <c r="I339" s="329">
        <f>IF(J339&lt;&gt;"","S"&amp;TEXT(WEEKNUM(J339),"00"),"")</f>
        <v/>
      </c>
      <c r="J339" s="330">
        <f>IF(AND(E339=Data!R339,Data!AA339&lt;&gt;""),Data!AA339,"")</f>
        <v/>
      </c>
      <c r="K339" s="751">
        <f>IF(AND(E339=Data!R339,Data!AE339&lt;&gt;""),Data!AE339,"")</f>
        <v/>
      </c>
      <c r="L339" s="1039">
        <f>IF(E339=Data!R351,Data!AI351,"")</f>
        <v/>
      </c>
      <c r="M339" s="1039">
        <f>IF(E339=Data!R351,Data!AJ351,"")</f>
        <v/>
      </c>
      <c r="N339">
        <f>IF(AND(Data!R351&lt;&gt;"",Data!L351="Accepté"),Data!K351,"")</f>
        <v/>
      </c>
    </row>
    <row r="340" hidden="1" s="701">
      <c r="A340" s="164">
        <f>IF(AND(Data!R340&lt;&gt;"",Data!L340="Accepté"),Data!G340,"")</f>
        <v/>
      </c>
      <c r="B340" s="164">
        <f>IF(AND(Data!R340&lt;&gt;"",Data!L340="Accepté"),Data!L340,"")</f>
        <v/>
      </c>
      <c r="C340" s="329">
        <f>IF(D340&lt;&gt;"","S"&amp;TEXT(WEEKNUM(D340),"00"),"")</f>
        <v/>
      </c>
      <c r="D340" s="330">
        <f>IF(AND(Data!Q340&lt;&gt;"",Data!L340="Accepté"),Data!Q340,"")</f>
        <v/>
      </c>
      <c r="E340" s="106">
        <f>IF(AND(Data!R340&lt;&gt;"",Data!L340="Accepté"),Data!R340,"")</f>
        <v/>
      </c>
      <c r="F340" s="1037">
        <f>IF(AND(Data!R340&lt;&gt;"",Data!L340="Accepté"),Data!S340,"")</f>
        <v/>
      </c>
      <c r="G340" s="1038">
        <f>IF(Data!R340='Delivery Plan'!E340,Data!U340,"")</f>
        <v/>
      </c>
      <c r="H340" s="327" t="n"/>
      <c r="I340" s="329">
        <f>IF(J340&lt;&gt;"","S"&amp;TEXT(WEEKNUM(J340),"00"),"")</f>
        <v/>
      </c>
      <c r="J340" s="330">
        <f>IF(AND(E340=Data!R340,Data!AA340&lt;&gt;""),Data!AA340,"")</f>
        <v/>
      </c>
      <c r="K340" s="751">
        <f>IF(AND(E340=Data!R340,Data!AE340&lt;&gt;""),Data!AE340,"")</f>
        <v/>
      </c>
      <c r="L340" s="1039">
        <f>IF(E340=Data!R352,Data!AI352,"")</f>
        <v/>
      </c>
      <c r="M340" s="1039">
        <f>IF(E340=Data!R352,Data!AJ352,"")</f>
        <v/>
      </c>
      <c r="N340">
        <f>IF(AND(Data!R352&lt;&gt;"",Data!L352="Accepté"),Data!K352,"")</f>
        <v/>
      </c>
    </row>
    <row r="341" hidden="1" s="701">
      <c r="A341" s="164">
        <f>IF(AND(Data!R341&lt;&gt;"",Data!L341="Accepté"),Data!G341,"")</f>
        <v/>
      </c>
      <c r="B341" s="164">
        <f>IF(AND(Data!R341&lt;&gt;"",Data!L341="Accepté"),Data!L341,"")</f>
        <v/>
      </c>
      <c r="C341" s="329">
        <f>IF(D341&lt;&gt;"","S"&amp;TEXT(WEEKNUM(D341),"00"),"")</f>
        <v/>
      </c>
      <c r="D341" s="330">
        <f>IF(AND(Data!Q341&lt;&gt;"",Data!L341="Accepté"),Data!Q341,"")</f>
        <v/>
      </c>
      <c r="E341" s="106">
        <f>IF(AND(Data!R341&lt;&gt;"",Data!L341="Accepté"),Data!R341,"")</f>
        <v/>
      </c>
      <c r="F341" s="1037">
        <f>IF(AND(Data!R341&lt;&gt;"",Data!L341="Accepté"),Data!S341,"")</f>
        <v/>
      </c>
      <c r="G341" s="1038">
        <f>IF(Data!R341='Delivery Plan'!E341,Data!U341,"")</f>
        <v/>
      </c>
      <c r="H341" s="327" t="n"/>
      <c r="I341" s="329">
        <f>IF(J341&lt;&gt;"","S"&amp;TEXT(WEEKNUM(J341),"00"),"")</f>
        <v/>
      </c>
      <c r="J341" s="330">
        <f>IF(AND(E341=Data!R341,Data!AA341&lt;&gt;""),Data!AA341,"")</f>
        <v/>
      </c>
      <c r="K341" s="751">
        <f>IF(AND(E341=Data!R341,Data!AE341&lt;&gt;""),Data!AE341,"")</f>
        <v/>
      </c>
      <c r="L341" s="1039">
        <f>IF(E341=Data!R353,Data!AI353,"")</f>
        <v/>
      </c>
      <c r="M341" s="1039">
        <f>IF(E341=Data!R353,Data!AJ353,"")</f>
        <v/>
      </c>
      <c r="N341">
        <f>IF(AND(Data!R353&lt;&gt;"",Data!L353="Accepté"),Data!K353,"")</f>
        <v/>
      </c>
    </row>
    <row r="342" hidden="1" s="701">
      <c r="A342" s="164">
        <f>IF(AND(Data!R342&lt;&gt;"",Data!L342="Accepté"),Data!G342,"")</f>
        <v/>
      </c>
      <c r="B342" s="164">
        <f>IF(AND(Data!R342&lt;&gt;"",Data!L342="Accepté"),Data!L342,"")</f>
        <v/>
      </c>
      <c r="C342" s="329">
        <f>IF(D342&lt;&gt;"","S"&amp;TEXT(WEEKNUM(D342),"00"),"")</f>
        <v/>
      </c>
      <c r="D342" s="330">
        <f>IF(AND(Data!Q342&lt;&gt;"",Data!L342="Accepté"),Data!Q342,"")</f>
        <v/>
      </c>
      <c r="E342" s="106">
        <f>IF(AND(Data!R342&lt;&gt;"",Data!L342="Accepté"),Data!R342,"")</f>
        <v/>
      </c>
      <c r="F342" s="1037">
        <f>IF(AND(Data!R342&lt;&gt;"",Data!L342="Accepté"),Data!S342,"")</f>
        <v/>
      </c>
      <c r="G342" s="1038">
        <f>IF(Data!R342='Delivery Plan'!E342,Data!U342,"")</f>
        <v/>
      </c>
      <c r="H342" s="327" t="n"/>
      <c r="I342" s="329">
        <f>IF(J342&lt;&gt;"","S"&amp;TEXT(WEEKNUM(J342),"00"),"")</f>
        <v/>
      </c>
      <c r="J342" s="330">
        <f>IF(AND(E342=Data!R342,Data!AA342&lt;&gt;""),Data!AA342,"")</f>
        <v/>
      </c>
      <c r="K342" s="751">
        <f>IF(AND(E342=Data!R342,Data!AE342&lt;&gt;""),Data!AE342,"")</f>
        <v/>
      </c>
      <c r="L342" s="1039">
        <f>IF(E342=Data!R354,Data!AI354,"")</f>
        <v/>
      </c>
      <c r="M342" s="1039">
        <f>IF(E342=Data!R354,Data!AJ354,"")</f>
        <v/>
      </c>
      <c r="N342">
        <f>IF(AND(Data!R354&lt;&gt;"",Data!L354="Accepté"),Data!K354,"")</f>
        <v/>
      </c>
    </row>
    <row r="343" hidden="1" s="701">
      <c r="A343" s="164">
        <f>IF(AND(Data!R343&lt;&gt;"",Data!L343="Accepté"),Data!G343,"")</f>
        <v/>
      </c>
      <c r="B343" s="164">
        <f>IF(AND(Data!R343&lt;&gt;"",Data!L343="Accepté"),Data!L343,"")</f>
        <v/>
      </c>
      <c r="C343" s="329">
        <f>IF(D343&lt;&gt;"","S"&amp;TEXT(WEEKNUM(D343),"00"),"")</f>
        <v/>
      </c>
      <c r="D343" s="330">
        <f>IF(AND(Data!Q343&lt;&gt;"",Data!L343="Accepté"),Data!Q343,"")</f>
        <v/>
      </c>
      <c r="E343" s="106">
        <f>IF(AND(Data!R343&lt;&gt;"",Data!L343="Accepté"),Data!R343,"")</f>
        <v/>
      </c>
      <c r="F343" s="1037">
        <f>IF(AND(Data!R343&lt;&gt;"",Data!L343="Accepté"),Data!S343,"")</f>
        <v/>
      </c>
      <c r="G343" s="1038">
        <f>IF(Data!R343='Delivery Plan'!E343,Data!U343,"")</f>
        <v/>
      </c>
      <c r="H343" s="327" t="n"/>
      <c r="I343" s="329">
        <f>IF(J343&lt;&gt;"","S"&amp;TEXT(WEEKNUM(J343),"00"),"")</f>
        <v/>
      </c>
      <c r="J343" s="330">
        <f>IF(AND(E343=Data!R343,Data!AA343&lt;&gt;""),Data!AA343,"")</f>
        <v/>
      </c>
      <c r="K343" s="751">
        <f>IF(AND(E343=Data!R343,Data!AE343&lt;&gt;""),Data!AE343,"")</f>
        <v/>
      </c>
      <c r="L343" s="1039">
        <f>IF(E343=Data!R355,Data!AI355,"")</f>
        <v/>
      </c>
      <c r="M343" s="1039">
        <f>IF(E343=Data!R355,Data!AJ355,"")</f>
        <v/>
      </c>
      <c r="N343">
        <f>IF(AND(Data!R355&lt;&gt;"",Data!L355="Accepté"),Data!K355,"")</f>
        <v/>
      </c>
    </row>
    <row r="344" hidden="1" s="701">
      <c r="A344" s="164">
        <f>IF(AND(Data!R344&lt;&gt;"",Data!L344="Accepté"),Data!G344,"")</f>
        <v/>
      </c>
      <c r="B344" s="164">
        <f>IF(AND(Data!R344&lt;&gt;"",Data!L344="Accepté"),Data!L344,"")</f>
        <v/>
      </c>
      <c r="C344" s="329">
        <f>IF(D344&lt;&gt;"","S"&amp;TEXT(WEEKNUM(D344),"00"),"")</f>
        <v/>
      </c>
      <c r="D344" s="330">
        <f>IF(AND(Data!Q344&lt;&gt;"",Data!L344="Accepté"),Data!Q344,"")</f>
        <v/>
      </c>
      <c r="E344" s="106">
        <f>IF(AND(Data!R344&lt;&gt;"",Data!L344="Accepté"),Data!R344,"")</f>
        <v/>
      </c>
      <c r="F344" s="1037">
        <f>IF(AND(Data!R344&lt;&gt;"",Data!L344="Accepté"),Data!S344,"")</f>
        <v/>
      </c>
      <c r="G344" s="1038">
        <f>IF(Data!R344='Delivery Plan'!E344,Data!U344,"")</f>
        <v/>
      </c>
      <c r="H344" s="327" t="n"/>
      <c r="I344" s="329">
        <f>IF(J344&lt;&gt;"","S"&amp;TEXT(WEEKNUM(J344),"00"),"")</f>
        <v/>
      </c>
      <c r="J344" s="330">
        <f>IF(AND(E344=Data!R344,Data!AA344&lt;&gt;""),Data!AA344,"")</f>
        <v/>
      </c>
      <c r="K344" s="751">
        <f>IF(AND(E344=Data!R344,Data!AE344&lt;&gt;""),Data!AE344,"")</f>
        <v/>
      </c>
      <c r="L344" s="1039">
        <f>IF(E344=Data!R356,Data!AI356,"")</f>
        <v/>
      </c>
      <c r="M344" s="1039">
        <f>IF(E344=Data!R356,Data!AJ356,"")</f>
        <v/>
      </c>
      <c r="N344">
        <f>IF(AND(Data!R356&lt;&gt;"",Data!L356="Accepté"),Data!K356,"")</f>
        <v/>
      </c>
    </row>
    <row r="345" hidden="1" s="701">
      <c r="A345" s="164">
        <f>IF(AND(Data!R345&lt;&gt;"",Data!L345="Accepté"),Data!G345,"")</f>
        <v/>
      </c>
      <c r="B345" s="164">
        <f>IF(AND(Data!R345&lt;&gt;"",Data!L345="Accepté"),Data!L345,"")</f>
        <v/>
      </c>
      <c r="C345" s="329">
        <f>IF(D345&lt;&gt;"","S"&amp;TEXT(WEEKNUM(D345),"00"),"")</f>
        <v/>
      </c>
      <c r="D345" s="330">
        <f>IF(AND(Data!Q345&lt;&gt;"",Data!L345="Accepté"),Data!Q345,"")</f>
        <v/>
      </c>
      <c r="E345" s="106">
        <f>IF(AND(Data!R345&lt;&gt;"",Data!L345="Accepté"),Data!R345,"")</f>
        <v/>
      </c>
      <c r="F345" s="1037">
        <f>IF(AND(Data!R345&lt;&gt;"",Data!L345="Accepté"),Data!S345,"")</f>
        <v/>
      </c>
      <c r="G345" s="1038">
        <f>IF(Data!R345='Delivery Plan'!E345,Data!U345,"")</f>
        <v/>
      </c>
      <c r="H345" s="327" t="n"/>
      <c r="I345" s="329">
        <f>IF(J345&lt;&gt;"","S"&amp;TEXT(WEEKNUM(J345),"00"),"")</f>
        <v/>
      </c>
      <c r="J345" s="330">
        <f>IF(AND(E345=Data!R345,Data!AA345&lt;&gt;""),Data!AA345,"")</f>
        <v/>
      </c>
      <c r="K345" s="751">
        <f>IF(AND(E345=Data!R345,Data!AE345&lt;&gt;""),Data!AE345,"")</f>
        <v/>
      </c>
      <c r="L345" s="1039">
        <f>IF(E345=Data!R357,Data!AI357,"")</f>
        <v/>
      </c>
      <c r="M345" s="1039">
        <f>IF(E345=Data!R357,Data!AJ357,"")</f>
        <v/>
      </c>
      <c r="N345">
        <f>IF(AND(Data!R357&lt;&gt;"",Data!L357="Accepté"),Data!K357,"")</f>
        <v/>
      </c>
    </row>
    <row r="346" hidden="1" s="701">
      <c r="A346" s="164">
        <f>IF(AND(Data!R346&lt;&gt;"",Data!L346="Accepté"),Data!G346,"")</f>
        <v/>
      </c>
      <c r="B346" s="164">
        <f>IF(AND(Data!R346&lt;&gt;"",Data!L346="Accepté"),Data!L346,"")</f>
        <v/>
      </c>
      <c r="C346" s="329">
        <f>IF(D346&lt;&gt;"","S"&amp;TEXT(WEEKNUM(D346),"00"),"")</f>
        <v/>
      </c>
      <c r="D346" s="330">
        <f>IF(AND(Data!Q346&lt;&gt;"",Data!L346="Accepté"),Data!Q346,"")</f>
        <v/>
      </c>
      <c r="E346" s="106">
        <f>IF(AND(Data!R346&lt;&gt;"",Data!L346="Accepté"),Data!R346,"")</f>
        <v/>
      </c>
      <c r="F346" s="1037">
        <f>IF(AND(Data!R346&lt;&gt;"",Data!L346="Accepté"),Data!S346,"")</f>
        <v/>
      </c>
      <c r="G346" s="1038">
        <f>IF(Data!R346='Delivery Plan'!E346,Data!U346,"")</f>
        <v/>
      </c>
      <c r="H346" s="327" t="n"/>
      <c r="I346" s="329">
        <f>IF(J346&lt;&gt;"","S"&amp;TEXT(WEEKNUM(J346),"00"),"")</f>
        <v/>
      </c>
      <c r="J346" s="330">
        <f>IF(AND(E346=Data!R346,Data!AA346&lt;&gt;""),Data!AA346,"")</f>
        <v/>
      </c>
      <c r="K346" s="751">
        <f>IF(AND(E346=Data!R346,Data!AE346&lt;&gt;""),Data!AE346,"")</f>
        <v/>
      </c>
      <c r="L346" s="1039">
        <f>IF(E346=Data!R358,Data!AI358,"")</f>
        <v/>
      </c>
      <c r="M346" s="1039">
        <f>IF(E346=Data!R358,Data!AJ358,"")</f>
        <v/>
      </c>
      <c r="N346">
        <f>IF(AND(Data!R358&lt;&gt;"",Data!L358="Accepté"),Data!K358,"")</f>
        <v/>
      </c>
    </row>
    <row r="347" hidden="1" s="701">
      <c r="A347" s="164">
        <f>IF(AND(Data!R347&lt;&gt;"",Data!L347="Accepté"),Data!G347,"")</f>
        <v/>
      </c>
      <c r="B347" s="164">
        <f>IF(AND(Data!R347&lt;&gt;"",Data!L347="Accepté"),Data!L347,"")</f>
        <v/>
      </c>
      <c r="C347" s="329">
        <f>IF(D347&lt;&gt;"","S"&amp;TEXT(WEEKNUM(D347),"00"),"")</f>
        <v/>
      </c>
      <c r="D347" s="330">
        <f>IF(AND(Data!Q347&lt;&gt;"",Data!L347="Accepté"),Data!Q347,"")</f>
        <v/>
      </c>
      <c r="E347" s="106">
        <f>IF(AND(Data!R347&lt;&gt;"",Data!L347="Accepté"),Data!R347,"")</f>
        <v/>
      </c>
      <c r="F347" s="1037">
        <f>IF(AND(Data!R347&lt;&gt;"",Data!L347="Accepté"),Data!S347,"")</f>
        <v/>
      </c>
      <c r="G347" s="1038">
        <f>IF(Data!R347='Delivery Plan'!E347,Data!U347,"")</f>
        <v/>
      </c>
      <c r="H347" s="327" t="n"/>
      <c r="I347" s="329">
        <f>IF(J347&lt;&gt;"","S"&amp;TEXT(WEEKNUM(J347),"00"),"")</f>
        <v/>
      </c>
      <c r="J347" s="330">
        <f>IF(AND(E347=Data!R347,Data!AA347&lt;&gt;""),Data!AA347,"")</f>
        <v/>
      </c>
      <c r="K347" s="751">
        <f>IF(AND(E347=Data!R347,Data!AE347&lt;&gt;""),Data!AE347,"")</f>
        <v/>
      </c>
      <c r="L347" s="1039">
        <f>IF(E347=Data!R359,Data!AI359,"")</f>
        <v/>
      </c>
      <c r="M347" s="1039">
        <f>IF(E347=Data!R359,Data!AJ359,"")</f>
        <v/>
      </c>
      <c r="N347">
        <f>IF(AND(Data!R359&lt;&gt;"",Data!L359="Accepté"),Data!K359,"")</f>
        <v/>
      </c>
    </row>
    <row r="348" hidden="1" s="701">
      <c r="A348" s="164">
        <f>IF(AND(Data!R348&lt;&gt;"",Data!L348="Accepté"),Data!G348,"")</f>
        <v/>
      </c>
      <c r="B348" s="164">
        <f>IF(AND(Data!R348&lt;&gt;"",Data!L348="Accepté"),Data!L348,"")</f>
        <v/>
      </c>
      <c r="C348" s="329">
        <f>IF(D348&lt;&gt;"","S"&amp;TEXT(WEEKNUM(D348),"00"),"")</f>
        <v/>
      </c>
      <c r="D348" s="330">
        <f>IF(AND(Data!Q348&lt;&gt;"",Data!L348="Accepté"),Data!Q348,"")</f>
        <v/>
      </c>
      <c r="E348" s="106">
        <f>IF(AND(Data!R348&lt;&gt;"",Data!L348="Accepté"),Data!R348,"")</f>
        <v/>
      </c>
      <c r="F348" s="1037">
        <f>IF(AND(Data!R348&lt;&gt;"",Data!L348="Accepté"),Data!S348,"")</f>
        <v/>
      </c>
      <c r="G348" s="1038">
        <f>IF(Data!R348='Delivery Plan'!E348,Data!U348,"")</f>
        <v/>
      </c>
      <c r="H348" s="327" t="n"/>
      <c r="I348" s="329">
        <f>IF(J348&lt;&gt;"","S"&amp;TEXT(WEEKNUM(J348),"00"),"")</f>
        <v/>
      </c>
      <c r="J348" s="330">
        <f>IF(AND(E348=Data!R348,Data!AA348&lt;&gt;""),Data!AA348,"")</f>
        <v/>
      </c>
      <c r="K348" s="751">
        <f>IF(AND(E348=Data!R348,Data!AE348&lt;&gt;""),Data!AE348,"")</f>
        <v/>
      </c>
      <c r="L348" s="1039">
        <f>IF(E348=Data!R360,Data!AI360,"")</f>
        <v/>
      </c>
      <c r="M348" s="1039">
        <f>IF(E348=Data!R360,Data!AJ360,"")</f>
        <v/>
      </c>
      <c r="N348">
        <f>IF(AND(Data!R360&lt;&gt;"",Data!L360="Accepté"),Data!K360,"")</f>
        <v/>
      </c>
    </row>
    <row r="349" hidden="1" s="701">
      <c r="A349" s="164">
        <f>IF(AND(Data!R349&lt;&gt;"",Data!L349="Accepté"),Data!G349,"")</f>
        <v/>
      </c>
      <c r="B349" s="164">
        <f>IF(AND(Data!R349&lt;&gt;"",Data!L349="Accepté"),Data!L349,"")</f>
        <v/>
      </c>
      <c r="C349" s="329">
        <f>IF(D349&lt;&gt;"","S"&amp;TEXT(WEEKNUM(D349),"00"),"")</f>
        <v/>
      </c>
      <c r="D349" s="330">
        <f>IF(AND(Data!Q349&lt;&gt;"",Data!L349="Accepté"),Data!Q349,"")</f>
        <v/>
      </c>
      <c r="E349" s="106">
        <f>IF(AND(Data!R349&lt;&gt;"",Data!L349="Accepté"),Data!R349,"")</f>
        <v/>
      </c>
      <c r="F349" s="1037">
        <f>IF(AND(Data!R349&lt;&gt;"",Data!L349="Accepté"),Data!S349,"")</f>
        <v/>
      </c>
      <c r="G349" s="1038">
        <f>IF(Data!R349='Delivery Plan'!E349,Data!U349,"")</f>
        <v/>
      </c>
      <c r="H349" s="327" t="n"/>
      <c r="I349" s="329">
        <f>IF(J349&lt;&gt;"","S"&amp;TEXT(WEEKNUM(J349),"00"),"")</f>
        <v/>
      </c>
      <c r="J349" s="330">
        <f>IF(AND(E349=Data!R349,Data!AA349&lt;&gt;""),Data!AA349,"")</f>
        <v/>
      </c>
      <c r="K349" s="751">
        <f>IF(AND(E349=Data!R349,Data!AE349&lt;&gt;""),Data!AE349,"")</f>
        <v/>
      </c>
      <c r="L349" s="1039">
        <f>IF(E349=Data!R361,Data!AI361,"")</f>
        <v/>
      </c>
      <c r="M349" s="1039">
        <f>IF(E349=Data!R361,Data!AJ361,"")</f>
        <v/>
      </c>
      <c r="N349">
        <f>IF(AND(Data!R361&lt;&gt;"",Data!L361="Accepté"),Data!K361,"")</f>
        <v/>
      </c>
    </row>
    <row r="350" hidden="1" s="701">
      <c r="A350" s="164">
        <f>IF(AND(Data!R350&lt;&gt;"",Data!L350="Accepté"),Data!G350,"")</f>
        <v/>
      </c>
      <c r="B350" s="164">
        <f>IF(AND(Data!R350&lt;&gt;"",Data!L350="Accepté"),Data!L350,"")</f>
        <v/>
      </c>
      <c r="C350" s="329">
        <f>IF(D350&lt;&gt;"","S"&amp;TEXT(WEEKNUM(D350),"00"),"")</f>
        <v/>
      </c>
      <c r="D350" s="330">
        <f>IF(AND(Data!Q350&lt;&gt;"",Data!L350="Accepté"),Data!Q350,"")</f>
        <v/>
      </c>
      <c r="E350" s="106">
        <f>IF(AND(Data!R350&lt;&gt;"",Data!L350="Accepté"),Data!R350,"")</f>
        <v/>
      </c>
      <c r="F350" s="1037">
        <f>IF(AND(Data!R350&lt;&gt;"",Data!L350="Accepté"),Data!S350,"")</f>
        <v/>
      </c>
      <c r="G350" s="1038">
        <f>IF(Data!R350='Delivery Plan'!E350,Data!U350,"")</f>
        <v/>
      </c>
      <c r="H350" s="327" t="n"/>
      <c r="I350" s="329">
        <f>IF(J350&lt;&gt;"","S"&amp;TEXT(WEEKNUM(J350),"00"),"")</f>
        <v/>
      </c>
      <c r="J350" s="330">
        <f>IF(AND(E350=Data!R350,Data!AA350&lt;&gt;""),Data!AA350,"")</f>
        <v/>
      </c>
      <c r="K350" s="751">
        <f>IF(AND(E350=Data!R350,Data!AE350&lt;&gt;""),Data!AE350,"")</f>
        <v/>
      </c>
      <c r="L350" s="1039">
        <f>IF(E350=Data!R362,Data!AI362,"")</f>
        <v/>
      </c>
      <c r="M350" s="1039">
        <f>IF(E350=Data!R362,Data!AJ362,"")</f>
        <v/>
      </c>
      <c r="N350">
        <f>IF(AND(Data!R362&lt;&gt;"",Data!L362="Accepté"),Data!K362,"")</f>
        <v/>
      </c>
    </row>
    <row r="351" hidden="1" s="701">
      <c r="A351" s="164">
        <f>IF(AND(Data!R351&lt;&gt;"",Data!L351="Accepté"),Data!G351,"")</f>
        <v/>
      </c>
      <c r="B351" s="164">
        <f>IF(AND(Data!R351&lt;&gt;"",Data!L351="Accepté"),Data!L351,"")</f>
        <v/>
      </c>
      <c r="C351" s="329">
        <f>IF(D351&lt;&gt;"","S"&amp;TEXT(WEEKNUM(D351),"00"),"")</f>
        <v/>
      </c>
      <c r="D351" s="330">
        <f>IF(AND(Data!Q351&lt;&gt;"",Data!L351="Accepté"),Data!Q351,"")</f>
        <v/>
      </c>
      <c r="E351" s="106">
        <f>IF(AND(Data!R351&lt;&gt;"",Data!L351="Accepté"),Data!R351,"")</f>
        <v/>
      </c>
      <c r="F351" s="1037">
        <f>IF(AND(Data!R351&lt;&gt;"",Data!L351="Accepté"),Data!S351,"")</f>
        <v/>
      </c>
      <c r="G351" s="1038">
        <f>IF(Data!R351='Delivery Plan'!E351,Data!U351,"")</f>
        <v/>
      </c>
      <c r="H351" s="327" t="n"/>
      <c r="I351" s="329">
        <f>IF(J351&lt;&gt;"","S"&amp;TEXT(WEEKNUM(J351),"00"),"")</f>
        <v/>
      </c>
      <c r="J351" s="330">
        <f>IF(AND(E351=Data!R351,Data!AA351&lt;&gt;""),Data!AA351,"")</f>
        <v/>
      </c>
      <c r="K351" s="751">
        <f>IF(AND(E351=Data!R351,Data!AE351&lt;&gt;""),Data!AE351,"")</f>
        <v/>
      </c>
      <c r="L351" s="1039">
        <f>IF(E351=Data!R363,Data!AI363,"")</f>
        <v/>
      </c>
      <c r="M351" s="1039">
        <f>IF(E351=Data!R363,Data!AJ363,"")</f>
        <v/>
      </c>
      <c r="N351">
        <f>IF(AND(Data!R363&lt;&gt;"",Data!L363="Accepté"),Data!K363,"")</f>
        <v/>
      </c>
    </row>
    <row r="352" hidden="1" s="701">
      <c r="A352" s="164">
        <f>IF(AND(Data!R352&lt;&gt;"",Data!L352="Accepté"),Data!G352,"")</f>
        <v/>
      </c>
      <c r="B352" s="164">
        <f>IF(AND(Data!R352&lt;&gt;"",Data!L352="Accepté"),Data!L352,"")</f>
        <v/>
      </c>
      <c r="C352" s="329">
        <f>IF(D352&lt;&gt;"","S"&amp;TEXT(WEEKNUM(D352),"00"),"")</f>
        <v/>
      </c>
      <c r="D352" s="330">
        <f>IF(AND(Data!Q352&lt;&gt;"",Data!L352="Accepté"),Data!Q352,"")</f>
        <v/>
      </c>
      <c r="E352" s="106">
        <f>IF(AND(Data!R352&lt;&gt;"",Data!L352="Accepté"),Data!R352,"")</f>
        <v/>
      </c>
      <c r="F352" s="1037">
        <f>IF(AND(Data!R352&lt;&gt;"",Data!L352="Accepté"),Data!S352,"")</f>
        <v/>
      </c>
      <c r="G352" s="1038">
        <f>IF(Data!R352='Delivery Plan'!E352,Data!U352,"")</f>
        <v/>
      </c>
      <c r="H352" s="327" t="n"/>
      <c r="I352" s="329">
        <f>IF(J352&lt;&gt;"","S"&amp;TEXT(WEEKNUM(J352),"00"),"")</f>
        <v/>
      </c>
      <c r="J352" s="330">
        <f>IF(AND(E352=Data!R352,Data!AA352&lt;&gt;""),Data!AA352,"")</f>
        <v/>
      </c>
      <c r="K352" s="751">
        <f>IF(AND(E352=Data!R352,Data!AE352&lt;&gt;""),Data!AE352,"")</f>
        <v/>
      </c>
      <c r="L352" s="1039">
        <f>IF(E352=Data!R364,Data!AI364,"")</f>
        <v/>
      </c>
      <c r="M352" s="1039">
        <f>IF(E352=Data!R364,Data!AJ364,"")</f>
        <v/>
      </c>
      <c r="N352">
        <f>IF(AND(Data!R364&lt;&gt;"",Data!L364="Accepté"),Data!K364,"")</f>
        <v/>
      </c>
    </row>
    <row r="353" hidden="1" s="701">
      <c r="A353" s="164">
        <f>IF(AND(Data!R353&lt;&gt;"",Data!L353="Accepté"),Data!G353,"")</f>
        <v/>
      </c>
      <c r="B353" s="164">
        <f>IF(AND(Data!R353&lt;&gt;"",Data!L353="Accepté"),Data!L353,"")</f>
        <v/>
      </c>
      <c r="C353" s="329">
        <f>IF(D353&lt;&gt;"","S"&amp;TEXT(WEEKNUM(D353),"00"),"")</f>
        <v/>
      </c>
      <c r="D353" s="330">
        <f>IF(AND(Data!Q353&lt;&gt;"",Data!L353="Accepté"),Data!Q353,"")</f>
        <v/>
      </c>
      <c r="E353" s="106">
        <f>IF(AND(Data!R353&lt;&gt;"",Data!L353="Accepté"),Data!R353,"")</f>
        <v/>
      </c>
      <c r="F353" s="1037">
        <f>IF(AND(Data!R353&lt;&gt;"",Data!L353="Accepté"),Data!S353,"")</f>
        <v/>
      </c>
      <c r="G353" s="1038">
        <f>IF(Data!R353='Delivery Plan'!E353,Data!U353,"")</f>
        <v/>
      </c>
      <c r="H353" s="327" t="n"/>
      <c r="I353" s="329">
        <f>IF(J353&lt;&gt;"","S"&amp;TEXT(WEEKNUM(J353),"00"),"")</f>
        <v/>
      </c>
      <c r="J353" s="330">
        <f>IF(AND(E353=Data!R353,Data!AA353&lt;&gt;""),Data!AA353,"")</f>
        <v/>
      </c>
      <c r="K353" s="751">
        <f>IF(AND(E353=Data!R353,Data!AE353&lt;&gt;""),Data!AE353,"")</f>
        <v/>
      </c>
      <c r="L353" s="1039">
        <f>IF(E353=Data!R365,Data!AI365,"")</f>
        <v/>
      </c>
      <c r="M353" s="1039">
        <f>IF(E353=Data!R365,Data!AJ365,"")</f>
        <v/>
      </c>
      <c r="N353">
        <f>IF(AND(Data!R365&lt;&gt;"",Data!L365="Accepté"),Data!K365,"")</f>
        <v/>
      </c>
    </row>
    <row r="354" hidden="1" s="701">
      <c r="A354" s="164">
        <f>IF(AND(Data!R354&lt;&gt;"",Data!L354="Accepté"),Data!G354,"")</f>
        <v/>
      </c>
      <c r="B354" s="164">
        <f>IF(AND(Data!R354&lt;&gt;"",Data!L354="Accepté"),Data!L354,"")</f>
        <v/>
      </c>
      <c r="C354" s="329">
        <f>IF(D354&lt;&gt;"","S"&amp;TEXT(WEEKNUM(D354),"00"),"")</f>
        <v/>
      </c>
      <c r="D354" s="330">
        <f>IF(AND(Data!Q354&lt;&gt;"",Data!L354="Accepté"),Data!Q354,"")</f>
        <v/>
      </c>
      <c r="E354" s="106">
        <f>IF(AND(Data!R354&lt;&gt;"",Data!L354="Accepté"),Data!R354,"")</f>
        <v/>
      </c>
      <c r="F354" s="1037">
        <f>IF(AND(Data!R354&lt;&gt;"",Data!L354="Accepté"),Data!S354,"")</f>
        <v/>
      </c>
      <c r="G354" s="1038">
        <f>IF(Data!R354='Delivery Plan'!E354,Data!U354,"")</f>
        <v/>
      </c>
      <c r="H354" s="327" t="n"/>
      <c r="I354" s="329">
        <f>IF(J354&lt;&gt;"","S"&amp;TEXT(WEEKNUM(J354),"00"),"")</f>
        <v/>
      </c>
      <c r="J354" s="330">
        <f>IF(AND(E354=Data!R354,Data!AA354&lt;&gt;""),Data!AA354,"")</f>
        <v/>
      </c>
      <c r="K354" s="751">
        <f>IF(AND(E354=Data!R354,Data!AE354&lt;&gt;""),Data!AE354,"")</f>
        <v/>
      </c>
      <c r="L354" s="1039">
        <f>IF(E354=Data!R366,Data!AI366,"")</f>
        <v/>
      </c>
      <c r="M354" s="1039">
        <f>IF(E354=Data!R366,Data!AJ366,"")</f>
        <v/>
      </c>
      <c r="N354">
        <f>IF(AND(Data!R366&lt;&gt;"",Data!L366="Accepté"),Data!K366,"")</f>
        <v/>
      </c>
    </row>
    <row r="355" hidden="1" s="701">
      <c r="A355" s="164">
        <f>IF(AND(Data!R355&lt;&gt;"",Data!L355="Accepté"),Data!G355,"")</f>
        <v/>
      </c>
      <c r="B355" s="164">
        <f>IF(AND(Data!R355&lt;&gt;"",Data!L355="Accepté"),Data!L355,"")</f>
        <v/>
      </c>
      <c r="C355" s="329">
        <f>IF(D355&lt;&gt;"","S"&amp;TEXT(WEEKNUM(D355),"00"),"")</f>
        <v/>
      </c>
      <c r="D355" s="330">
        <f>IF(AND(Data!Q355&lt;&gt;"",Data!L355="Accepté"),Data!Q355,"")</f>
        <v/>
      </c>
      <c r="E355" s="106">
        <f>IF(AND(Data!R355&lt;&gt;"",Data!L355="Accepté"),Data!R355,"")</f>
        <v/>
      </c>
      <c r="F355" s="1037">
        <f>IF(AND(Data!R355&lt;&gt;"",Data!L355="Accepté"),Data!S355,"")</f>
        <v/>
      </c>
      <c r="G355" s="1038">
        <f>IF(Data!R355='Delivery Plan'!E355,Data!U355,"")</f>
        <v/>
      </c>
      <c r="H355" s="327" t="n"/>
      <c r="I355" s="329">
        <f>IF(J355&lt;&gt;"","S"&amp;TEXT(WEEKNUM(J355),"00"),"")</f>
        <v/>
      </c>
      <c r="J355" s="330">
        <f>IF(AND(E355=Data!R355,Data!AA355&lt;&gt;""),Data!AA355,"")</f>
        <v/>
      </c>
      <c r="K355" s="751">
        <f>IF(AND(E355=Data!R355,Data!AE355&lt;&gt;""),Data!AE355,"")</f>
        <v/>
      </c>
      <c r="L355" s="1039">
        <f>IF(E355=Data!R367,Data!AI367,"")</f>
        <v/>
      </c>
      <c r="M355" s="1039">
        <f>IF(E355=Data!R367,Data!AJ367,"")</f>
        <v/>
      </c>
      <c r="N355">
        <f>IF(AND(Data!R367&lt;&gt;"",Data!L367="Accepté"),Data!K367,"")</f>
        <v/>
      </c>
    </row>
    <row r="356" hidden="1" s="701">
      <c r="A356" s="164">
        <f>IF(AND(Data!R356&lt;&gt;"",Data!L356="Accepté"),Data!G356,"")</f>
        <v/>
      </c>
      <c r="B356" s="164">
        <f>IF(AND(Data!R356&lt;&gt;"",Data!L356="Accepté"),Data!L356,"")</f>
        <v/>
      </c>
      <c r="C356" s="329">
        <f>IF(D356&lt;&gt;"","S"&amp;TEXT(WEEKNUM(D356),"00"),"")</f>
        <v/>
      </c>
      <c r="D356" s="330">
        <f>IF(AND(Data!Q356&lt;&gt;"",Data!L356="Accepté"),Data!Q356,"")</f>
        <v/>
      </c>
      <c r="E356" s="106">
        <f>IF(AND(Data!R356&lt;&gt;"",Data!L356="Accepté"),Data!R356,"")</f>
        <v/>
      </c>
      <c r="F356" s="1037">
        <f>IF(AND(Data!R356&lt;&gt;"",Data!L356="Accepté"),Data!S356,"")</f>
        <v/>
      </c>
      <c r="G356" s="1038">
        <f>IF(Data!R356='Delivery Plan'!E356,Data!U356,"")</f>
        <v/>
      </c>
      <c r="H356" s="327" t="n"/>
      <c r="I356" s="329">
        <f>IF(J356&lt;&gt;"","S"&amp;TEXT(WEEKNUM(J356),"00"),"")</f>
        <v/>
      </c>
      <c r="J356" s="330">
        <f>IF(AND(E356=Data!R356,Data!AA356&lt;&gt;""),Data!AA356,"")</f>
        <v/>
      </c>
      <c r="K356" s="751">
        <f>IF(AND(E356=Data!R356,Data!AE356&lt;&gt;""),Data!AE356,"")</f>
        <v/>
      </c>
      <c r="L356" s="1039">
        <f>IF(E356=Data!R368,Data!AI368,"")</f>
        <v/>
      </c>
      <c r="M356" s="1039">
        <f>IF(E356=Data!R368,Data!AJ368,"")</f>
        <v/>
      </c>
      <c r="N356">
        <f>IF(AND(Data!R368&lt;&gt;"",Data!L368="Accepté"),Data!K368,"")</f>
        <v/>
      </c>
    </row>
    <row r="357" hidden="1" s="701">
      <c r="A357" s="164">
        <f>IF(AND(Data!R357&lt;&gt;"",Data!L357="Accepté"),Data!G357,"")</f>
        <v/>
      </c>
      <c r="B357" s="164">
        <f>IF(AND(Data!R357&lt;&gt;"",Data!L357="Accepté"),Data!L357,"")</f>
        <v/>
      </c>
      <c r="C357" s="329">
        <f>IF(D357&lt;&gt;"","S"&amp;TEXT(WEEKNUM(D357),"00"),"")</f>
        <v/>
      </c>
      <c r="D357" s="330">
        <f>IF(AND(Data!Q357&lt;&gt;"",Data!L357="Accepté"),Data!Q357,"")</f>
        <v/>
      </c>
      <c r="E357" s="106">
        <f>IF(AND(Data!R357&lt;&gt;"",Data!L357="Accepté"),Data!R357,"")</f>
        <v/>
      </c>
      <c r="F357" s="1037">
        <f>IF(AND(Data!R357&lt;&gt;"",Data!L357="Accepté"),Data!S357,"")</f>
        <v/>
      </c>
      <c r="G357" s="1038">
        <f>IF(Data!R357='Delivery Plan'!E357,Data!U357,"")</f>
        <v/>
      </c>
      <c r="H357" s="327" t="n"/>
      <c r="I357" s="329">
        <f>IF(J357&lt;&gt;"","S"&amp;TEXT(WEEKNUM(J357),"00"),"")</f>
        <v/>
      </c>
      <c r="J357" s="330">
        <f>IF(AND(E357=Data!R357,Data!AA357&lt;&gt;""),Data!AA357,"")</f>
        <v/>
      </c>
      <c r="K357" s="751">
        <f>IF(AND(E357=Data!R357,Data!AE357&lt;&gt;""),Data!AE357,"")</f>
        <v/>
      </c>
      <c r="L357" s="1039">
        <f>IF(E357=Data!R369,Data!AI369,"")</f>
        <v/>
      </c>
      <c r="M357" s="1039">
        <f>IF(E357=Data!R369,Data!AJ369,"")</f>
        <v/>
      </c>
      <c r="N357">
        <f>IF(AND(Data!R369&lt;&gt;"",Data!L369="Accepté"),Data!K369,"")</f>
        <v/>
      </c>
    </row>
    <row r="358" hidden="1" s="701">
      <c r="A358" s="164">
        <f>IF(AND(Data!R358&lt;&gt;"",Data!L358="Accepté"),Data!G358,"")</f>
        <v/>
      </c>
      <c r="B358" s="164">
        <f>IF(AND(Data!R358&lt;&gt;"",Data!L358="Accepté"),Data!L358,"")</f>
        <v/>
      </c>
      <c r="C358" s="329">
        <f>IF(D358&lt;&gt;"","S"&amp;TEXT(WEEKNUM(D358),"00"),"")</f>
        <v/>
      </c>
      <c r="D358" s="330">
        <f>IF(AND(Data!Q358&lt;&gt;"",Data!L358="Accepté"),Data!Q358,"")</f>
        <v/>
      </c>
      <c r="E358" s="106">
        <f>IF(AND(Data!R358&lt;&gt;"",Data!L358="Accepté"),Data!R358,"")</f>
        <v/>
      </c>
      <c r="F358" s="1037">
        <f>IF(AND(Data!R358&lt;&gt;"",Data!L358="Accepté"),Data!S358,"")</f>
        <v/>
      </c>
      <c r="G358" s="1038">
        <f>IF(Data!R358='Delivery Plan'!E358,Data!U358,"")</f>
        <v/>
      </c>
      <c r="H358" s="327" t="n"/>
      <c r="I358" s="329">
        <f>IF(J358&lt;&gt;"","S"&amp;TEXT(WEEKNUM(J358),"00"),"")</f>
        <v/>
      </c>
      <c r="J358" s="330">
        <f>IF(AND(E358=Data!R358,Data!AA358&lt;&gt;""),Data!AA358,"")</f>
        <v/>
      </c>
      <c r="K358" s="751">
        <f>IF(AND(E358=Data!R358,Data!AE358&lt;&gt;""),Data!AE358,"")</f>
        <v/>
      </c>
      <c r="L358" s="1039">
        <f>IF(E358=Data!R370,Data!AI370,"")</f>
        <v/>
      </c>
      <c r="M358" s="1039">
        <f>IF(E358=Data!R370,Data!AJ370,"")</f>
        <v/>
      </c>
      <c r="N358">
        <f>IF(AND(Data!R370&lt;&gt;"",Data!L370="Accepté"),Data!K370,"")</f>
        <v/>
      </c>
    </row>
    <row r="359" hidden="1" s="701">
      <c r="A359" s="164">
        <f>IF(AND(Data!R359&lt;&gt;"",Data!L359="Accepté"),Data!G359,"")</f>
        <v/>
      </c>
      <c r="B359" s="164">
        <f>IF(AND(Data!R359&lt;&gt;"",Data!L359="Accepté"),Data!L359,"")</f>
        <v/>
      </c>
      <c r="C359" s="329">
        <f>IF(D359&lt;&gt;"","S"&amp;TEXT(WEEKNUM(D359),"00"),"")</f>
        <v/>
      </c>
      <c r="D359" s="330">
        <f>IF(AND(Data!Q359&lt;&gt;"",Data!L359="Accepté"),Data!Q359,"")</f>
        <v/>
      </c>
      <c r="E359" s="106">
        <f>IF(AND(Data!R359&lt;&gt;"",Data!L359="Accepté"),Data!R359,"")</f>
        <v/>
      </c>
      <c r="F359" s="1037">
        <f>IF(AND(Data!R359&lt;&gt;"",Data!L359="Accepté"),Data!S359,"")</f>
        <v/>
      </c>
      <c r="G359" s="1038">
        <f>IF(Data!R359='Delivery Plan'!E359,Data!U359,"")</f>
        <v/>
      </c>
      <c r="H359" s="327" t="n"/>
      <c r="I359" s="329">
        <f>IF(J359&lt;&gt;"","S"&amp;TEXT(WEEKNUM(J359),"00"),"")</f>
        <v/>
      </c>
      <c r="J359" s="330">
        <f>IF(AND(E359=Data!R359,Data!AA359&lt;&gt;""),Data!AA359,"")</f>
        <v/>
      </c>
      <c r="K359" s="751">
        <f>IF(AND(E359=Data!R359,Data!AE359&lt;&gt;""),Data!AE359,"")</f>
        <v/>
      </c>
      <c r="L359" s="1039">
        <f>IF(E359=Data!R371,Data!AI371,"")</f>
        <v/>
      </c>
      <c r="M359" s="1039">
        <f>IF(E359=Data!R371,Data!AJ371,"")</f>
        <v/>
      </c>
      <c r="N359">
        <f>IF(AND(Data!R371&lt;&gt;"",Data!L371="Accepté"),Data!K371,"")</f>
        <v/>
      </c>
    </row>
    <row r="360" hidden="1" s="701">
      <c r="A360" s="164">
        <f>IF(AND(Data!R360&lt;&gt;"",Data!L360="Accepté"),Data!G360,"")</f>
        <v/>
      </c>
      <c r="B360" s="164">
        <f>IF(AND(Data!R360&lt;&gt;"",Data!L360="Accepté"),Data!L360,"")</f>
        <v/>
      </c>
      <c r="C360" s="329">
        <f>IF(D360&lt;&gt;"","S"&amp;TEXT(WEEKNUM(D360),"00"),"")</f>
        <v/>
      </c>
      <c r="D360" s="330">
        <f>IF(AND(Data!Q360&lt;&gt;"",Data!L360="Accepté"),Data!Q360,"")</f>
        <v/>
      </c>
      <c r="E360" s="106">
        <f>IF(AND(Data!R360&lt;&gt;"",Data!L360="Accepté"),Data!R360,"")</f>
        <v/>
      </c>
      <c r="F360" s="1037">
        <f>IF(AND(Data!R360&lt;&gt;"",Data!L360="Accepté"),Data!S360,"")</f>
        <v/>
      </c>
      <c r="G360" s="1038">
        <f>IF(Data!R360='Delivery Plan'!E360,Data!U360,"")</f>
        <v/>
      </c>
      <c r="H360" s="327" t="n"/>
      <c r="I360" s="329">
        <f>IF(J360&lt;&gt;"","S"&amp;TEXT(WEEKNUM(J360),"00"),"")</f>
        <v/>
      </c>
      <c r="J360" s="330">
        <f>IF(AND(E360=Data!R360,Data!AA360&lt;&gt;""),Data!AA360,"")</f>
        <v/>
      </c>
      <c r="K360" s="751">
        <f>IF(AND(E360=Data!R360,Data!AE360&lt;&gt;""),Data!AE360,"")</f>
        <v/>
      </c>
      <c r="L360" s="1039">
        <f>IF(E360=Data!R372,Data!AI372,"")</f>
        <v/>
      </c>
      <c r="M360" s="1039">
        <f>IF(E360=Data!R372,Data!AJ372,"")</f>
        <v/>
      </c>
      <c r="N360">
        <f>IF(AND(Data!R372&lt;&gt;"",Data!L372="Accepté"),Data!K372,"")</f>
        <v/>
      </c>
    </row>
    <row r="361" hidden="1" s="701">
      <c r="A361" s="164">
        <f>IF(AND(Data!R361&lt;&gt;"",Data!L361="Accepté"),Data!G361,"")</f>
        <v/>
      </c>
      <c r="B361" s="164">
        <f>IF(AND(Data!R361&lt;&gt;"",Data!L361="Accepté"),Data!L361,"")</f>
        <v/>
      </c>
      <c r="C361" s="329">
        <f>IF(D361&lt;&gt;"","S"&amp;TEXT(WEEKNUM(D361),"00"),"")</f>
        <v/>
      </c>
      <c r="D361" s="330">
        <f>IF(AND(Data!Q361&lt;&gt;"",Data!L361="Accepté"),Data!Q361,"")</f>
        <v/>
      </c>
      <c r="E361" s="106">
        <f>IF(AND(Data!R361&lt;&gt;"",Data!L361="Accepté"),Data!R361,"")</f>
        <v/>
      </c>
      <c r="F361" s="1037">
        <f>IF(AND(Data!R361&lt;&gt;"",Data!L361="Accepté"),Data!S361,"")</f>
        <v/>
      </c>
      <c r="G361" s="1038">
        <f>IF(Data!R361='Delivery Plan'!E361,Data!U361,"")</f>
        <v/>
      </c>
      <c r="H361" s="327" t="n"/>
      <c r="I361" s="329">
        <f>IF(J361&lt;&gt;"","S"&amp;TEXT(WEEKNUM(J361),"00"),"")</f>
        <v/>
      </c>
      <c r="J361" s="330">
        <f>IF(AND(E361=Data!R361,Data!AA361&lt;&gt;""),Data!AA361,"")</f>
        <v/>
      </c>
      <c r="K361" s="751">
        <f>IF(AND(E361=Data!R361,Data!AE361&lt;&gt;""),Data!AE361,"")</f>
        <v/>
      </c>
      <c r="L361" s="1039">
        <f>IF(E361=Data!R373,Data!AI373,"")</f>
        <v/>
      </c>
      <c r="M361" s="1039">
        <f>IF(E361=Data!R373,Data!AJ373,"")</f>
        <v/>
      </c>
      <c r="N361">
        <f>IF(AND(Data!R373&lt;&gt;"",Data!L373="Accepté"),Data!K373,"")</f>
        <v/>
      </c>
    </row>
    <row r="362" hidden="1" s="701">
      <c r="A362" s="164">
        <f>IF(AND(Data!R362&lt;&gt;"",Data!L362="Accepté"),Data!G362,"")</f>
        <v/>
      </c>
      <c r="B362" s="164">
        <f>IF(AND(Data!R362&lt;&gt;"",Data!L362="Accepté"),Data!L362,"")</f>
        <v/>
      </c>
      <c r="C362" s="329">
        <f>IF(D362&lt;&gt;"","S"&amp;TEXT(WEEKNUM(D362),"00"),"")</f>
        <v/>
      </c>
      <c r="D362" s="330">
        <f>IF(AND(Data!Q362&lt;&gt;"",Data!L362="Accepté"),Data!Q362,"")</f>
        <v/>
      </c>
      <c r="E362" s="106">
        <f>IF(AND(Data!R362&lt;&gt;"",Data!L362="Accepté"),Data!R362,"")</f>
        <v/>
      </c>
      <c r="F362" s="1037">
        <f>IF(AND(Data!R362&lt;&gt;"",Data!L362="Accepté"),Data!S362,"")</f>
        <v/>
      </c>
      <c r="G362" s="1038">
        <f>IF(Data!R362='Delivery Plan'!E362,Data!U362,"")</f>
        <v/>
      </c>
      <c r="H362" s="327" t="n"/>
      <c r="I362" s="329">
        <f>IF(J362&lt;&gt;"","S"&amp;TEXT(WEEKNUM(J362),"00"),"")</f>
        <v/>
      </c>
      <c r="J362" s="330">
        <f>IF(AND(E362=Data!R362,Data!AA362&lt;&gt;""),Data!AA362,"")</f>
        <v/>
      </c>
      <c r="K362" s="751">
        <f>IF(AND(E362=Data!R362,Data!AE362&lt;&gt;""),Data!AE362,"")</f>
        <v/>
      </c>
      <c r="L362" s="1039">
        <f>IF(E362=Data!R374,Data!AI374,"")</f>
        <v/>
      </c>
      <c r="M362" s="1039">
        <f>IF(E362=Data!R374,Data!AJ374,"")</f>
        <v/>
      </c>
      <c r="N362">
        <f>IF(AND(Data!R374&lt;&gt;"",Data!L374="Accepté"),Data!K374,"")</f>
        <v/>
      </c>
    </row>
    <row r="363" hidden="1" s="701">
      <c r="A363" s="164">
        <f>IF(AND(Data!R363&lt;&gt;"",Data!L363="Accepté"),Data!G363,"")</f>
        <v/>
      </c>
      <c r="B363" s="164">
        <f>IF(AND(Data!R363&lt;&gt;"",Data!L363="Accepté"),Data!L363,"")</f>
        <v/>
      </c>
      <c r="C363" s="329">
        <f>IF(D363&lt;&gt;"","S"&amp;TEXT(WEEKNUM(D363),"00"),"")</f>
        <v/>
      </c>
      <c r="D363" s="330">
        <f>IF(AND(Data!Q363&lt;&gt;"",Data!L363="Accepté"),Data!Q363,"")</f>
        <v/>
      </c>
      <c r="E363" s="106">
        <f>IF(AND(Data!R363&lt;&gt;"",Data!L363="Accepté"),Data!R363,"")</f>
        <v/>
      </c>
      <c r="F363" s="1037">
        <f>IF(AND(Data!R363&lt;&gt;"",Data!L363="Accepté"),Data!S363,"")</f>
        <v/>
      </c>
      <c r="G363" s="1038">
        <f>IF(Data!R363='Delivery Plan'!E363,Data!U363,"")</f>
        <v/>
      </c>
      <c r="H363" s="327" t="n"/>
      <c r="I363" s="329">
        <f>IF(J363&lt;&gt;"","S"&amp;TEXT(WEEKNUM(J363),"00"),"")</f>
        <v/>
      </c>
      <c r="J363" s="330">
        <f>IF(AND(E363=Data!R363,Data!AA363&lt;&gt;""),Data!AA363,"")</f>
        <v/>
      </c>
      <c r="K363" s="751">
        <f>IF(AND(E363=Data!R363,Data!AE363&lt;&gt;""),Data!AE363,"")</f>
        <v/>
      </c>
      <c r="L363" s="1039">
        <f>IF(E363=Data!R375,Data!AI375,"")</f>
        <v/>
      </c>
      <c r="M363" s="1039">
        <f>IF(E363=Data!R375,Data!AJ375,"")</f>
        <v/>
      </c>
      <c r="N363">
        <f>IF(AND(Data!R375&lt;&gt;"",Data!L375="Accepté"),Data!K375,"")</f>
        <v/>
      </c>
    </row>
    <row r="364" hidden="1" s="701">
      <c r="A364" s="164">
        <f>IF(AND(Data!R364&lt;&gt;"",Data!L364="Accepté"),Data!G364,"")</f>
        <v/>
      </c>
      <c r="B364" s="164">
        <f>IF(AND(Data!R364&lt;&gt;"",Data!L364="Accepté"),Data!L364,"")</f>
        <v/>
      </c>
      <c r="C364" s="329">
        <f>IF(D364&lt;&gt;"","S"&amp;TEXT(WEEKNUM(D364),"00"),"")</f>
        <v/>
      </c>
      <c r="D364" s="330">
        <f>IF(AND(Data!Q364&lt;&gt;"",Data!L364="Accepté"),Data!Q364,"")</f>
        <v/>
      </c>
      <c r="E364" s="106">
        <f>IF(AND(Data!R364&lt;&gt;"",Data!L364="Accepté"),Data!R364,"")</f>
        <v/>
      </c>
      <c r="F364" s="1037">
        <f>IF(AND(Data!R364&lt;&gt;"",Data!L364="Accepté"),Data!S364,"")</f>
        <v/>
      </c>
      <c r="G364" s="1038">
        <f>IF(Data!R364='Delivery Plan'!E364,Data!U364,"")</f>
        <v/>
      </c>
      <c r="H364" s="327" t="n"/>
      <c r="I364" s="329">
        <f>IF(J364&lt;&gt;"","S"&amp;TEXT(WEEKNUM(J364),"00"),"")</f>
        <v/>
      </c>
      <c r="J364" s="330">
        <f>IF(AND(E364=Data!R364,Data!AA364&lt;&gt;""),Data!AA364,"")</f>
        <v/>
      </c>
      <c r="K364" s="751">
        <f>IF(AND(E364=Data!R364,Data!AE364&lt;&gt;""),Data!AE364,"")</f>
        <v/>
      </c>
      <c r="L364" s="1039">
        <f>IF(E364=Data!R376,Data!AI376,"")</f>
        <v/>
      </c>
      <c r="M364" s="1039">
        <f>IF(E364=Data!R376,Data!AJ376,"")</f>
        <v/>
      </c>
      <c r="N364">
        <f>IF(AND(Data!R376&lt;&gt;"",Data!L376="Accepté"),Data!K376,"")</f>
        <v/>
      </c>
    </row>
    <row r="365" hidden="1" s="701">
      <c r="A365" s="164">
        <f>IF(AND(Data!R365&lt;&gt;"",Data!L365="Accepté"),Data!G365,"")</f>
        <v/>
      </c>
      <c r="B365" s="164">
        <f>IF(AND(Data!R365&lt;&gt;"",Data!L365="Accepté"),Data!L365,"")</f>
        <v/>
      </c>
      <c r="C365" s="329">
        <f>IF(D365&lt;&gt;"","S"&amp;TEXT(WEEKNUM(D365),"00"),"")</f>
        <v/>
      </c>
      <c r="D365" s="330">
        <f>IF(AND(Data!Q365&lt;&gt;"",Data!L365="Accepté"),Data!Q365,"")</f>
        <v/>
      </c>
      <c r="E365" s="106">
        <f>IF(AND(Data!R365&lt;&gt;"",Data!L365="Accepté"),Data!R365,"")</f>
        <v/>
      </c>
      <c r="F365" s="1037">
        <f>IF(AND(Data!R365&lt;&gt;"",Data!L365="Accepté"),Data!S365,"")</f>
        <v/>
      </c>
      <c r="G365" s="1038">
        <f>IF(Data!R365='Delivery Plan'!E365,Data!U365,"")</f>
        <v/>
      </c>
      <c r="H365" s="327" t="n"/>
      <c r="I365" s="329">
        <f>IF(J365&lt;&gt;"","S"&amp;TEXT(WEEKNUM(J365),"00"),"")</f>
        <v/>
      </c>
      <c r="J365" s="330">
        <f>IF(AND(E365=Data!R365,Data!AA365&lt;&gt;""),Data!AA365,"")</f>
        <v/>
      </c>
      <c r="K365" s="751">
        <f>IF(AND(E365=Data!R365,Data!AE365&lt;&gt;""),Data!AE365,"")</f>
        <v/>
      </c>
      <c r="L365" s="1039">
        <f>IF(E365=Data!R377,Data!AI377,"")</f>
        <v/>
      </c>
      <c r="M365" s="1039">
        <f>IF(E365=Data!R377,Data!AJ377,"")</f>
        <v/>
      </c>
      <c r="N365">
        <f>IF(AND(Data!R377&lt;&gt;"",Data!L377="Accepté"),Data!K377,"")</f>
        <v/>
      </c>
    </row>
    <row r="366" hidden="1" s="701">
      <c r="A366" s="164">
        <f>IF(AND(Data!R366&lt;&gt;"",Data!L366="Accepté"),Data!G366,"")</f>
        <v/>
      </c>
      <c r="B366" s="164">
        <f>IF(AND(Data!R366&lt;&gt;"",Data!L366="Accepté"),Data!L366,"")</f>
        <v/>
      </c>
      <c r="C366" s="329">
        <f>IF(D366&lt;&gt;"","S"&amp;TEXT(WEEKNUM(D366),"00"),"")</f>
        <v/>
      </c>
      <c r="D366" s="330">
        <f>IF(AND(Data!Q366&lt;&gt;"",Data!L366="Accepté"),Data!Q366,"")</f>
        <v/>
      </c>
      <c r="E366" s="106">
        <f>IF(AND(Data!R366&lt;&gt;"",Data!L366="Accepté"),Data!R366,"")</f>
        <v/>
      </c>
      <c r="F366" s="1037">
        <f>IF(AND(Data!R366&lt;&gt;"",Data!L366="Accepté"),Data!S366,"")</f>
        <v/>
      </c>
      <c r="G366" s="1038">
        <f>IF(Data!R366='Delivery Plan'!E366,Data!U366,"")</f>
        <v/>
      </c>
      <c r="H366" s="327" t="n"/>
      <c r="I366" s="329">
        <f>IF(J366&lt;&gt;"","S"&amp;TEXT(WEEKNUM(J366),"00"),"")</f>
        <v/>
      </c>
      <c r="J366" s="330">
        <f>IF(AND(E366=Data!R366,Data!AA366&lt;&gt;""),Data!AA366,"")</f>
        <v/>
      </c>
      <c r="K366" s="751">
        <f>IF(AND(E366=Data!R366,Data!AE366&lt;&gt;""),Data!AE366,"")</f>
        <v/>
      </c>
      <c r="L366" s="1039">
        <f>IF(E366=Data!R378,Data!AI378,"")</f>
        <v/>
      </c>
      <c r="M366" s="1039">
        <f>IF(E366=Data!R378,Data!AJ378,"")</f>
        <v/>
      </c>
      <c r="N366">
        <f>IF(AND(Data!R378&lt;&gt;"",Data!L378="Accepté"),Data!K378,"")</f>
        <v/>
      </c>
    </row>
    <row r="367" hidden="1" s="701">
      <c r="A367" s="164">
        <f>IF(AND(Data!R367&lt;&gt;"",Data!L367="Accepté"),Data!G367,"")</f>
        <v/>
      </c>
      <c r="B367" s="164">
        <f>IF(AND(Data!R367&lt;&gt;"",Data!L367="Accepté"),Data!L367,"")</f>
        <v/>
      </c>
      <c r="C367" s="329">
        <f>IF(D367&lt;&gt;"","S"&amp;TEXT(WEEKNUM(D367),"00"),"")</f>
        <v/>
      </c>
      <c r="D367" s="330">
        <f>IF(AND(Data!Q367&lt;&gt;"",Data!L367="Accepté"),Data!Q367,"")</f>
        <v/>
      </c>
      <c r="E367" s="106">
        <f>IF(AND(Data!R367&lt;&gt;"",Data!L367="Accepté"),Data!R367,"")</f>
        <v/>
      </c>
      <c r="F367" s="1037">
        <f>IF(AND(Data!R367&lt;&gt;"",Data!L367="Accepté"),Data!S367,"")</f>
        <v/>
      </c>
      <c r="G367" s="1038">
        <f>IF(Data!R367='Delivery Plan'!E367,Data!U367,"")</f>
        <v/>
      </c>
      <c r="H367" s="327" t="n"/>
      <c r="I367" s="329">
        <f>IF(J367&lt;&gt;"","S"&amp;TEXT(WEEKNUM(J367),"00"),"")</f>
        <v/>
      </c>
      <c r="J367" s="330">
        <f>IF(AND(E367=Data!R367,Data!AA367&lt;&gt;""),Data!AA367,"")</f>
        <v/>
      </c>
      <c r="K367" s="751">
        <f>IF(AND(E367=Data!R367,Data!AE367&lt;&gt;""),Data!AE367,"")</f>
        <v/>
      </c>
      <c r="L367" s="1039">
        <f>IF(E367=Data!R379,Data!AI379,"")</f>
        <v/>
      </c>
      <c r="M367" s="1039">
        <f>IF(E367=Data!R379,Data!AJ379,"")</f>
        <v/>
      </c>
      <c r="N367">
        <f>IF(AND(Data!R379&lt;&gt;"",Data!L379="Accepté"),Data!K379,"")</f>
        <v/>
      </c>
    </row>
    <row r="368" hidden="1" s="701">
      <c r="A368" s="164">
        <f>IF(AND(Data!R368&lt;&gt;"",Data!L368="Accepté"),Data!G368,"")</f>
        <v/>
      </c>
      <c r="B368" s="164">
        <f>IF(AND(Data!R368&lt;&gt;"",Data!L368="Accepté"),Data!L368,"")</f>
        <v/>
      </c>
      <c r="C368" s="329">
        <f>IF(D368&lt;&gt;"","S"&amp;TEXT(WEEKNUM(D368),"00"),"")</f>
        <v/>
      </c>
      <c r="D368" s="330">
        <f>IF(AND(Data!Q368&lt;&gt;"",Data!L368="Accepté"),Data!Q368,"")</f>
        <v/>
      </c>
      <c r="E368" s="106">
        <f>IF(AND(Data!R368&lt;&gt;"",Data!L368="Accepté"),Data!R368,"")</f>
        <v/>
      </c>
      <c r="F368" s="1037">
        <f>IF(AND(Data!R368&lt;&gt;"",Data!L368="Accepté"),Data!S368,"")</f>
        <v/>
      </c>
      <c r="G368" s="1038">
        <f>IF(Data!R368='Delivery Plan'!E368,Data!U368,"")</f>
        <v/>
      </c>
      <c r="H368" s="327" t="n"/>
      <c r="I368" s="329">
        <f>IF(J368&lt;&gt;"","S"&amp;TEXT(WEEKNUM(J368),"00"),"")</f>
        <v/>
      </c>
      <c r="J368" s="330">
        <f>IF(AND(E368=Data!R368,Data!AA368&lt;&gt;""),Data!AA368,"")</f>
        <v/>
      </c>
      <c r="K368" s="751">
        <f>IF(AND(E368=Data!R368,Data!AE368&lt;&gt;""),Data!AE368,"")</f>
        <v/>
      </c>
      <c r="L368" s="1039">
        <f>IF(E368=Data!R380,Data!AI380,"")</f>
        <v/>
      </c>
      <c r="M368" s="1039">
        <f>IF(E368=Data!R380,Data!AJ380,"")</f>
        <v/>
      </c>
      <c r="N368">
        <f>IF(AND(Data!R380&lt;&gt;"",Data!L380="Accepté"),Data!K380,"")</f>
        <v/>
      </c>
    </row>
    <row r="369" hidden="1" s="701">
      <c r="A369" s="164">
        <f>IF(AND(Data!R369&lt;&gt;"",Data!L369="Accepté"),Data!G369,"")</f>
        <v/>
      </c>
      <c r="B369" s="164">
        <f>IF(AND(Data!R369&lt;&gt;"",Data!L369="Accepté"),Data!L369,"")</f>
        <v/>
      </c>
      <c r="C369" s="329">
        <f>IF(D369&lt;&gt;"","S"&amp;TEXT(WEEKNUM(D369),"00"),"")</f>
        <v/>
      </c>
      <c r="D369" s="330">
        <f>IF(AND(Data!Q369&lt;&gt;"",Data!L369="Accepté"),Data!Q369,"")</f>
        <v/>
      </c>
      <c r="E369" s="106">
        <f>IF(AND(Data!R369&lt;&gt;"",Data!L369="Accepté"),Data!R369,"")</f>
        <v/>
      </c>
      <c r="F369" s="1037">
        <f>IF(AND(Data!R369&lt;&gt;"",Data!L369="Accepté"),Data!S369,"")</f>
        <v/>
      </c>
      <c r="G369" s="1038">
        <f>IF(Data!R369='Delivery Plan'!E369,Data!U369,"")</f>
        <v/>
      </c>
      <c r="H369" s="327" t="n"/>
      <c r="I369" s="329">
        <f>IF(J369&lt;&gt;"","S"&amp;TEXT(WEEKNUM(J369),"00"),"")</f>
        <v/>
      </c>
      <c r="J369" s="330">
        <f>IF(AND(E369=Data!R369,Data!AA369&lt;&gt;""),Data!AA369,"")</f>
        <v/>
      </c>
      <c r="K369" s="751">
        <f>IF(AND(E369=Data!R369,Data!AE369&lt;&gt;""),Data!AE369,"")</f>
        <v/>
      </c>
      <c r="L369" s="1039">
        <f>IF(E369=Data!R381,Data!AI381,"")</f>
        <v/>
      </c>
      <c r="M369" s="1039">
        <f>IF(E369=Data!R381,Data!AJ381,"")</f>
        <v/>
      </c>
      <c r="N369">
        <f>IF(AND(Data!R381&lt;&gt;"",Data!L381="Accepté"),Data!K381,"")</f>
        <v/>
      </c>
    </row>
    <row r="370" hidden="1" s="701">
      <c r="A370" s="164">
        <f>IF(AND(Data!R370&lt;&gt;"",Data!L370="Accepté"),Data!G370,"")</f>
        <v/>
      </c>
      <c r="B370" s="164">
        <f>IF(AND(Data!R370&lt;&gt;"",Data!L370="Accepté"),Data!L370,"")</f>
        <v/>
      </c>
      <c r="C370" s="329">
        <f>IF(D370&lt;&gt;"","S"&amp;TEXT(WEEKNUM(D370),"00"),"")</f>
        <v/>
      </c>
      <c r="D370" s="330">
        <f>IF(AND(Data!Q370&lt;&gt;"",Data!L370="Accepté"),Data!Q370,"")</f>
        <v/>
      </c>
      <c r="E370" s="106">
        <f>IF(AND(Data!R370&lt;&gt;"",Data!L370="Accepté"),Data!R370,"")</f>
        <v/>
      </c>
      <c r="F370" s="1037">
        <f>IF(AND(Data!R370&lt;&gt;"",Data!L370="Accepté"),Data!S370,"")</f>
        <v/>
      </c>
      <c r="G370" s="1038">
        <f>IF(Data!R370='Delivery Plan'!E370,Data!U370,"")</f>
        <v/>
      </c>
      <c r="H370" s="327" t="n"/>
      <c r="I370" s="329">
        <f>IF(J370&lt;&gt;"","S"&amp;TEXT(WEEKNUM(J370),"00"),"")</f>
        <v/>
      </c>
      <c r="J370" s="330">
        <f>IF(AND(E370=Data!R370,Data!AA370&lt;&gt;""),Data!AA370,"")</f>
        <v/>
      </c>
      <c r="K370" s="751">
        <f>IF(AND(E370=Data!R370,Data!AE370&lt;&gt;""),Data!AE370,"")</f>
        <v/>
      </c>
      <c r="L370" s="1039">
        <f>IF(E370=Data!R382,Data!AI382,"")</f>
        <v/>
      </c>
      <c r="M370" s="1039">
        <f>IF(E370=Data!R382,Data!AJ382,"")</f>
        <v/>
      </c>
      <c r="N370">
        <f>IF(AND(Data!R382&lt;&gt;"",Data!L382="Accepté"),Data!K382,"")</f>
        <v/>
      </c>
    </row>
    <row r="371" hidden="1" s="701">
      <c r="A371" s="164">
        <f>IF(AND(Data!R371&lt;&gt;"",Data!L371="Accepté"),Data!G371,"")</f>
        <v/>
      </c>
      <c r="B371" s="164">
        <f>IF(AND(Data!R371&lt;&gt;"",Data!L371="Accepté"),Data!L371,"")</f>
        <v/>
      </c>
      <c r="C371" s="329">
        <f>IF(D371&lt;&gt;"","S"&amp;TEXT(WEEKNUM(D371),"00"),"")</f>
        <v/>
      </c>
      <c r="D371" s="330">
        <f>IF(AND(Data!Q371&lt;&gt;"",Data!L371="Accepté"),Data!Q371,"")</f>
        <v/>
      </c>
      <c r="E371" s="106">
        <f>IF(AND(Data!R371&lt;&gt;"",Data!L371="Accepté"),Data!R371,"")</f>
        <v/>
      </c>
      <c r="F371" s="1037">
        <f>IF(AND(Data!R371&lt;&gt;"",Data!L371="Accepté"),Data!S371,"")</f>
        <v/>
      </c>
      <c r="G371" s="1038">
        <f>IF(Data!R371='Delivery Plan'!E371,Data!U371,"")</f>
        <v/>
      </c>
      <c r="H371" s="327" t="n"/>
      <c r="I371" s="329">
        <f>IF(J371&lt;&gt;"","S"&amp;TEXT(WEEKNUM(J371),"00"),"")</f>
        <v/>
      </c>
      <c r="J371" s="330">
        <f>IF(AND(E371=Data!R371,Data!AA371&lt;&gt;""),Data!AA371,"")</f>
        <v/>
      </c>
      <c r="K371" s="751">
        <f>IF(AND(E371=Data!R371,Data!AE371&lt;&gt;""),Data!AE371,"")</f>
        <v/>
      </c>
      <c r="L371" s="1039">
        <f>IF(E371=Data!R383,Data!AI383,"")</f>
        <v/>
      </c>
      <c r="M371" s="1039">
        <f>IF(E371=Data!R383,Data!AJ383,"")</f>
        <v/>
      </c>
      <c r="N371">
        <f>IF(AND(Data!R383&lt;&gt;"",Data!L383="Accepté"),Data!K383,"")</f>
        <v/>
      </c>
    </row>
    <row r="372" hidden="1" s="701">
      <c r="A372" s="164">
        <f>IF(AND(Data!R372&lt;&gt;"",Data!L372="Accepté"),Data!G372,"")</f>
        <v/>
      </c>
      <c r="B372" s="164">
        <f>IF(AND(Data!R372&lt;&gt;"",Data!L372="Accepté"),Data!L372,"")</f>
        <v/>
      </c>
      <c r="C372" s="329">
        <f>IF(D372&lt;&gt;"","S"&amp;TEXT(WEEKNUM(D372),"00"),"")</f>
        <v/>
      </c>
      <c r="D372" s="330">
        <f>IF(AND(Data!Q372&lt;&gt;"",Data!L372="Accepté"),Data!Q372,"")</f>
        <v/>
      </c>
      <c r="E372" s="106">
        <f>IF(AND(Data!R372&lt;&gt;"",Data!L372="Accepté"),Data!R372,"")</f>
        <v/>
      </c>
      <c r="F372" s="1037">
        <f>IF(AND(Data!R372&lt;&gt;"",Data!L372="Accepté"),Data!S372,"")</f>
        <v/>
      </c>
      <c r="G372" s="1038">
        <f>IF(Data!R372='Delivery Plan'!E372,Data!U372,"")</f>
        <v/>
      </c>
      <c r="H372" s="327" t="n"/>
      <c r="I372" s="329">
        <f>IF(J372&lt;&gt;"","S"&amp;TEXT(WEEKNUM(J372),"00"),"")</f>
        <v/>
      </c>
      <c r="J372" s="330">
        <f>IF(AND(E372=Data!R372,Data!AA372&lt;&gt;""),Data!AA372,"")</f>
        <v/>
      </c>
      <c r="K372" s="751">
        <f>IF(AND(E372=Data!R372,Data!AE372&lt;&gt;""),Data!AE372,"")</f>
        <v/>
      </c>
      <c r="L372" s="1039">
        <f>IF(E372=Data!R384,Data!AI384,"")</f>
        <v/>
      </c>
      <c r="M372" s="1039">
        <f>IF(E372=Data!R384,Data!AJ384,"")</f>
        <v/>
      </c>
      <c r="N372">
        <f>IF(AND(Data!R384&lt;&gt;"",Data!L384="Accepté"),Data!K384,"")</f>
        <v/>
      </c>
    </row>
    <row r="373" hidden="1" s="701">
      <c r="A373" s="164">
        <f>IF(AND(Data!R373&lt;&gt;"",Data!L373="Accepté"),Data!G373,"")</f>
        <v/>
      </c>
      <c r="B373" s="164">
        <f>IF(AND(Data!R373&lt;&gt;"",Data!L373="Accepté"),Data!L373,"")</f>
        <v/>
      </c>
      <c r="C373" s="329">
        <f>IF(D373&lt;&gt;"","S"&amp;TEXT(WEEKNUM(D373),"00"),"")</f>
        <v/>
      </c>
      <c r="D373" s="330">
        <f>IF(AND(Data!Q373&lt;&gt;"",Data!L373="Accepté"),Data!Q373,"")</f>
        <v/>
      </c>
      <c r="E373" s="106">
        <f>IF(AND(Data!R373&lt;&gt;"",Data!L373="Accepté"),Data!R373,"")</f>
        <v/>
      </c>
      <c r="F373" s="1037">
        <f>IF(AND(Data!R373&lt;&gt;"",Data!L373="Accepté"),Data!S373,"")</f>
        <v/>
      </c>
      <c r="G373" s="1038">
        <f>IF(Data!R373='Delivery Plan'!E373,Data!U373,"")</f>
        <v/>
      </c>
      <c r="H373" s="327" t="n"/>
      <c r="I373" s="329">
        <f>IF(J373&lt;&gt;"","S"&amp;TEXT(WEEKNUM(J373),"00"),"")</f>
        <v/>
      </c>
      <c r="J373" s="330">
        <f>IF(AND(E373=Data!R373,Data!AA373&lt;&gt;""),Data!AA373,"")</f>
        <v/>
      </c>
      <c r="K373" s="751">
        <f>IF(AND(E373=Data!R373,Data!AE373&lt;&gt;""),Data!AE373,"")</f>
        <v/>
      </c>
      <c r="L373" s="1039">
        <f>IF(E373=Data!R385,Data!AI385,"")</f>
        <v/>
      </c>
      <c r="M373" s="1039">
        <f>IF(E373=Data!R385,Data!AJ385,"")</f>
        <v/>
      </c>
      <c r="N373">
        <f>IF(AND(Data!R385&lt;&gt;"",Data!L385="Accepté"),Data!K385,"")</f>
        <v/>
      </c>
    </row>
    <row r="374" hidden="1" s="701">
      <c r="A374" s="164">
        <f>IF(AND(Data!R374&lt;&gt;"",Data!L374="Accepté"),Data!G374,"")</f>
        <v/>
      </c>
      <c r="B374" s="164">
        <f>IF(AND(Data!R374&lt;&gt;"",Data!L374="Accepté"),Data!L374,"")</f>
        <v/>
      </c>
      <c r="C374" s="329">
        <f>IF(D374&lt;&gt;"","S"&amp;TEXT(WEEKNUM(D374),"00"),"")</f>
        <v/>
      </c>
      <c r="D374" s="330">
        <f>IF(AND(Data!Q374&lt;&gt;"",Data!L374="Accepté"),Data!Q374,"")</f>
        <v/>
      </c>
      <c r="E374" s="106">
        <f>IF(AND(Data!R374&lt;&gt;"",Data!L374="Accepté"),Data!R374,"")</f>
        <v/>
      </c>
      <c r="F374" s="1037">
        <f>IF(AND(Data!R374&lt;&gt;"",Data!L374="Accepté"),Data!S374,"")</f>
        <v/>
      </c>
      <c r="G374" s="1038">
        <f>IF(Data!R374='Delivery Plan'!E374,Data!U374,"")</f>
        <v/>
      </c>
      <c r="H374" s="327" t="n"/>
      <c r="I374" s="329">
        <f>IF(J374&lt;&gt;"","S"&amp;TEXT(WEEKNUM(J374),"00"),"")</f>
        <v/>
      </c>
      <c r="J374" s="330">
        <f>IF(AND(E374=Data!R374,Data!AA374&lt;&gt;""),Data!AA374,"")</f>
        <v/>
      </c>
      <c r="K374" s="751">
        <f>IF(AND(E374=Data!R374,Data!AE374&lt;&gt;""),Data!AE374,"")</f>
        <v/>
      </c>
      <c r="L374" s="1039">
        <f>IF(E374=Data!R386,Data!AI386,"")</f>
        <v/>
      </c>
      <c r="M374" s="1039">
        <f>IF(E374=Data!R386,Data!AJ386,"")</f>
        <v/>
      </c>
      <c r="N374">
        <f>IF(AND(Data!R386&lt;&gt;"",Data!L386="Accepté"),Data!K386,"")</f>
        <v/>
      </c>
    </row>
    <row r="375" hidden="1" s="701">
      <c r="A375" s="164">
        <f>IF(AND(Data!R375&lt;&gt;"",Data!L375="Accepté"),Data!G375,"")</f>
        <v/>
      </c>
      <c r="B375" s="164">
        <f>IF(AND(Data!R375&lt;&gt;"",Data!L375="Accepté"),Data!L375,"")</f>
        <v/>
      </c>
      <c r="C375" s="329">
        <f>IF(D375&lt;&gt;"","S"&amp;TEXT(WEEKNUM(D375),"00"),"")</f>
        <v/>
      </c>
      <c r="D375" s="330">
        <f>IF(AND(Data!Q375&lt;&gt;"",Data!L375="Accepté"),Data!Q375,"")</f>
        <v/>
      </c>
      <c r="E375" s="106">
        <f>IF(AND(Data!R375&lt;&gt;"",Data!L375="Accepté"),Data!R375,"")</f>
        <v/>
      </c>
      <c r="F375" s="1037">
        <f>IF(AND(Data!R375&lt;&gt;"",Data!L375="Accepté"),Data!S375,"")</f>
        <v/>
      </c>
      <c r="G375" s="1038">
        <f>IF(Data!R375='Delivery Plan'!E375,Data!U375,"")</f>
        <v/>
      </c>
      <c r="H375" s="327" t="n"/>
      <c r="I375" s="329">
        <f>IF(J375&lt;&gt;"","S"&amp;TEXT(WEEKNUM(J375),"00"),"")</f>
        <v/>
      </c>
      <c r="J375" s="330">
        <f>IF(AND(E375=Data!R375,Data!AA375&lt;&gt;""),Data!AA375,"")</f>
        <v/>
      </c>
      <c r="K375" s="751">
        <f>IF(AND(E375=Data!R375,Data!AE375&lt;&gt;""),Data!AE375,"")</f>
        <v/>
      </c>
      <c r="L375" s="1039">
        <f>IF(E375=Data!R387,Data!AI387,"")</f>
        <v/>
      </c>
      <c r="M375" s="1039">
        <f>IF(E375=Data!R387,Data!AJ387,"")</f>
        <v/>
      </c>
      <c r="N375">
        <f>IF(AND(Data!R387&lt;&gt;"",Data!L387="Accepté"),Data!K387,"")</f>
        <v/>
      </c>
    </row>
    <row r="376" hidden="1" s="701">
      <c r="A376" s="164">
        <f>IF(AND(Data!R376&lt;&gt;"",Data!L376="Accepté"),Data!G376,"")</f>
        <v/>
      </c>
      <c r="B376" s="164">
        <f>IF(AND(Data!R376&lt;&gt;"",Data!L376="Accepté"),Data!L376,"")</f>
        <v/>
      </c>
      <c r="C376" s="329">
        <f>IF(D376&lt;&gt;"","S"&amp;TEXT(WEEKNUM(D376),"00"),"")</f>
        <v/>
      </c>
      <c r="D376" s="330">
        <f>IF(AND(Data!Q376&lt;&gt;"",Data!L376="Accepté"),Data!Q376,"")</f>
        <v/>
      </c>
      <c r="E376" s="106">
        <f>IF(AND(Data!R376&lt;&gt;"",Data!L376="Accepté"),Data!R376,"")</f>
        <v/>
      </c>
      <c r="F376" s="1037">
        <f>IF(AND(Data!R376&lt;&gt;"",Data!L376="Accepté"),Data!S376,"")</f>
        <v/>
      </c>
      <c r="G376" s="1038">
        <f>IF(Data!R376='Delivery Plan'!E376,Data!U376,"")</f>
        <v/>
      </c>
      <c r="H376" s="327" t="n"/>
      <c r="I376" s="329">
        <f>IF(J376&lt;&gt;"","S"&amp;TEXT(WEEKNUM(J376),"00"),"")</f>
        <v/>
      </c>
      <c r="J376" s="330">
        <f>IF(AND(E376=Data!R376,Data!AA376&lt;&gt;""),Data!AA376,"")</f>
        <v/>
      </c>
      <c r="K376" s="751">
        <f>IF(AND(E376=Data!R376,Data!AE376&lt;&gt;""),Data!AE376,"")</f>
        <v/>
      </c>
      <c r="L376" s="1039">
        <f>IF(E376=Data!R388,Data!AI388,"")</f>
        <v/>
      </c>
      <c r="M376" s="1039">
        <f>IF(E376=Data!R388,Data!AJ388,"")</f>
        <v/>
      </c>
      <c r="N376">
        <f>IF(AND(Data!R388&lt;&gt;"",Data!L388="Accepté"),Data!K388,"")</f>
        <v/>
      </c>
    </row>
    <row r="377" hidden="1" s="701">
      <c r="A377" s="164">
        <f>IF(AND(Data!R377&lt;&gt;"",Data!L377="Accepté"),Data!G377,"")</f>
        <v/>
      </c>
      <c r="B377" s="164">
        <f>IF(AND(Data!R377&lt;&gt;"",Data!L377="Accepté"),Data!L377,"")</f>
        <v/>
      </c>
      <c r="C377" s="329">
        <f>IF(D377&lt;&gt;"","S"&amp;TEXT(WEEKNUM(D377),"00"),"")</f>
        <v/>
      </c>
      <c r="D377" s="330">
        <f>IF(AND(Data!Q377&lt;&gt;"",Data!L377="Accepté"),Data!Q377,"")</f>
        <v/>
      </c>
      <c r="E377" s="106">
        <f>IF(AND(Data!R377&lt;&gt;"",Data!L377="Accepté"),Data!R377,"")</f>
        <v/>
      </c>
      <c r="F377" s="1037">
        <f>IF(AND(Data!R377&lt;&gt;"",Data!L377="Accepté"),Data!S377,"")</f>
        <v/>
      </c>
      <c r="G377" s="1038">
        <f>IF(Data!R377='Delivery Plan'!E377,Data!U377,"")</f>
        <v/>
      </c>
      <c r="H377" s="327" t="n"/>
      <c r="I377" s="329">
        <f>IF(J377&lt;&gt;"","S"&amp;TEXT(WEEKNUM(J377),"00"),"")</f>
        <v/>
      </c>
      <c r="J377" s="330">
        <f>IF(AND(E377=Data!R377,Data!AA377&lt;&gt;""),Data!AA377,"")</f>
        <v/>
      </c>
      <c r="K377" s="751">
        <f>IF(AND(E377=Data!R377,Data!AE377&lt;&gt;""),Data!AE377,"")</f>
        <v/>
      </c>
      <c r="L377" s="1039">
        <f>IF(E377=Data!R389,Data!AI389,"")</f>
        <v/>
      </c>
      <c r="M377" s="1039">
        <f>IF(E377=Data!R389,Data!AJ389,"")</f>
        <v/>
      </c>
      <c r="N377">
        <f>IF(AND(Data!R389&lt;&gt;"",Data!L389="Accepté"),Data!K389,"")</f>
        <v/>
      </c>
    </row>
    <row r="378" hidden="1" s="701">
      <c r="A378" s="164">
        <f>IF(AND(Data!R378&lt;&gt;"",Data!L378="Accepté"),Data!G378,"")</f>
        <v/>
      </c>
      <c r="B378" s="164">
        <f>IF(AND(Data!R378&lt;&gt;"",Data!L378="Accepté"),Data!L378,"")</f>
        <v/>
      </c>
      <c r="C378" s="329">
        <f>IF(D378&lt;&gt;"","S"&amp;TEXT(WEEKNUM(D378),"00"),"")</f>
        <v/>
      </c>
      <c r="D378" s="330">
        <f>IF(AND(Data!Q378&lt;&gt;"",Data!L378="Accepté"),Data!Q378,"")</f>
        <v/>
      </c>
      <c r="E378" s="106">
        <f>IF(AND(Data!R378&lt;&gt;"",Data!L378="Accepté"),Data!R378,"")</f>
        <v/>
      </c>
      <c r="F378" s="1037">
        <f>IF(AND(Data!R378&lt;&gt;"",Data!L378="Accepté"),Data!S378,"")</f>
        <v/>
      </c>
      <c r="G378" s="1038">
        <f>IF(Data!R378='Delivery Plan'!E378,Data!U378,"")</f>
        <v/>
      </c>
      <c r="H378" s="327" t="n"/>
      <c r="I378" s="329">
        <f>IF(J378&lt;&gt;"","S"&amp;TEXT(WEEKNUM(J378),"00"),"")</f>
        <v/>
      </c>
      <c r="J378" s="330">
        <f>IF(AND(E378=Data!R378,Data!AA378&lt;&gt;""),Data!AA378,"")</f>
        <v/>
      </c>
      <c r="K378" s="751">
        <f>IF(AND(E378=Data!R378,Data!AE378&lt;&gt;""),Data!AE378,"")</f>
        <v/>
      </c>
      <c r="L378" s="1039">
        <f>IF(E378=Data!R390,Data!AI390,"")</f>
        <v/>
      </c>
      <c r="M378" s="1039">
        <f>IF(E378=Data!R390,Data!AJ390,"")</f>
        <v/>
      </c>
      <c r="N378">
        <f>IF(AND(Data!R390&lt;&gt;"",Data!L390="Accepté"),Data!K390,"")</f>
        <v/>
      </c>
    </row>
    <row r="379" hidden="1" s="701">
      <c r="A379" s="164">
        <f>IF(AND(Data!R379&lt;&gt;"",Data!L379="Accepté"),Data!G379,"")</f>
        <v/>
      </c>
      <c r="B379" s="164">
        <f>IF(AND(Data!R379&lt;&gt;"",Data!L379="Accepté"),Data!L379,"")</f>
        <v/>
      </c>
      <c r="C379" s="329">
        <f>IF(D379&lt;&gt;"","S"&amp;TEXT(WEEKNUM(D379),"00"),"")</f>
        <v/>
      </c>
      <c r="D379" s="330">
        <f>IF(AND(Data!Q379&lt;&gt;"",Data!L379="Accepté"),Data!Q379,"")</f>
        <v/>
      </c>
      <c r="E379" s="106">
        <f>IF(AND(Data!R379&lt;&gt;"",Data!L379="Accepté"),Data!R379,"")</f>
        <v/>
      </c>
      <c r="F379" s="1037">
        <f>IF(AND(Data!R379&lt;&gt;"",Data!L379="Accepté"),Data!S379,"")</f>
        <v/>
      </c>
      <c r="G379" s="1038">
        <f>IF(Data!R379='Delivery Plan'!E379,Data!U379,"")</f>
        <v/>
      </c>
      <c r="H379" s="327" t="n"/>
      <c r="I379" s="329">
        <f>IF(J379&lt;&gt;"","S"&amp;TEXT(WEEKNUM(J379),"00"),"")</f>
        <v/>
      </c>
      <c r="J379" s="330">
        <f>IF(AND(E379=Data!R379,Data!AA379&lt;&gt;""),Data!AA379,"")</f>
        <v/>
      </c>
      <c r="K379" s="751">
        <f>IF(AND(E379=Data!R379,Data!AE379&lt;&gt;""),Data!AE379,"")</f>
        <v/>
      </c>
      <c r="L379" s="1039">
        <f>IF(E379=Data!R391,Data!AI391,"")</f>
        <v/>
      </c>
      <c r="M379" s="1039">
        <f>IF(E379=Data!R391,Data!AJ391,"")</f>
        <v/>
      </c>
      <c r="N379">
        <f>IF(AND(Data!R391&lt;&gt;"",Data!L391="Accepté"),Data!K391,"")</f>
        <v/>
      </c>
    </row>
    <row r="380" hidden="1" s="701">
      <c r="A380" s="164">
        <f>IF(AND(Data!R380&lt;&gt;"",Data!L380="Accepté"),Data!G380,"")</f>
        <v/>
      </c>
      <c r="B380" s="164">
        <f>IF(AND(Data!R380&lt;&gt;"",Data!L380="Accepté"),Data!L380,"")</f>
        <v/>
      </c>
      <c r="C380" s="329">
        <f>IF(D380&lt;&gt;"","S"&amp;TEXT(WEEKNUM(D380),"00"),"")</f>
        <v/>
      </c>
      <c r="D380" s="330">
        <f>IF(AND(Data!Q380&lt;&gt;"",Data!L380="Accepté"),Data!Q380,"")</f>
        <v/>
      </c>
      <c r="E380" s="106">
        <f>IF(AND(Data!R380&lt;&gt;"",Data!L380="Accepté"),Data!R380,"")</f>
        <v/>
      </c>
      <c r="F380" s="1037">
        <f>IF(AND(Data!R380&lt;&gt;"",Data!L380="Accepté"),Data!S380,"")</f>
        <v/>
      </c>
      <c r="G380" s="1038">
        <f>IF(Data!R380='Delivery Plan'!E380,Data!U380,"")</f>
        <v/>
      </c>
      <c r="H380" s="327" t="n"/>
      <c r="I380" s="329">
        <f>IF(J380&lt;&gt;"","S"&amp;TEXT(WEEKNUM(J380),"00"),"")</f>
        <v/>
      </c>
      <c r="J380" s="330">
        <f>IF(AND(E380=Data!R380,Data!AA380&lt;&gt;""),Data!AA380,"")</f>
        <v/>
      </c>
      <c r="K380" s="751">
        <f>IF(AND(E380=Data!R380,Data!AE380&lt;&gt;""),Data!AE380,"")</f>
        <v/>
      </c>
      <c r="L380" s="1039">
        <f>IF(E380=Data!R392,Data!AI392,"")</f>
        <v/>
      </c>
      <c r="M380" s="1039">
        <f>IF(E380=Data!R392,Data!AJ392,"")</f>
        <v/>
      </c>
      <c r="N380">
        <f>IF(AND(Data!R392&lt;&gt;"",Data!L392="Accepté"),Data!K392,"")</f>
        <v/>
      </c>
    </row>
    <row r="381" hidden="1" s="701">
      <c r="A381" s="164">
        <f>IF(AND(Data!R381&lt;&gt;"",Data!L381="Accepté"),Data!G381,"")</f>
        <v/>
      </c>
      <c r="B381" s="164">
        <f>IF(AND(Data!R381&lt;&gt;"",Data!L381="Accepté"),Data!L381,"")</f>
        <v/>
      </c>
      <c r="C381" s="329">
        <f>IF(D381&lt;&gt;"","S"&amp;TEXT(WEEKNUM(D381),"00"),"")</f>
        <v/>
      </c>
      <c r="D381" s="330">
        <f>IF(AND(Data!Q381&lt;&gt;"",Data!L381="Accepté"),Data!Q381,"")</f>
        <v/>
      </c>
      <c r="E381" s="106">
        <f>IF(AND(Data!R381&lt;&gt;"",Data!L381="Accepté"),Data!R381,"")</f>
        <v/>
      </c>
      <c r="F381" s="1037">
        <f>IF(AND(Data!R381&lt;&gt;"",Data!L381="Accepté"),Data!S381,"")</f>
        <v/>
      </c>
      <c r="G381" s="1038">
        <f>IF(Data!R381='Delivery Plan'!E381,Data!U381,"")</f>
        <v/>
      </c>
      <c r="H381" s="327" t="n"/>
      <c r="I381" s="329">
        <f>IF(J381&lt;&gt;"","S"&amp;TEXT(WEEKNUM(J381),"00"),"")</f>
        <v/>
      </c>
      <c r="J381" s="330">
        <f>IF(AND(E381=Data!R381,Data!AA381&lt;&gt;""),Data!AA381,"")</f>
        <v/>
      </c>
      <c r="K381" s="751">
        <f>IF(AND(E381=Data!R381,Data!AE381&lt;&gt;""),Data!AE381,"")</f>
        <v/>
      </c>
      <c r="L381" s="1039">
        <f>IF(E381=Data!R393,Data!AI393,"")</f>
        <v/>
      </c>
      <c r="M381" s="1039">
        <f>IF(E381=Data!R393,Data!AJ393,"")</f>
        <v/>
      </c>
      <c r="N381">
        <f>IF(AND(Data!R393&lt;&gt;"",Data!L393="Accepté"),Data!K393,"")</f>
        <v/>
      </c>
    </row>
    <row r="382" hidden="1" s="701">
      <c r="A382" s="164">
        <f>IF(AND(Data!R382&lt;&gt;"",Data!L382="Accepté"),Data!G382,"")</f>
        <v/>
      </c>
      <c r="B382" s="164">
        <f>IF(AND(Data!R382&lt;&gt;"",Data!L382="Accepté"),Data!L382,"")</f>
        <v/>
      </c>
      <c r="C382" s="329">
        <f>IF(D382&lt;&gt;"","S"&amp;TEXT(WEEKNUM(D382),"00"),"")</f>
        <v/>
      </c>
      <c r="D382" s="330">
        <f>IF(AND(Data!Q382&lt;&gt;"",Data!L382="Accepté"),Data!Q382,"")</f>
        <v/>
      </c>
      <c r="E382" s="106">
        <f>IF(AND(Data!R382&lt;&gt;"",Data!L382="Accepté"),Data!R382,"")</f>
        <v/>
      </c>
      <c r="F382" s="1037">
        <f>IF(AND(Data!R382&lt;&gt;"",Data!L382="Accepté"),Data!S382,"")</f>
        <v/>
      </c>
      <c r="G382" s="1038">
        <f>IF(Data!R382='Delivery Plan'!E382,Data!U382,"")</f>
        <v/>
      </c>
      <c r="H382" s="327" t="n"/>
      <c r="I382" s="329">
        <f>IF(J382&lt;&gt;"","S"&amp;TEXT(WEEKNUM(J382),"00"),"")</f>
        <v/>
      </c>
      <c r="J382" s="330">
        <f>IF(AND(E382=Data!R382,Data!AA382&lt;&gt;""),Data!AA382,"")</f>
        <v/>
      </c>
      <c r="K382" s="751">
        <f>IF(AND(E382=Data!R382,Data!AE382&lt;&gt;""),Data!AE382,"")</f>
        <v/>
      </c>
      <c r="L382" s="1039">
        <f>IF(E382=Data!R394,Data!AI394,"")</f>
        <v/>
      </c>
      <c r="M382" s="1039">
        <f>IF(E382=Data!R394,Data!AJ394,"")</f>
        <v/>
      </c>
      <c r="N382">
        <f>IF(AND(Data!R394&lt;&gt;"",Data!L394="Accepté"),Data!K394,"")</f>
        <v/>
      </c>
    </row>
    <row r="383" hidden="1" s="701">
      <c r="A383" s="164">
        <f>IF(AND(Data!R383&lt;&gt;"",Data!L383="Accepté"),Data!G383,"")</f>
        <v/>
      </c>
      <c r="B383" s="164">
        <f>IF(AND(Data!R383&lt;&gt;"",Data!L383="Accepté"),Data!L383,"")</f>
        <v/>
      </c>
      <c r="C383" s="329">
        <f>IF(D383&lt;&gt;"","S"&amp;TEXT(WEEKNUM(D383),"00"),"")</f>
        <v/>
      </c>
      <c r="D383" s="330">
        <f>IF(AND(Data!Q383&lt;&gt;"",Data!L383="Accepté"),Data!Q383,"")</f>
        <v/>
      </c>
      <c r="E383" s="106">
        <f>IF(AND(Data!R383&lt;&gt;"",Data!L383="Accepté"),Data!R383,"")</f>
        <v/>
      </c>
      <c r="F383" s="1037">
        <f>IF(AND(Data!R383&lt;&gt;"",Data!L383="Accepté"),Data!S383,"")</f>
        <v/>
      </c>
      <c r="G383" s="1038">
        <f>IF(Data!R383='Delivery Plan'!E383,Data!U383,"")</f>
        <v/>
      </c>
      <c r="H383" s="327" t="n"/>
      <c r="I383" s="329">
        <f>IF(J383&lt;&gt;"","S"&amp;TEXT(WEEKNUM(J383),"00"),"")</f>
        <v/>
      </c>
      <c r="J383" s="330">
        <f>IF(AND(E383=Data!R383,Data!AA383&lt;&gt;""),Data!AA383,"")</f>
        <v/>
      </c>
      <c r="K383" s="751">
        <f>IF(AND(E383=Data!R383,Data!AE383&lt;&gt;""),Data!AE383,"")</f>
        <v/>
      </c>
      <c r="L383" s="1039">
        <f>IF(E383=Data!R395,Data!AI395,"")</f>
        <v/>
      </c>
      <c r="M383" s="1039">
        <f>IF(E383=Data!R395,Data!AJ395,"")</f>
        <v/>
      </c>
      <c r="N383">
        <f>IF(AND(Data!R395&lt;&gt;"",Data!L395="Accepté"),Data!K395,"")</f>
        <v/>
      </c>
    </row>
    <row r="384" hidden="1" s="701">
      <c r="A384" s="164">
        <f>IF(AND(Data!R384&lt;&gt;"",Data!L384="Accepté"),Data!G384,"")</f>
        <v/>
      </c>
      <c r="B384" s="164">
        <f>IF(AND(Data!R384&lt;&gt;"",Data!L384="Accepté"),Data!L384,"")</f>
        <v/>
      </c>
      <c r="C384" s="329">
        <f>IF(D384&lt;&gt;"","S"&amp;TEXT(WEEKNUM(D384),"00"),"")</f>
        <v/>
      </c>
      <c r="D384" s="330">
        <f>IF(AND(Data!Q384&lt;&gt;"",Data!L384="Accepté"),Data!Q384,"")</f>
        <v/>
      </c>
      <c r="E384" s="106">
        <f>IF(AND(Data!R384&lt;&gt;"",Data!L384="Accepté"),Data!R384,"")</f>
        <v/>
      </c>
      <c r="F384" s="1037">
        <f>IF(AND(Data!R384&lt;&gt;"",Data!L384="Accepté"),Data!S384,"")</f>
        <v/>
      </c>
      <c r="G384" s="1038">
        <f>IF(Data!R384='Delivery Plan'!E384,Data!U384,"")</f>
        <v/>
      </c>
      <c r="H384" s="327" t="n"/>
      <c r="I384" s="329">
        <f>IF(J384&lt;&gt;"","S"&amp;TEXT(WEEKNUM(J384),"00"),"")</f>
        <v/>
      </c>
      <c r="J384" s="330">
        <f>IF(AND(E384=Data!R384,Data!AA384&lt;&gt;""),Data!AA384,"")</f>
        <v/>
      </c>
      <c r="K384" s="751">
        <f>IF(AND(E384=Data!R384,Data!AE384&lt;&gt;""),Data!AE384,"")</f>
        <v/>
      </c>
      <c r="L384" s="1039">
        <f>IF(E384=Data!R396,Data!AI396,"")</f>
        <v/>
      </c>
      <c r="M384" s="1039">
        <f>IF(E384=Data!R396,Data!AJ396,"")</f>
        <v/>
      </c>
      <c r="N384">
        <f>IF(AND(Data!R396&lt;&gt;"",Data!L396="Accepté"),Data!K396,"")</f>
        <v/>
      </c>
    </row>
    <row r="385" hidden="1" s="701">
      <c r="A385" s="164">
        <f>IF(AND(Data!R385&lt;&gt;"",Data!L385="Accepté"),Data!G385,"")</f>
        <v/>
      </c>
      <c r="B385" s="164">
        <f>IF(AND(Data!R385&lt;&gt;"",Data!L385="Accepté"),Data!L385,"")</f>
        <v/>
      </c>
      <c r="C385" s="329">
        <f>IF(D385&lt;&gt;"","S"&amp;TEXT(WEEKNUM(D385),"00"),"")</f>
        <v/>
      </c>
      <c r="D385" s="330">
        <f>IF(AND(Data!Q385&lt;&gt;"",Data!L385="Accepté"),Data!Q385,"")</f>
        <v/>
      </c>
      <c r="E385" s="106">
        <f>IF(AND(Data!R385&lt;&gt;"",Data!L385="Accepté"),Data!R385,"")</f>
        <v/>
      </c>
      <c r="F385" s="1037">
        <f>IF(AND(Data!R385&lt;&gt;"",Data!L385="Accepté"),Data!S385,"")</f>
        <v/>
      </c>
      <c r="G385" s="1038">
        <f>IF(Data!R385='Delivery Plan'!E385,Data!U385,"")</f>
        <v/>
      </c>
      <c r="H385" s="327" t="n"/>
      <c r="I385" s="329">
        <f>IF(J385&lt;&gt;"","S"&amp;TEXT(WEEKNUM(J385),"00"),"")</f>
        <v/>
      </c>
      <c r="J385" s="330">
        <f>IF(AND(E385=Data!R385,Data!AA385&lt;&gt;""),Data!AA385,"")</f>
        <v/>
      </c>
      <c r="K385" s="751">
        <f>IF(AND(E385=Data!R385,Data!AE385&lt;&gt;""),Data!AE385,"")</f>
        <v/>
      </c>
      <c r="L385" s="1039">
        <f>IF(E385=Data!R397,Data!AI397,"")</f>
        <v/>
      </c>
      <c r="M385" s="1039">
        <f>IF(E385=Data!R397,Data!AJ397,"")</f>
        <v/>
      </c>
      <c r="N385">
        <f>IF(AND(Data!R397&lt;&gt;"",Data!L397="Accepté"),Data!K397,"")</f>
        <v/>
      </c>
    </row>
    <row r="386" hidden="1" s="701">
      <c r="A386" s="164">
        <f>IF(AND(Data!R386&lt;&gt;"",Data!L386="Accepté"),Data!G386,"")</f>
        <v/>
      </c>
      <c r="B386" s="164">
        <f>IF(AND(Data!R386&lt;&gt;"",Data!L386="Accepté"),Data!L386,"")</f>
        <v/>
      </c>
      <c r="C386" s="329">
        <f>IF(D386&lt;&gt;"","S"&amp;TEXT(WEEKNUM(D386),"00"),"")</f>
        <v/>
      </c>
      <c r="D386" s="330">
        <f>IF(AND(Data!Q386&lt;&gt;"",Data!L386="Accepté"),Data!Q386,"")</f>
        <v/>
      </c>
      <c r="E386" s="106">
        <f>IF(AND(Data!R386&lt;&gt;"",Data!L386="Accepté"),Data!R386,"")</f>
        <v/>
      </c>
      <c r="F386" s="1037">
        <f>IF(AND(Data!R386&lt;&gt;"",Data!L386="Accepté"),Data!S386,"")</f>
        <v/>
      </c>
      <c r="G386" s="1038">
        <f>IF(Data!R386='Delivery Plan'!E386,Data!U386,"")</f>
        <v/>
      </c>
      <c r="H386" s="327" t="n"/>
      <c r="I386" s="329">
        <f>IF(J386&lt;&gt;"","S"&amp;TEXT(WEEKNUM(J386),"00"),"")</f>
        <v/>
      </c>
      <c r="J386" s="330">
        <f>IF(AND(E386=Data!R386,Data!AA386&lt;&gt;""),Data!AA386,"")</f>
        <v/>
      </c>
      <c r="K386" s="751">
        <f>IF(AND(E386=Data!R386,Data!AE386&lt;&gt;""),Data!AE386,"")</f>
        <v/>
      </c>
      <c r="L386" s="1039">
        <f>IF(E386=Data!R398,Data!AI398,"")</f>
        <v/>
      </c>
      <c r="M386" s="1039">
        <f>IF(E386=Data!R398,Data!AJ398,"")</f>
        <v/>
      </c>
      <c r="N386">
        <f>IF(AND(Data!R398&lt;&gt;"",Data!L398="Accepté"),Data!K398,"")</f>
        <v/>
      </c>
    </row>
    <row r="387" hidden="1" s="701">
      <c r="A387" s="164">
        <f>IF(AND(Data!R387&lt;&gt;"",Data!L387="Accepté"),Data!G387,"")</f>
        <v/>
      </c>
      <c r="B387" s="164">
        <f>IF(AND(Data!R387&lt;&gt;"",Data!L387="Accepté"),Data!L387,"")</f>
        <v/>
      </c>
      <c r="C387" s="329">
        <f>IF(D387&lt;&gt;"","S"&amp;TEXT(WEEKNUM(D387),"00"),"")</f>
        <v/>
      </c>
      <c r="D387" s="330">
        <f>IF(AND(Data!Q387&lt;&gt;"",Data!L387="Accepté"),Data!Q387,"")</f>
        <v/>
      </c>
      <c r="E387" s="106">
        <f>IF(AND(Data!R387&lt;&gt;"",Data!L387="Accepté"),Data!R387,"")</f>
        <v/>
      </c>
      <c r="F387" s="1037">
        <f>IF(AND(Data!R387&lt;&gt;"",Data!L387="Accepté"),Data!S387,"")</f>
        <v/>
      </c>
      <c r="G387" s="1038">
        <f>IF(Data!R387='Delivery Plan'!E387,Data!U387,"")</f>
        <v/>
      </c>
      <c r="H387" s="327" t="n"/>
      <c r="I387" s="329">
        <f>IF(J387&lt;&gt;"","S"&amp;TEXT(WEEKNUM(J387),"00"),"")</f>
        <v/>
      </c>
      <c r="J387" s="330">
        <f>IF(AND(E387=Data!R387,Data!AA387&lt;&gt;""),Data!AA387,"")</f>
        <v/>
      </c>
      <c r="K387" s="751">
        <f>IF(AND(E387=Data!R387,Data!AE387&lt;&gt;""),Data!AE387,"")</f>
        <v/>
      </c>
      <c r="L387" s="1039">
        <f>IF(E387=Data!R399,Data!AI399,"")</f>
        <v/>
      </c>
      <c r="M387" s="1039">
        <f>IF(E387=Data!R399,Data!AJ399,"")</f>
        <v/>
      </c>
      <c r="N387">
        <f>IF(AND(Data!R399&lt;&gt;"",Data!L399="Accepté"),Data!K399,"")</f>
        <v/>
      </c>
    </row>
    <row r="388" hidden="1" s="701">
      <c r="A388" s="164">
        <f>IF(AND(Data!R388&lt;&gt;"",Data!L388="Accepté"),Data!G388,"")</f>
        <v/>
      </c>
      <c r="B388" s="164">
        <f>IF(AND(Data!R388&lt;&gt;"",Data!L388="Accepté"),Data!L388,"")</f>
        <v/>
      </c>
      <c r="C388" s="329">
        <f>IF(D388&lt;&gt;"","S"&amp;TEXT(WEEKNUM(D388),"00"),"")</f>
        <v/>
      </c>
      <c r="D388" s="330">
        <f>IF(AND(Data!Q388&lt;&gt;"",Data!L388="Accepté"),Data!Q388,"")</f>
        <v/>
      </c>
      <c r="E388" s="106">
        <f>IF(AND(Data!R388&lt;&gt;"",Data!L388="Accepté"),Data!R388,"")</f>
        <v/>
      </c>
      <c r="F388" s="1037">
        <f>IF(AND(Data!R388&lt;&gt;"",Data!L388="Accepté"),Data!S388,"")</f>
        <v/>
      </c>
      <c r="G388" s="1038">
        <f>IF(Data!R388='Delivery Plan'!E388,Data!U388,"")</f>
        <v/>
      </c>
      <c r="H388" s="327" t="n"/>
      <c r="I388" s="329">
        <f>IF(J388&lt;&gt;"","S"&amp;TEXT(WEEKNUM(J388),"00"),"")</f>
        <v/>
      </c>
      <c r="J388" s="330">
        <f>IF(AND(E388=Data!R388,Data!AA388&lt;&gt;""),Data!AA388,"")</f>
        <v/>
      </c>
      <c r="K388" s="751">
        <f>IF(AND(E388=Data!R388,Data!AE388&lt;&gt;""),Data!AE388,"")</f>
        <v/>
      </c>
      <c r="L388" s="1039">
        <f>IF(E388=Data!R400,Data!AI400,"")</f>
        <v/>
      </c>
      <c r="M388" s="1039">
        <f>IF(E388=Data!R400,Data!AJ400,"")</f>
        <v/>
      </c>
      <c r="N388">
        <f>IF(AND(Data!R400&lt;&gt;"",Data!L400="Accepté"),Data!K400,"")</f>
        <v/>
      </c>
    </row>
    <row r="389" hidden="1" s="701">
      <c r="A389" s="164">
        <f>IF(AND(Data!R389&lt;&gt;"",Data!L389="Accepté"),Data!G389,"")</f>
        <v/>
      </c>
      <c r="B389" s="164">
        <f>IF(AND(Data!R389&lt;&gt;"",Data!L389="Accepté"),Data!L389,"")</f>
        <v/>
      </c>
      <c r="C389" s="329">
        <f>IF(D389&lt;&gt;"","S"&amp;TEXT(WEEKNUM(D389),"00"),"")</f>
        <v/>
      </c>
      <c r="D389" s="330">
        <f>IF(AND(Data!Q389&lt;&gt;"",Data!L389="Accepté"),Data!Q389,"")</f>
        <v/>
      </c>
      <c r="E389" s="106">
        <f>IF(AND(Data!R389&lt;&gt;"",Data!L389="Accepté"),Data!R389,"")</f>
        <v/>
      </c>
      <c r="F389" s="1037">
        <f>IF(AND(Data!R389&lt;&gt;"",Data!L389="Accepté"),Data!S389,"")</f>
        <v/>
      </c>
      <c r="G389" s="1038">
        <f>IF(Data!R389='Delivery Plan'!E389,Data!U389,"")</f>
        <v/>
      </c>
      <c r="H389" s="327" t="n"/>
      <c r="I389" s="329">
        <f>IF(J389&lt;&gt;"","S"&amp;TEXT(WEEKNUM(J389),"00"),"")</f>
        <v/>
      </c>
      <c r="J389" s="330">
        <f>IF(AND(E389=Data!R389,Data!AA389&lt;&gt;""),Data!AA389,"")</f>
        <v/>
      </c>
      <c r="K389" s="751">
        <f>IF(AND(E389=Data!R389,Data!AE389&lt;&gt;""),Data!AE389,"")</f>
        <v/>
      </c>
      <c r="L389" s="1039">
        <f>IF(E389=Data!R401,Data!AI401,"")</f>
        <v/>
      </c>
      <c r="M389" s="1039">
        <f>IF(E389=Data!R401,Data!AJ401,"")</f>
        <v/>
      </c>
      <c r="N389">
        <f>IF(AND(Data!R401&lt;&gt;"",Data!L401="Accepté"),Data!K401,"")</f>
        <v/>
      </c>
    </row>
    <row r="390" hidden="1" s="701">
      <c r="A390" s="164">
        <f>IF(AND(Data!R390&lt;&gt;"",Data!L390="Accepté"),Data!G390,"")</f>
        <v/>
      </c>
      <c r="B390" s="164">
        <f>IF(AND(Data!R390&lt;&gt;"",Data!L390="Accepté"),Data!L390,"")</f>
        <v/>
      </c>
      <c r="C390" s="329">
        <f>IF(D390&lt;&gt;"","S"&amp;TEXT(WEEKNUM(D390),"00"),"")</f>
        <v/>
      </c>
      <c r="D390" s="330">
        <f>IF(AND(Data!Q390&lt;&gt;"",Data!L390="Accepté"),Data!Q390,"")</f>
        <v/>
      </c>
      <c r="E390" s="106">
        <f>IF(AND(Data!R390&lt;&gt;"",Data!L390="Accepté"),Data!R390,"")</f>
        <v/>
      </c>
      <c r="F390" s="1037">
        <f>IF(AND(Data!R390&lt;&gt;"",Data!L390="Accepté"),Data!S390,"")</f>
        <v/>
      </c>
      <c r="G390" s="1038">
        <f>IF(Data!R390='Delivery Plan'!E390,Data!U390,"")</f>
        <v/>
      </c>
      <c r="H390" s="327" t="n"/>
      <c r="I390" s="329">
        <f>IF(J390&lt;&gt;"","S"&amp;TEXT(WEEKNUM(J390),"00"),"")</f>
        <v/>
      </c>
      <c r="J390" s="330">
        <f>IF(AND(E390=Data!R390,Data!AA390&lt;&gt;""),Data!AA390,"")</f>
        <v/>
      </c>
      <c r="K390" s="751">
        <f>IF(AND(E390=Data!R390,Data!AE390&lt;&gt;""),Data!AE390,"")</f>
        <v/>
      </c>
      <c r="L390" s="1039">
        <f>IF(E390=Data!R402,Data!AI402,"")</f>
        <v/>
      </c>
      <c r="M390" s="1039">
        <f>IF(E390=Data!R402,Data!AJ402,"")</f>
        <v/>
      </c>
      <c r="N390">
        <f>IF(AND(Data!R402&lt;&gt;"",Data!L402="Accepté"),Data!K402,"")</f>
        <v/>
      </c>
    </row>
    <row r="391" hidden="1" s="701">
      <c r="A391" s="164">
        <f>IF(AND(Data!R391&lt;&gt;"",Data!L391="Accepté"),Data!G391,"")</f>
        <v/>
      </c>
      <c r="B391" s="164">
        <f>IF(AND(Data!R391&lt;&gt;"",Data!L391="Accepté"),Data!L391,"")</f>
        <v/>
      </c>
      <c r="C391" s="329">
        <f>IF(D391&lt;&gt;"","S"&amp;TEXT(WEEKNUM(D391),"00"),"")</f>
        <v/>
      </c>
      <c r="D391" s="330">
        <f>IF(AND(Data!Q391&lt;&gt;"",Data!L391="Accepté"),Data!Q391,"")</f>
        <v/>
      </c>
      <c r="E391" s="106">
        <f>IF(AND(Data!R391&lt;&gt;"",Data!L391="Accepté"),Data!R391,"")</f>
        <v/>
      </c>
      <c r="F391" s="1037">
        <f>IF(AND(Data!R391&lt;&gt;"",Data!L391="Accepté"),Data!S391,"")</f>
        <v/>
      </c>
      <c r="G391" s="1038">
        <f>IF(Data!R391='Delivery Plan'!E391,Data!U391,"")</f>
        <v/>
      </c>
      <c r="H391" s="327" t="n"/>
      <c r="I391" s="329">
        <f>IF(J391&lt;&gt;"","S"&amp;TEXT(WEEKNUM(J391),"00"),"")</f>
        <v/>
      </c>
      <c r="J391" s="330">
        <f>IF(AND(E391=Data!R391,Data!AA391&lt;&gt;""),Data!AA391,"")</f>
        <v/>
      </c>
      <c r="K391" s="751">
        <f>IF(AND(E391=Data!R391,Data!AE391&lt;&gt;""),Data!AE391,"")</f>
        <v/>
      </c>
      <c r="L391" s="1039">
        <f>IF(E391=Data!R403,Data!AI403,"")</f>
        <v/>
      </c>
      <c r="M391" s="1039">
        <f>IF(E391=Data!R403,Data!AJ403,"")</f>
        <v/>
      </c>
      <c r="N391">
        <f>IF(AND(Data!R403&lt;&gt;"",Data!L403="Accepté"),Data!K403,"")</f>
        <v/>
      </c>
    </row>
    <row r="392" hidden="1" s="701">
      <c r="A392" s="164">
        <f>IF(AND(Data!R392&lt;&gt;"",Data!L392="Accepté"),Data!G392,"")</f>
        <v/>
      </c>
      <c r="B392" s="164">
        <f>IF(AND(Data!R392&lt;&gt;"",Data!L392="Accepté"),Data!L392,"")</f>
        <v/>
      </c>
      <c r="C392" s="329">
        <f>IF(D392&lt;&gt;"","S"&amp;TEXT(WEEKNUM(D392),"00"),"")</f>
        <v/>
      </c>
      <c r="D392" s="330">
        <f>IF(AND(Data!Q392&lt;&gt;"",Data!L392="Accepté"),Data!Q392,"")</f>
        <v/>
      </c>
      <c r="E392" s="106">
        <f>IF(AND(Data!R392&lt;&gt;"",Data!L392="Accepté"),Data!R392,"")</f>
        <v/>
      </c>
      <c r="F392" s="1037">
        <f>IF(AND(Data!R392&lt;&gt;"",Data!L392="Accepté"),Data!S392,"")</f>
        <v/>
      </c>
      <c r="G392" s="1038">
        <f>IF(Data!R392='Delivery Plan'!E392,Data!U392,"")</f>
        <v/>
      </c>
      <c r="H392" s="327" t="n"/>
      <c r="I392" s="329">
        <f>IF(J392&lt;&gt;"","S"&amp;TEXT(WEEKNUM(J392),"00"),"")</f>
        <v/>
      </c>
      <c r="J392" s="330">
        <f>IF(AND(E392=Data!R392,Data!AA392&lt;&gt;""),Data!AA392,"")</f>
        <v/>
      </c>
      <c r="K392" s="751">
        <f>IF(AND(E392=Data!R392,Data!AE392&lt;&gt;""),Data!AE392,"")</f>
        <v/>
      </c>
      <c r="L392" s="1039">
        <f>IF(E392=Data!R404,Data!AI404,"")</f>
        <v/>
      </c>
      <c r="M392" s="1039">
        <f>IF(E392=Data!R404,Data!AJ404,"")</f>
        <v/>
      </c>
      <c r="N392">
        <f>IF(AND(Data!R404&lt;&gt;"",Data!L404="Accepté"),Data!K404,"")</f>
        <v/>
      </c>
    </row>
    <row r="393" hidden="1" s="701">
      <c r="A393" s="164">
        <f>IF(AND(Data!R393&lt;&gt;"",Data!L393="Accepté"),Data!G393,"")</f>
        <v/>
      </c>
      <c r="B393" s="164">
        <f>IF(AND(Data!R393&lt;&gt;"",Data!L393="Accepté"),Data!L393,"")</f>
        <v/>
      </c>
      <c r="C393" s="329">
        <f>IF(D393&lt;&gt;"","S"&amp;TEXT(WEEKNUM(D393),"00"),"")</f>
        <v/>
      </c>
      <c r="D393" s="330">
        <f>IF(AND(Data!Q393&lt;&gt;"",Data!L393="Accepté"),Data!Q393,"")</f>
        <v/>
      </c>
      <c r="E393" s="106">
        <f>IF(AND(Data!R393&lt;&gt;"",Data!L393="Accepté"),Data!R393,"")</f>
        <v/>
      </c>
      <c r="F393" s="1037">
        <f>IF(AND(Data!R393&lt;&gt;"",Data!L393="Accepté"),Data!S393,"")</f>
        <v/>
      </c>
      <c r="G393" s="1038">
        <f>IF(Data!R393='Delivery Plan'!E393,Data!U393,"")</f>
        <v/>
      </c>
      <c r="H393" s="327" t="n"/>
      <c r="I393" s="329">
        <f>IF(J393&lt;&gt;"","S"&amp;TEXT(WEEKNUM(J393),"00"),"")</f>
        <v/>
      </c>
      <c r="J393" s="330">
        <f>IF(AND(E393=Data!R393,Data!AA393&lt;&gt;""),Data!AA393,"")</f>
        <v/>
      </c>
      <c r="K393" s="751">
        <f>IF(AND(E393=Data!R393,Data!AE393&lt;&gt;""),Data!AE393,"")</f>
        <v/>
      </c>
      <c r="L393" s="1039">
        <f>IF(E393=Data!R405,Data!AI405,"")</f>
        <v/>
      </c>
      <c r="M393" s="1039">
        <f>IF(E393=Data!R405,Data!AJ405,"")</f>
        <v/>
      </c>
      <c r="N393">
        <f>IF(AND(Data!R405&lt;&gt;"",Data!L405="Accepté"),Data!K405,"")</f>
        <v/>
      </c>
    </row>
    <row r="394" hidden="1" s="701">
      <c r="A394" s="164">
        <f>IF(AND(Data!R394&lt;&gt;"",Data!L394="Accepté"),Data!G394,"")</f>
        <v/>
      </c>
      <c r="B394" s="164">
        <f>IF(AND(Data!R394&lt;&gt;"",Data!L394="Accepté"),Data!L394,"")</f>
        <v/>
      </c>
      <c r="C394" s="329">
        <f>IF(D394&lt;&gt;"","S"&amp;TEXT(WEEKNUM(D394),"00"),"")</f>
        <v/>
      </c>
      <c r="D394" s="330">
        <f>IF(AND(Data!Q394&lt;&gt;"",Data!L394="Accepté"),Data!Q394,"")</f>
        <v/>
      </c>
      <c r="E394" s="106">
        <f>IF(AND(Data!R394&lt;&gt;"",Data!L394="Accepté"),Data!R394,"")</f>
        <v/>
      </c>
      <c r="F394" s="1037">
        <f>IF(AND(Data!R394&lt;&gt;"",Data!L394="Accepté"),Data!S394,"")</f>
        <v/>
      </c>
      <c r="G394" s="1038">
        <f>IF(Data!R394='Delivery Plan'!E394,Data!U394,"")</f>
        <v/>
      </c>
      <c r="H394" s="327" t="n"/>
      <c r="I394" s="329">
        <f>IF(J394&lt;&gt;"","S"&amp;TEXT(WEEKNUM(J394),"00"),"")</f>
        <v/>
      </c>
      <c r="J394" s="330">
        <f>IF(AND(E394=Data!R394,Data!AA394&lt;&gt;""),Data!AA394,"")</f>
        <v/>
      </c>
      <c r="K394" s="751">
        <f>IF(AND(E394=Data!R394,Data!AE394&lt;&gt;""),Data!AE394,"")</f>
        <v/>
      </c>
      <c r="L394" s="1039">
        <f>IF(E394=Data!R406,Data!AI406,"")</f>
        <v/>
      </c>
      <c r="M394" s="1039">
        <f>IF(E394=Data!R406,Data!AJ406,"")</f>
        <v/>
      </c>
      <c r="N394">
        <f>IF(AND(Data!R406&lt;&gt;"",Data!L406="Accepté"),Data!K406,"")</f>
        <v/>
      </c>
    </row>
    <row r="395" hidden="1" s="701">
      <c r="A395" s="164">
        <f>IF(AND(Data!R395&lt;&gt;"",Data!L395="Accepté"),Data!G395,"")</f>
        <v/>
      </c>
      <c r="B395" s="164">
        <f>IF(AND(Data!R395&lt;&gt;"",Data!L395="Accepté"),Data!L395,"")</f>
        <v/>
      </c>
      <c r="C395" s="329">
        <f>IF(D395&lt;&gt;"","S"&amp;TEXT(WEEKNUM(D395),"00"),"")</f>
        <v/>
      </c>
      <c r="D395" s="330">
        <f>IF(AND(Data!Q395&lt;&gt;"",Data!L395="Accepté"),Data!Q395,"")</f>
        <v/>
      </c>
      <c r="E395" s="106">
        <f>IF(AND(Data!R395&lt;&gt;"",Data!L395="Accepté"),Data!R395,"")</f>
        <v/>
      </c>
      <c r="F395" s="1037">
        <f>IF(AND(Data!R395&lt;&gt;"",Data!L395="Accepté"),Data!S395,"")</f>
        <v/>
      </c>
      <c r="G395" s="1038">
        <f>IF(Data!R395='Delivery Plan'!E395,Data!U395,"")</f>
        <v/>
      </c>
      <c r="H395" s="327" t="n"/>
      <c r="I395" s="329">
        <f>IF(J395&lt;&gt;"","S"&amp;TEXT(WEEKNUM(J395),"00"),"")</f>
        <v/>
      </c>
      <c r="J395" s="330">
        <f>IF(AND(E395=Data!R395,Data!AA395&lt;&gt;""),Data!AA395,"")</f>
        <v/>
      </c>
      <c r="K395" s="751">
        <f>IF(AND(E395=Data!R395,Data!AE395&lt;&gt;""),Data!AE395,"")</f>
        <v/>
      </c>
      <c r="L395" s="1039">
        <f>IF(E395=Data!R407,Data!AI407,"")</f>
        <v/>
      </c>
      <c r="M395" s="1039">
        <f>IF(E395=Data!R407,Data!AJ407,"")</f>
        <v/>
      </c>
      <c r="N395">
        <f>IF(AND(Data!R407&lt;&gt;"",Data!L407="Accepté"),Data!K407,"")</f>
        <v/>
      </c>
    </row>
    <row r="396" hidden="1" s="701">
      <c r="A396" s="164">
        <f>IF(AND(Data!R396&lt;&gt;"",Data!L396="Accepté"),Data!G396,"")</f>
        <v/>
      </c>
      <c r="B396" s="164">
        <f>IF(AND(Data!R396&lt;&gt;"",Data!L396="Accepté"),Data!L396,"")</f>
        <v/>
      </c>
      <c r="C396" s="329">
        <f>IF(D396&lt;&gt;"","S"&amp;TEXT(WEEKNUM(D396),"00"),"")</f>
        <v/>
      </c>
      <c r="D396" s="330">
        <f>IF(AND(Data!Q396&lt;&gt;"",Data!L396="Accepté"),Data!Q396,"")</f>
        <v/>
      </c>
      <c r="E396" s="106">
        <f>IF(AND(Data!R396&lt;&gt;"",Data!L396="Accepté"),Data!R396,"")</f>
        <v/>
      </c>
      <c r="F396" s="1037">
        <f>IF(AND(Data!R396&lt;&gt;"",Data!L396="Accepté"),Data!S396,"")</f>
        <v/>
      </c>
      <c r="G396" s="1038">
        <f>IF(Data!R396='Delivery Plan'!E396,Data!U396,"")</f>
        <v/>
      </c>
      <c r="H396" s="327" t="n"/>
      <c r="I396" s="329">
        <f>IF(J396&lt;&gt;"","S"&amp;TEXT(WEEKNUM(J396),"00"),"")</f>
        <v/>
      </c>
      <c r="J396" s="330">
        <f>IF(AND(E396=Data!R396,Data!AA396&lt;&gt;""),Data!AA396,"")</f>
        <v/>
      </c>
      <c r="K396" s="751">
        <f>IF(AND(E396=Data!R396,Data!AE396&lt;&gt;""),Data!AE396,"")</f>
        <v/>
      </c>
      <c r="L396" s="1039">
        <f>IF(E396=Data!R408,Data!AI408,"")</f>
        <v/>
      </c>
      <c r="M396" s="1039">
        <f>IF(E396=Data!R408,Data!AJ408,"")</f>
        <v/>
      </c>
      <c r="N396">
        <f>IF(AND(Data!R408&lt;&gt;"",Data!L408="Accepté"),Data!K408,"")</f>
        <v/>
      </c>
    </row>
    <row r="397" hidden="1" s="701">
      <c r="A397" s="164">
        <f>IF(AND(Data!R397&lt;&gt;"",Data!L397="Accepté"),Data!G397,"")</f>
        <v/>
      </c>
      <c r="B397" s="164">
        <f>IF(AND(Data!R397&lt;&gt;"",Data!L397="Accepté"),Data!L397,"")</f>
        <v/>
      </c>
      <c r="C397" s="329">
        <f>IF(D397&lt;&gt;"","S"&amp;TEXT(WEEKNUM(D397),"00"),"")</f>
        <v/>
      </c>
      <c r="D397" s="330">
        <f>IF(AND(Data!Q397&lt;&gt;"",Data!L397="Accepté"),Data!Q397,"")</f>
        <v/>
      </c>
      <c r="E397" s="106">
        <f>IF(AND(Data!R397&lt;&gt;"",Data!L397="Accepté"),Data!R397,"")</f>
        <v/>
      </c>
      <c r="F397" s="1037">
        <f>IF(AND(Data!R397&lt;&gt;"",Data!L397="Accepté"),Data!S397,"")</f>
        <v/>
      </c>
      <c r="G397" s="1038">
        <f>IF(Data!R397='Delivery Plan'!E397,Data!U397,"")</f>
        <v/>
      </c>
      <c r="H397" s="327" t="n"/>
      <c r="I397" s="329">
        <f>IF(J397&lt;&gt;"","S"&amp;TEXT(WEEKNUM(J397),"00"),"")</f>
        <v/>
      </c>
      <c r="J397" s="330">
        <f>IF(AND(E397=Data!R397,Data!AA397&lt;&gt;""),Data!AA397,"")</f>
        <v/>
      </c>
      <c r="K397" s="751">
        <f>IF(AND(E397=Data!R397,Data!AE397&lt;&gt;""),Data!AE397,"")</f>
        <v/>
      </c>
      <c r="L397" s="1039">
        <f>IF(E397=Data!R409,Data!AI409,"")</f>
        <v/>
      </c>
      <c r="M397" s="1039">
        <f>IF(E397=Data!R409,Data!AJ409,"")</f>
        <v/>
      </c>
      <c r="N397">
        <f>IF(AND(Data!R409&lt;&gt;"",Data!L409="Accepté"),Data!K409,"")</f>
        <v/>
      </c>
    </row>
    <row r="398" hidden="1" s="701">
      <c r="A398" s="164">
        <f>IF(AND(Data!R398&lt;&gt;"",Data!L398="Accepté"),Data!G398,"")</f>
        <v/>
      </c>
      <c r="B398" s="164">
        <f>IF(AND(Data!R398&lt;&gt;"",Data!L398="Accepté"),Data!L398,"")</f>
        <v/>
      </c>
      <c r="C398" s="329">
        <f>IF(D398&lt;&gt;"","S"&amp;TEXT(WEEKNUM(D398),"00"),"")</f>
        <v/>
      </c>
      <c r="D398" s="330">
        <f>IF(AND(Data!Q398&lt;&gt;"",Data!L398="Accepté"),Data!Q398,"")</f>
        <v/>
      </c>
      <c r="E398" s="106">
        <f>IF(AND(Data!R398&lt;&gt;"",Data!L398="Accepté"),Data!R398,"")</f>
        <v/>
      </c>
      <c r="F398" s="1037">
        <f>IF(AND(Data!R398&lt;&gt;"",Data!L398="Accepté"),Data!S398,"")</f>
        <v/>
      </c>
      <c r="G398" s="1038">
        <f>IF(Data!R398='Delivery Plan'!E398,Data!U398,"")</f>
        <v/>
      </c>
      <c r="H398" s="327" t="n"/>
      <c r="I398" s="329">
        <f>IF(J398&lt;&gt;"","S"&amp;TEXT(WEEKNUM(J398),"00"),"")</f>
        <v/>
      </c>
      <c r="J398" s="330">
        <f>IF(AND(E398=Data!R398,Data!AA398&lt;&gt;""),Data!AA398,"")</f>
        <v/>
      </c>
      <c r="K398" s="751">
        <f>IF(AND(E398=Data!R398,Data!AE398&lt;&gt;""),Data!AE398,"")</f>
        <v/>
      </c>
      <c r="L398" s="1039">
        <f>IF(E398=Data!R410,Data!AI410,"")</f>
        <v/>
      </c>
      <c r="M398" s="1039">
        <f>IF(E398=Data!R410,Data!AJ410,"")</f>
        <v/>
      </c>
      <c r="N398">
        <f>IF(AND(Data!R410&lt;&gt;"",Data!L410="Accepté"),Data!K410,"")</f>
        <v/>
      </c>
    </row>
    <row r="399" hidden="1" s="701">
      <c r="A399" s="164">
        <f>IF(AND(Data!R399&lt;&gt;"",Data!L399="Accepté"),Data!G399,"")</f>
        <v/>
      </c>
      <c r="B399" s="164">
        <f>IF(AND(Data!R399&lt;&gt;"",Data!L399="Accepté"),Data!L399,"")</f>
        <v/>
      </c>
      <c r="C399" s="329">
        <f>IF(D399&lt;&gt;"","S"&amp;TEXT(WEEKNUM(D399),"00"),"")</f>
        <v/>
      </c>
      <c r="D399" s="330">
        <f>IF(AND(Data!Q399&lt;&gt;"",Data!L399="Accepté"),Data!Q399,"")</f>
        <v/>
      </c>
      <c r="E399" s="106">
        <f>IF(AND(Data!R399&lt;&gt;"",Data!L399="Accepté"),Data!R399,"")</f>
        <v/>
      </c>
      <c r="F399" s="1037">
        <f>IF(AND(Data!R399&lt;&gt;"",Data!L399="Accepté"),Data!S399,"")</f>
        <v/>
      </c>
      <c r="G399" s="1038">
        <f>IF(Data!R399='Delivery Plan'!E399,Data!U399,"")</f>
        <v/>
      </c>
      <c r="H399" s="327" t="n"/>
      <c r="I399" s="329">
        <f>IF(J399&lt;&gt;"","S"&amp;TEXT(WEEKNUM(J399),"00"),"")</f>
        <v/>
      </c>
      <c r="J399" s="330">
        <f>IF(AND(E399=Data!R399,Data!AA399&lt;&gt;""),Data!AA399,"")</f>
        <v/>
      </c>
      <c r="K399" s="751">
        <f>IF(AND(E399=Data!R399,Data!AE399&lt;&gt;""),Data!AE399,"")</f>
        <v/>
      </c>
      <c r="L399" s="1039">
        <f>IF(E399=Data!R411,Data!AI411,"")</f>
        <v/>
      </c>
      <c r="M399" s="1039">
        <f>IF(E399=Data!R411,Data!AJ411,"")</f>
        <v/>
      </c>
      <c r="N399">
        <f>IF(AND(Data!R411&lt;&gt;"",Data!L411="Accepté"),Data!K411,"")</f>
        <v/>
      </c>
    </row>
    <row r="400" hidden="1" s="701">
      <c r="A400" s="164">
        <f>IF(AND(Data!R400&lt;&gt;"",Data!L400="Accepté"),Data!G400,"")</f>
        <v/>
      </c>
      <c r="B400" s="164">
        <f>IF(AND(Data!R400&lt;&gt;"",Data!L400="Accepté"),Data!L400,"")</f>
        <v/>
      </c>
      <c r="C400" s="329">
        <f>IF(D400&lt;&gt;"","S"&amp;TEXT(WEEKNUM(D400),"00"),"")</f>
        <v/>
      </c>
      <c r="D400" s="330">
        <f>IF(AND(Data!Q400&lt;&gt;"",Data!L400="Accepté"),Data!Q400,"")</f>
        <v/>
      </c>
      <c r="E400" s="106">
        <f>IF(AND(Data!R400&lt;&gt;"",Data!L400="Accepté"),Data!R400,"")</f>
        <v/>
      </c>
      <c r="F400" s="1037">
        <f>IF(AND(Data!R400&lt;&gt;"",Data!L400="Accepté"),Data!S400,"")</f>
        <v/>
      </c>
      <c r="G400" s="1038">
        <f>IF(Data!R400='Delivery Plan'!E400,Data!U400,"")</f>
        <v/>
      </c>
      <c r="H400" s="327" t="n"/>
      <c r="I400" s="329">
        <f>IF(J400&lt;&gt;"","S"&amp;TEXT(WEEKNUM(J400),"00"),"")</f>
        <v/>
      </c>
      <c r="J400" s="330">
        <f>IF(AND(E400=Data!R400,Data!AA400&lt;&gt;""),Data!AA400,"")</f>
        <v/>
      </c>
      <c r="K400" s="751">
        <f>IF(AND(E400=Data!R400,Data!AE400&lt;&gt;""),Data!AE400,"")</f>
        <v/>
      </c>
      <c r="L400" s="1039">
        <f>IF(E400=Data!R412,Data!AI412,"")</f>
        <v/>
      </c>
      <c r="M400" s="1039">
        <f>IF(E400=Data!R412,Data!AJ412,"")</f>
        <v/>
      </c>
      <c r="N400">
        <f>IF(AND(Data!R412&lt;&gt;"",Data!L412="Accepté"),Data!K412,"")</f>
        <v/>
      </c>
    </row>
    <row r="401" hidden="1" s="701">
      <c r="A401" s="164">
        <f>IF(AND(Data!R401&lt;&gt;"",Data!L401="Accepté"),Data!G401,"")</f>
        <v/>
      </c>
      <c r="B401" s="164">
        <f>IF(AND(Data!R401&lt;&gt;"",Data!L401="Accepté"),Data!L401,"")</f>
        <v/>
      </c>
      <c r="C401" s="329">
        <f>IF(D401&lt;&gt;"","S"&amp;TEXT(WEEKNUM(D401),"00"),"")</f>
        <v/>
      </c>
      <c r="D401" s="330">
        <f>IF(AND(Data!Q401&lt;&gt;"",Data!L401="Accepté"),Data!Q401,"")</f>
        <v/>
      </c>
      <c r="E401" s="106">
        <f>IF(AND(Data!R401&lt;&gt;"",Data!L401="Accepté"),Data!R401,"")</f>
        <v/>
      </c>
      <c r="F401" s="1037">
        <f>IF(AND(Data!R401&lt;&gt;"",Data!L401="Accepté"),Data!S401,"")</f>
        <v/>
      </c>
      <c r="G401" s="1038">
        <f>IF(Data!R401='Delivery Plan'!E401,Data!U401,"")</f>
        <v/>
      </c>
      <c r="H401" s="327" t="n"/>
      <c r="I401" s="329">
        <f>IF(J401&lt;&gt;"","S"&amp;TEXT(WEEKNUM(J401),"00"),"")</f>
        <v/>
      </c>
      <c r="J401" s="330">
        <f>IF(AND(E401=Data!R401,Data!AA401&lt;&gt;""),Data!AA401,"")</f>
        <v/>
      </c>
      <c r="K401" s="751">
        <f>IF(AND(E401=Data!R401,Data!AE401&lt;&gt;""),Data!AE401,"")</f>
        <v/>
      </c>
      <c r="L401" s="1039">
        <f>IF(E401=Data!R413,Data!AI413,"")</f>
        <v/>
      </c>
      <c r="M401" s="1039">
        <f>IF(E401=Data!R413,Data!AJ413,"")</f>
        <v/>
      </c>
      <c r="N401">
        <f>IF(AND(Data!R413&lt;&gt;"",Data!L413="Accepté"),Data!K413,"")</f>
        <v/>
      </c>
    </row>
    <row r="402" hidden="1" s="701">
      <c r="A402" s="164">
        <f>IF(AND(Data!R402&lt;&gt;"",Data!L402="Accepté"),Data!G402,"")</f>
        <v/>
      </c>
      <c r="B402" s="164">
        <f>IF(AND(Data!R402&lt;&gt;"",Data!L402="Accepté"),Data!L402,"")</f>
        <v/>
      </c>
      <c r="C402" s="329">
        <f>IF(D402&lt;&gt;"","S"&amp;TEXT(WEEKNUM(D402),"00"),"")</f>
        <v/>
      </c>
      <c r="D402" s="330">
        <f>IF(AND(Data!Q402&lt;&gt;"",Data!L402="Accepté"),Data!Q402,"")</f>
        <v/>
      </c>
      <c r="E402" s="106">
        <f>IF(AND(Data!R402&lt;&gt;"",Data!L402="Accepté"),Data!R402,"")</f>
        <v/>
      </c>
      <c r="F402" s="1037">
        <f>IF(AND(Data!R402&lt;&gt;"",Data!L402="Accepté"),Data!S402,"")</f>
        <v/>
      </c>
      <c r="G402" s="1038">
        <f>IF(Data!R402='Delivery Plan'!E402,Data!U402,"")</f>
        <v/>
      </c>
      <c r="H402" s="327" t="n"/>
      <c r="I402" s="329">
        <f>IF(J402&lt;&gt;"","S"&amp;TEXT(WEEKNUM(J402),"00"),"")</f>
        <v/>
      </c>
      <c r="J402" s="330">
        <f>IF(AND(E402=Data!R402,Data!AA402&lt;&gt;""),Data!AA402,"")</f>
        <v/>
      </c>
      <c r="K402" s="751">
        <f>IF(AND(E402=Data!R402,Data!AE402&lt;&gt;""),Data!AE402,"")</f>
        <v/>
      </c>
      <c r="L402" s="1039">
        <f>IF(E402=Data!R414,Data!AI414,"")</f>
        <v/>
      </c>
      <c r="M402" s="1039">
        <f>IF(E402=Data!R414,Data!AJ414,"")</f>
        <v/>
      </c>
      <c r="N402">
        <f>IF(AND(Data!R414&lt;&gt;"",Data!L414="Accepté"),Data!K414,"")</f>
        <v/>
      </c>
    </row>
    <row r="403" hidden="1" s="701">
      <c r="A403" s="164">
        <f>IF(AND(Data!R403&lt;&gt;"",Data!L403="Accepté"),Data!G403,"")</f>
        <v/>
      </c>
      <c r="B403" s="164">
        <f>IF(AND(Data!R403&lt;&gt;"",Data!L403="Accepté"),Data!L403,"")</f>
        <v/>
      </c>
      <c r="C403" s="329">
        <f>IF(D403&lt;&gt;"","S"&amp;TEXT(WEEKNUM(D403),"00"),"")</f>
        <v/>
      </c>
      <c r="D403" s="330">
        <f>IF(AND(Data!Q403&lt;&gt;"",Data!L403="Accepté"),Data!Q403,"")</f>
        <v/>
      </c>
      <c r="E403" s="106">
        <f>IF(AND(Data!R403&lt;&gt;"",Data!L403="Accepté"),Data!R403,"")</f>
        <v/>
      </c>
      <c r="F403" s="1037">
        <f>IF(AND(Data!R403&lt;&gt;"",Data!L403="Accepté"),Data!S403,"")</f>
        <v/>
      </c>
      <c r="G403" s="1038">
        <f>IF(Data!R403='Delivery Plan'!E403,Data!U403,"")</f>
        <v/>
      </c>
      <c r="H403" s="327" t="n"/>
      <c r="I403" s="329">
        <f>IF(J403&lt;&gt;"","S"&amp;TEXT(WEEKNUM(J403),"00"),"")</f>
        <v/>
      </c>
      <c r="J403" s="330">
        <f>IF(AND(E403=Data!R403,Data!AA403&lt;&gt;""),Data!AA403,"")</f>
        <v/>
      </c>
      <c r="K403" s="751">
        <f>IF(AND(E403=Data!R403,Data!AE403&lt;&gt;""),Data!AE403,"")</f>
        <v/>
      </c>
      <c r="L403" s="1039">
        <f>IF(E403=Data!R415,Data!AI415,"")</f>
        <v/>
      </c>
      <c r="M403" s="1039">
        <f>IF(E403=Data!R415,Data!AJ415,"")</f>
        <v/>
      </c>
      <c r="N403">
        <f>IF(AND(Data!R415&lt;&gt;"",Data!L415="Accepté"),Data!K415,"")</f>
        <v/>
      </c>
    </row>
    <row r="404" hidden="1" s="701">
      <c r="A404" s="164">
        <f>IF(AND(Data!R404&lt;&gt;"",Data!L404="Accepté"),Data!G404,"")</f>
        <v/>
      </c>
      <c r="B404" s="164">
        <f>IF(AND(Data!R404&lt;&gt;"",Data!L404="Accepté"),Data!L404,"")</f>
        <v/>
      </c>
      <c r="C404" s="329">
        <f>IF(D404&lt;&gt;"","S"&amp;TEXT(WEEKNUM(D404),"00"),"")</f>
        <v/>
      </c>
      <c r="D404" s="330">
        <f>IF(AND(Data!Q404&lt;&gt;"",Data!L404="Accepté"),Data!Q404,"")</f>
        <v/>
      </c>
      <c r="E404" s="106">
        <f>IF(AND(Data!R404&lt;&gt;"",Data!L404="Accepté"),Data!R404,"")</f>
        <v/>
      </c>
      <c r="F404" s="1037">
        <f>IF(AND(Data!R404&lt;&gt;"",Data!L404="Accepté"),Data!S404,"")</f>
        <v/>
      </c>
      <c r="G404" s="1038">
        <f>IF(Data!R404='Delivery Plan'!E404,Data!U404,"")</f>
        <v/>
      </c>
      <c r="H404" s="327" t="n"/>
      <c r="I404" s="329">
        <f>IF(J404&lt;&gt;"","S"&amp;TEXT(WEEKNUM(J404),"00"),"")</f>
        <v/>
      </c>
      <c r="J404" s="330">
        <f>IF(AND(E404=Data!R404,Data!AA404&lt;&gt;""),Data!AA404,"")</f>
        <v/>
      </c>
      <c r="K404" s="751">
        <f>IF(AND(E404=Data!R404,Data!AE404&lt;&gt;""),Data!AE404,"")</f>
        <v/>
      </c>
      <c r="L404" s="1039">
        <f>IF(E404=Data!R416,Data!AI416,"")</f>
        <v/>
      </c>
      <c r="M404" s="1039">
        <f>IF(E404=Data!R416,Data!AJ416,"")</f>
        <v/>
      </c>
      <c r="N404">
        <f>IF(AND(Data!R416&lt;&gt;"",Data!L416="Accepté"),Data!K416,"")</f>
        <v/>
      </c>
    </row>
    <row r="405" hidden="1" s="701">
      <c r="A405" s="164">
        <f>IF(AND(Data!R405&lt;&gt;"",Data!L405="Accepté"),Data!G405,"")</f>
        <v/>
      </c>
      <c r="B405" s="164">
        <f>IF(AND(Data!R405&lt;&gt;"",Data!L405="Accepté"),Data!L405,"")</f>
        <v/>
      </c>
      <c r="C405" s="329">
        <f>IF(D405&lt;&gt;"","S"&amp;TEXT(WEEKNUM(D405),"00"),"")</f>
        <v/>
      </c>
      <c r="D405" s="330">
        <f>IF(AND(Data!Q405&lt;&gt;"",Data!L405="Accepté"),Data!Q405,"")</f>
        <v/>
      </c>
      <c r="E405" s="106">
        <f>IF(AND(Data!R405&lt;&gt;"",Data!L405="Accepté"),Data!R405,"")</f>
        <v/>
      </c>
      <c r="F405" s="1037">
        <f>IF(AND(Data!R405&lt;&gt;"",Data!L405="Accepté"),Data!S405,"")</f>
        <v/>
      </c>
      <c r="G405" s="1038">
        <f>IF(Data!R405='Delivery Plan'!E405,Data!U405,"")</f>
        <v/>
      </c>
      <c r="H405" s="327" t="n"/>
      <c r="I405" s="329">
        <f>IF(J405&lt;&gt;"","S"&amp;TEXT(WEEKNUM(J405),"00"),"")</f>
        <v/>
      </c>
      <c r="J405" s="330">
        <f>IF(AND(E405=Data!R405,Data!AA405&lt;&gt;""),Data!AA405,"")</f>
        <v/>
      </c>
      <c r="K405" s="751">
        <f>IF(AND(E405=Data!R405,Data!AE405&lt;&gt;""),Data!AE405,"")</f>
        <v/>
      </c>
      <c r="L405" s="1039">
        <f>IF(E405=Data!R417,Data!AI417,"")</f>
        <v/>
      </c>
      <c r="M405" s="1039">
        <f>IF(E405=Data!R417,Data!AJ417,"")</f>
        <v/>
      </c>
      <c r="N405">
        <f>IF(AND(Data!R417&lt;&gt;"",Data!L417="Accepté"),Data!K417,"")</f>
        <v/>
      </c>
    </row>
    <row r="406" hidden="1" s="701">
      <c r="A406" s="164">
        <f>IF(AND(Data!R406&lt;&gt;"",Data!L406="Accepté"),Data!G406,"")</f>
        <v/>
      </c>
      <c r="B406" s="164">
        <f>IF(AND(Data!R406&lt;&gt;"",Data!L406="Accepté"),Data!L406,"")</f>
        <v/>
      </c>
      <c r="C406" s="329">
        <f>IF(D406&lt;&gt;"","S"&amp;TEXT(WEEKNUM(D406),"00"),"")</f>
        <v/>
      </c>
      <c r="D406" s="330">
        <f>IF(AND(Data!Q406&lt;&gt;"",Data!L406="Accepté"),Data!Q406,"")</f>
        <v/>
      </c>
      <c r="E406" s="106">
        <f>IF(AND(Data!R406&lt;&gt;"",Data!L406="Accepté"),Data!R406,"")</f>
        <v/>
      </c>
      <c r="F406" s="1037">
        <f>IF(AND(Data!R406&lt;&gt;"",Data!L406="Accepté"),Data!S406,"")</f>
        <v/>
      </c>
      <c r="G406" s="1038">
        <f>IF(Data!R406='Delivery Plan'!E406,Data!U406,"")</f>
        <v/>
      </c>
      <c r="H406" s="327" t="n"/>
      <c r="I406" s="329">
        <f>IF(J406&lt;&gt;"","S"&amp;TEXT(WEEKNUM(J406),"00"),"")</f>
        <v/>
      </c>
      <c r="J406" s="330">
        <f>IF(AND(E406=Data!R406,Data!AA406&lt;&gt;""),Data!AA406,"")</f>
        <v/>
      </c>
      <c r="K406" s="751">
        <f>IF(AND(E406=Data!R406,Data!AE406&lt;&gt;""),Data!AE406,"")</f>
        <v/>
      </c>
      <c r="L406" s="1039">
        <f>IF(E406=Data!R418,Data!AI418,"")</f>
        <v/>
      </c>
      <c r="M406" s="1039">
        <f>IF(E406=Data!R418,Data!AJ418,"")</f>
        <v/>
      </c>
      <c r="N406">
        <f>IF(AND(Data!R418&lt;&gt;"",Data!L418="Accepté"),Data!K418,"")</f>
        <v/>
      </c>
    </row>
    <row r="407" hidden="1" s="701">
      <c r="A407" s="164">
        <f>IF(AND(Data!R407&lt;&gt;"",Data!L407="Accepté"),Data!G407,"")</f>
        <v/>
      </c>
      <c r="B407" s="164">
        <f>IF(AND(Data!R407&lt;&gt;"",Data!L407="Accepté"),Data!L407,"")</f>
        <v/>
      </c>
      <c r="C407" s="329">
        <f>IF(D407&lt;&gt;"","S"&amp;TEXT(WEEKNUM(D407),"00"),"")</f>
        <v/>
      </c>
      <c r="D407" s="330">
        <f>IF(AND(Data!Q407&lt;&gt;"",Data!L407="Accepté"),Data!Q407,"")</f>
        <v/>
      </c>
      <c r="E407" s="106">
        <f>IF(AND(Data!R407&lt;&gt;"",Data!L407="Accepté"),Data!R407,"")</f>
        <v/>
      </c>
      <c r="F407" s="1037">
        <f>IF(AND(Data!R407&lt;&gt;"",Data!L407="Accepté"),Data!S407,"")</f>
        <v/>
      </c>
      <c r="G407" s="1038">
        <f>IF(Data!R407='Delivery Plan'!E407,Data!U407,"")</f>
        <v/>
      </c>
      <c r="H407" s="327" t="n"/>
      <c r="I407" s="329">
        <f>IF(J407&lt;&gt;"","S"&amp;TEXT(WEEKNUM(J407),"00"),"")</f>
        <v/>
      </c>
      <c r="J407" s="330">
        <f>IF(AND(E407=Data!R407,Data!AA407&lt;&gt;""),Data!AA407,"")</f>
        <v/>
      </c>
      <c r="K407" s="751">
        <f>IF(AND(E407=Data!R407,Data!AE407&lt;&gt;""),Data!AE407,"")</f>
        <v/>
      </c>
      <c r="L407" s="1039">
        <f>IF(E407=Data!R419,Data!AI419,"")</f>
        <v/>
      </c>
      <c r="M407" s="1039">
        <f>IF(E407=Data!R419,Data!AJ419,"")</f>
        <v/>
      </c>
      <c r="N407">
        <f>IF(AND(Data!R419&lt;&gt;"",Data!L419="Accepté"),Data!K419,"")</f>
        <v/>
      </c>
    </row>
    <row r="408" hidden="1" s="701">
      <c r="A408" s="164">
        <f>IF(AND(Data!R408&lt;&gt;"",Data!L408="Accepté"),Data!G408,"")</f>
        <v/>
      </c>
      <c r="B408" s="164">
        <f>IF(AND(Data!R408&lt;&gt;"",Data!L408="Accepté"),Data!L408,"")</f>
        <v/>
      </c>
      <c r="C408" s="329">
        <f>IF(D408&lt;&gt;"","S"&amp;TEXT(WEEKNUM(D408),"00"),"")</f>
        <v/>
      </c>
      <c r="D408" s="330">
        <f>IF(AND(Data!Q408&lt;&gt;"",Data!L408="Accepté"),Data!Q408,"")</f>
        <v/>
      </c>
      <c r="E408" s="106">
        <f>IF(AND(Data!R408&lt;&gt;"",Data!L408="Accepté"),Data!R408,"")</f>
        <v/>
      </c>
      <c r="F408" s="1037">
        <f>IF(AND(Data!R408&lt;&gt;"",Data!L408="Accepté"),Data!S408,"")</f>
        <v/>
      </c>
      <c r="G408" s="1038">
        <f>IF(Data!R408='Delivery Plan'!E408,Data!U408,"")</f>
        <v/>
      </c>
      <c r="H408" s="327" t="n"/>
      <c r="I408" s="329">
        <f>IF(J408&lt;&gt;"","S"&amp;TEXT(WEEKNUM(J408),"00"),"")</f>
        <v/>
      </c>
      <c r="J408" s="330">
        <f>IF(AND(E408=Data!R408,Data!AA408&lt;&gt;""),Data!AA408,"")</f>
        <v/>
      </c>
      <c r="K408" s="751">
        <f>IF(AND(E408=Data!R408,Data!AE408&lt;&gt;""),Data!AE408,"")</f>
        <v/>
      </c>
      <c r="L408" s="1039">
        <f>IF(E408=Data!R420,Data!AI420,"")</f>
        <v/>
      </c>
      <c r="M408" s="1039">
        <f>IF(E408=Data!R420,Data!AJ420,"")</f>
        <v/>
      </c>
      <c r="N408">
        <f>IF(AND(Data!R420&lt;&gt;"",Data!L420="Accepté"),Data!K420,"")</f>
        <v/>
      </c>
    </row>
    <row r="409" hidden="1" s="701">
      <c r="A409" s="164">
        <f>IF(AND(Data!R409&lt;&gt;"",Data!L409="Accepté"),Data!G409,"")</f>
        <v/>
      </c>
      <c r="B409" s="164">
        <f>IF(AND(Data!R409&lt;&gt;"",Data!L409="Accepté"),Data!L409,"")</f>
        <v/>
      </c>
      <c r="C409" s="329">
        <f>IF(D409&lt;&gt;"","S"&amp;TEXT(WEEKNUM(D409),"00"),"")</f>
        <v/>
      </c>
      <c r="D409" s="330">
        <f>IF(AND(Data!Q409&lt;&gt;"",Data!L409="Accepté"),Data!Q409,"")</f>
        <v/>
      </c>
      <c r="E409" s="106">
        <f>IF(AND(Data!R409&lt;&gt;"",Data!L409="Accepté"),Data!R409,"")</f>
        <v/>
      </c>
      <c r="F409" s="1037">
        <f>IF(AND(Data!R409&lt;&gt;"",Data!L409="Accepté"),Data!S409,"")</f>
        <v/>
      </c>
      <c r="G409" s="1038">
        <f>IF(Data!R409='Delivery Plan'!E409,Data!U409,"")</f>
        <v/>
      </c>
      <c r="H409" s="327" t="n"/>
      <c r="I409" s="329">
        <f>IF(J409&lt;&gt;"","S"&amp;TEXT(WEEKNUM(J409),"00"),"")</f>
        <v/>
      </c>
      <c r="J409" s="330">
        <f>IF(AND(E409=Data!R409,Data!AA409&lt;&gt;""),Data!AA409,"")</f>
        <v/>
      </c>
      <c r="K409" s="751">
        <f>IF(AND(E409=Data!R409,Data!AE409&lt;&gt;""),Data!AE409,"")</f>
        <v/>
      </c>
      <c r="L409" s="1039">
        <f>IF(E409=Data!R421,Data!AI421,"")</f>
        <v/>
      </c>
      <c r="M409" s="1039">
        <f>IF(E409=Data!R421,Data!AJ421,"")</f>
        <v/>
      </c>
      <c r="N409">
        <f>IF(AND(Data!R421&lt;&gt;"",Data!L421="Accepté"),Data!K421,"")</f>
        <v/>
      </c>
    </row>
    <row r="410" hidden="1" s="701">
      <c r="A410" s="164">
        <f>IF(AND(Data!R410&lt;&gt;"",Data!L410="Accepté"),Data!G410,"")</f>
        <v/>
      </c>
      <c r="B410" s="164">
        <f>IF(AND(Data!R410&lt;&gt;"",Data!L410="Accepté"),Data!L410,"")</f>
        <v/>
      </c>
      <c r="C410" s="329">
        <f>IF(D410&lt;&gt;"","S"&amp;TEXT(WEEKNUM(D410),"00"),"")</f>
        <v/>
      </c>
      <c r="D410" s="330">
        <f>IF(AND(Data!Q410&lt;&gt;"",Data!L410="Accepté"),Data!Q410,"")</f>
        <v/>
      </c>
      <c r="E410" s="106">
        <f>IF(AND(Data!R410&lt;&gt;"",Data!L410="Accepté"),Data!R410,"")</f>
        <v/>
      </c>
      <c r="F410" s="1037">
        <f>IF(AND(Data!R410&lt;&gt;"",Data!L410="Accepté"),Data!S410,"")</f>
        <v/>
      </c>
      <c r="G410" s="1038">
        <f>IF(Data!R410='Delivery Plan'!E410,Data!U410,"")</f>
        <v/>
      </c>
      <c r="H410" s="327" t="n"/>
      <c r="I410" s="329">
        <f>IF(J410&lt;&gt;"","S"&amp;TEXT(WEEKNUM(J410),"00"),"")</f>
        <v/>
      </c>
      <c r="J410" s="330">
        <f>IF(AND(E410=Data!R410,Data!AA410&lt;&gt;""),Data!AA410,"")</f>
        <v/>
      </c>
      <c r="K410" s="751">
        <f>IF(AND(E410=Data!R410,Data!AE410&lt;&gt;""),Data!AE410,"")</f>
        <v/>
      </c>
      <c r="L410" s="1039">
        <f>IF(E410=Data!R422,Data!AI422,"")</f>
        <v/>
      </c>
      <c r="M410" s="1039">
        <f>IF(E410=Data!R422,Data!AJ422,"")</f>
        <v/>
      </c>
      <c r="N410">
        <f>IF(AND(Data!R422&lt;&gt;"",Data!L422="Accepté"),Data!K422,"")</f>
        <v/>
      </c>
    </row>
    <row r="411" hidden="1" s="701">
      <c r="A411" s="164">
        <f>IF(AND(Data!R411&lt;&gt;"",Data!L411="Accepté"),Data!G411,"")</f>
        <v/>
      </c>
      <c r="B411" s="164">
        <f>IF(AND(Data!R411&lt;&gt;"",Data!L411="Accepté"),Data!L411,"")</f>
        <v/>
      </c>
      <c r="C411" s="329">
        <f>IF(D411&lt;&gt;"","S"&amp;TEXT(WEEKNUM(D411),"00"),"")</f>
        <v/>
      </c>
      <c r="D411" s="330">
        <f>IF(AND(Data!Q411&lt;&gt;"",Data!L411="Accepté"),Data!Q411,"")</f>
        <v/>
      </c>
      <c r="E411" s="106">
        <f>IF(AND(Data!R411&lt;&gt;"",Data!L411="Accepté"),Data!R411,"")</f>
        <v/>
      </c>
      <c r="F411" s="1037">
        <f>IF(AND(Data!R411&lt;&gt;"",Data!L411="Accepté"),Data!S411,"")</f>
        <v/>
      </c>
      <c r="G411" s="1038">
        <f>IF(Data!R411='Delivery Plan'!E411,Data!U411,"")</f>
        <v/>
      </c>
      <c r="H411" s="327" t="n"/>
      <c r="I411" s="329">
        <f>IF(J411&lt;&gt;"","S"&amp;TEXT(WEEKNUM(J411),"00"),"")</f>
        <v/>
      </c>
      <c r="J411" s="330">
        <f>IF(AND(E411=Data!R411,Data!AA411&lt;&gt;""),Data!AA411,"")</f>
        <v/>
      </c>
      <c r="K411" s="751">
        <f>IF(AND(E411=Data!R411,Data!AE411&lt;&gt;""),Data!AE411,"")</f>
        <v/>
      </c>
      <c r="L411" s="1039">
        <f>IF(E411=Data!R423,Data!AI423,"")</f>
        <v/>
      </c>
      <c r="M411" s="1039">
        <f>IF(E411=Data!R423,Data!AJ423,"")</f>
        <v/>
      </c>
      <c r="N411">
        <f>IF(AND(Data!R423&lt;&gt;"",Data!L423="Accepté"),Data!K423,"")</f>
        <v/>
      </c>
    </row>
    <row r="412" hidden="1" s="701">
      <c r="A412" s="164">
        <f>IF(AND(Data!R412&lt;&gt;"",Data!L412="Accepté"),Data!G412,"")</f>
        <v/>
      </c>
      <c r="B412" s="164">
        <f>IF(AND(Data!R412&lt;&gt;"",Data!L412="Accepté"),Data!L412,"")</f>
        <v/>
      </c>
      <c r="C412" s="329">
        <f>IF(D412&lt;&gt;"","S"&amp;TEXT(WEEKNUM(D412),"00"),"")</f>
        <v/>
      </c>
      <c r="D412" s="330">
        <f>IF(AND(Data!Q412&lt;&gt;"",Data!L412="Accepté"),Data!Q412,"")</f>
        <v/>
      </c>
      <c r="E412" s="106">
        <f>IF(AND(Data!R412&lt;&gt;"",Data!L412="Accepté"),Data!R412,"")</f>
        <v/>
      </c>
      <c r="F412" s="1037">
        <f>IF(AND(Data!R412&lt;&gt;"",Data!L412="Accepté"),Data!S412,"")</f>
        <v/>
      </c>
      <c r="G412" s="1038">
        <f>IF(Data!R412='Delivery Plan'!E412,Data!U412,"")</f>
        <v/>
      </c>
      <c r="H412" s="327" t="n"/>
      <c r="I412" s="329">
        <f>IF(J412&lt;&gt;"","S"&amp;TEXT(WEEKNUM(J412),"00"),"")</f>
        <v/>
      </c>
      <c r="J412" s="330">
        <f>IF(AND(E412=Data!R412,Data!AA412&lt;&gt;""),Data!AA412,"")</f>
        <v/>
      </c>
      <c r="K412" s="751">
        <f>IF(AND(E412=Data!R412,Data!AE412&lt;&gt;""),Data!AE412,"")</f>
        <v/>
      </c>
      <c r="L412" s="1039">
        <f>IF(E412=Data!R424,Data!AI424,"")</f>
        <v/>
      </c>
      <c r="M412" s="1039">
        <f>IF(E412=Data!R424,Data!AJ424,"")</f>
        <v/>
      </c>
      <c r="N412">
        <f>IF(AND(Data!R424&lt;&gt;"",Data!L424="Accepté"),Data!K424,"")</f>
        <v/>
      </c>
    </row>
    <row r="413" hidden="1" s="701">
      <c r="A413" s="164">
        <f>IF(AND(Data!R413&lt;&gt;"",Data!L413="Accepté"),Data!G413,"")</f>
        <v/>
      </c>
      <c r="B413" s="164">
        <f>IF(AND(Data!R413&lt;&gt;"",Data!L413="Accepté"),Data!L413,"")</f>
        <v/>
      </c>
      <c r="C413" s="329">
        <f>IF(D413&lt;&gt;"","S"&amp;TEXT(WEEKNUM(D413),"00"),"")</f>
        <v/>
      </c>
      <c r="D413" s="330">
        <f>IF(AND(Data!Q413&lt;&gt;"",Data!L413="Accepté"),Data!Q413,"")</f>
        <v/>
      </c>
      <c r="E413" s="106">
        <f>IF(AND(Data!R413&lt;&gt;"",Data!L413="Accepté"),Data!R413,"")</f>
        <v/>
      </c>
      <c r="F413" s="1037">
        <f>IF(AND(Data!R413&lt;&gt;"",Data!L413="Accepté"),Data!S413,"")</f>
        <v/>
      </c>
      <c r="G413" s="1038">
        <f>IF(Data!R413='Delivery Plan'!E413,Data!U413,"")</f>
        <v/>
      </c>
      <c r="H413" s="327" t="n"/>
      <c r="I413" s="329">
        <f>IF(J413&lt;&gt;"","S"&amp;TEXT(WEEKNUM(J413),"00"),"")</f>
        <v/>
      </c>
      <c r="J413" s="330">
        <f>IF(AND(E413=Data!R413,Data!AA413&lt;&gt;""),Data!AA413,"")</f>
        <v/>
      </c>
      <c r="K413" s="751">
        <f>IF(AND(E413=Data!R413,Data!AE413&lt;&gt;""),Data!AE413,"")</f>
        <v/>
      </c>
      <c r="L413" s="1039">
        <f>IF(E413=Data!R425,Data!AI425,"")</f>
        <v/>
      </c>
      <c r="M413" s="1039">
        <f>IF(E413=Data!R425,Data!AJ425,"")</f>
        <v/>
      </c>
      <c r="N413">
        <f>IF(AND(Data!R425&lt;&gt;"",Data!L425="Accepté"),Data!K425,"")</f>
        <v/>
      </c>
    </row>
    <row r="414" hidden="1" s="701">
      <c r="A414" s="164">
        <f>IF(AND(Data!R414&lt;&gt;"",Data!L414="Accepté"),Data!G414,"")</f>
        <v/>
      </c>
      <c r="B414" s="164">
        <f>IF(AND(Data!R414&lt;&gt;"",Data!L414="Accepté"),Data!L414,"")</f>
        <v/>
      </c>
      <c r="C414" s="329">
        <f>IF(D414&lt;&gt;"","S"&amp;TEXT(WEEKNUM(D414),"00"),"")</f>
        <v/>
      </c>
      <c r="D414" s="330">
        <f>IF(AND(Data!Q414&lt;&gt;"",Data!L414="Accepté"),Data!Q414,"")</f>
        <v/>
      </c>
      <c r="E414" s="106">
        <f>IF(AND(Data!R414&lt;&gt;"",Data!L414="Accepté"),Data!R414,"")</f>
        <v/>
      </c>
      <c r="F414" s="1037">
        <f>IF(AND(Data!R414&lt;&gt;"",Data!L414="Accepté"),Data!S414,"")</f>
        <v/>
      </c>
      <c r="G414" s="1038">
        <f>IF(Data!R414='Delivery Plan'!E414,Data!U414,"")</f>
        <v/>
      </c>
      <c r="H414" s="327" t="n"/>
      <c r="I414" s="329">
        <f>IF(J414&lt;&gt;"","S"&amp;TEXT(WEEKNUM(J414),"00"),"")</f>
        <v/>
      </c>
      <c r="J414" s="330">
        <f>IF(AND(E414=Data!R414,Data!AA414&lt;&gt;""),Data!AA414,"")</f>
        <v/>
      </c>
      <c r="K414" s="751">
        <f>IF(AND(E414=Data!R414,Data!AE414&lt;&gt;""),Data!AE414,"")</f>
        <v/>
      </c>
      <c r="L414" s="1039">
        <f>IF(E414=Data!R426,Data!AI426,"")</f>
        <v/>
      </c>
      <c r="M414" s="1039">
        <f>IF(E414=Data!R426,Data!AJ426,"")</f>
        <v/>
      </c>
      <c r="N414">
        <f>IF(AND(Data!R426&lt;&gt;"",Data!L426="Accepté"),Data!K426,"")</f>
        <v/>
      </c>
    </row>
    <row r="415" hidden="1" s="701">
      <c r="A415" s="164">
        <f>IF(AND(Data!R415&lt;&gt;"",Data!L415="Accepté"),Data!G415,"")</f>
        <v/>
      </c>
      <c r="B415" s="164">
        <f>IF(AND(Data!R415&lt;&gt;"",Data!L415="Accepté"),Data!L415,"")</f>
        <v/>
      </c>
      <c r="C415" s="329">
        <f>IF(D415&lt;&gt;"","S"&amp;TEXT(WEEKNUM(D415),"00"),"")</f>
        <v/>
      </c>
      <c r="D415" s="330">
        <f>IF(AND(Data!Q415&lt;&gt;"",Data!L415="Accepté"),Data!Q415,"")</f>
        <v/>
      </c>
      <c r="E415" s="106">
        <f>IF(AND(Data!R415&lt;&gt;"",Data!L415="Accepté"),Data!R415,"")</f>
        <v/>
      </c>
      <c r="F415" s="1037">
        <f>IF(AND(Data!R415&lt;&gt;"",Data!L415="Accepté"),Data!S415,"")</f>
        <v/>
      </c>
      <c r="G415" s="1038">
        <f>IF(Data!R415='Delivery Plan'!E415,Data!U415,"")</f>
        <v/>
      </c>
      <c r="H415" s="327" t="n"/>
      <c r="I415" s="329">
        <f>IF(J415&lt;&gt;"","S"&amp;TEXT(WEEKNUM(J415),"00"),"")</f>
        <v/>
      </c>
      <c r="J415" s="330">
        <f>IF(AND(E415=Data!R415,Data!AA415&lt;&gt;""),Data!AA415,"")</f>
        <v/>
      </c>
      <c r="K415" s="751">
        <f>IF(AND(E415=Data!R415,Data!AE415&lt;&gt;""),Data!AE415,"")</f>
        <v/>
      </c>
      <c r="L415" s="1039">
        <f>IF(E415=Data!R427,Data!AI427,"")</f>
        <v/>
      </c>
      <c r="M415" s="1039">
        <f>IF(E415=Data!R427,Data!AJ427,"")</f>
        <v/>
      </c>
      <c r="N415">
        <f>IF(AND(Data!R427&lt;&gt;"",Data!L427="Accepté"),Data!K427,"")</f>
        <v/>
      </c>
    </row>
    <row r="416" hidden="1" s="701">
      <c r="A416" s="164">
        <f>IF(AND(Data!R416&lt;&gt;"",Data!L416="Accepté"),Data!G416,"")</f>
        <v/>
      </c>
      <c r="B416" s="164">
        <f>IF(AND(Data!R416&lt;&gt;"",Data!L416="Accepté"),Data!L416,"")</f>
        <v/>
      </c>
      <c r="C416" s="329">
        <f>IF(D416&lt;&gt;"","S"&amp;TEXT(WEEKNUM(D416),"00"),"")</f>
        <v/>
      </c>
      <c r="D416" s="330">
        <f>IF(AND(Data!Q416&lt;&gt;"",Data!L416="Accepté"),Data!Q416,"")</f>
        <v/>
      </c>
      <c r="E416" s="106">
        <f>IF(AND(Data!R416&lt;&gt;"",Data!L416="Accepté"),Data!R416,"")</f>
        <v/>
      </c>
      <c r="F416" s="1037">
        <f>IF(AND(Data!R416&lt;&gt;"",Data!L416="Accepté"),Data!S416,"")</f>
        <v/>
      </c>
      <c r="G416" s="1038">
        <f>IF(Data!R416='Delivery Plan'!E416,Data!U416,"")</f>
        <v/>
      </c>
      <c r="H416" s="327" t="n"/>
      <c r="I416" s="329">
        <f>IF(J416&lt;&gt;"","S"&amp;TEXT(WEEKNUM(J416),"00"),"")</f>
        <v/>
      </c>
      <c r="J416" s="330">
        <f>IF(AND(E416=Data!R416,Data!AA416&lt;&gt;""),Data!AA416,"")</f>
        <v/>
      </c>
      <c r="K416" s="751">
        <f>IF(AND(E416=Data!R416,Data!AE416&lt;&gt;""),Data!AE416,"")</f>
        <v/>
      </c>
      <c r="L416" s="1039">
        <f>IF(E416=Data!R428,Data!AI428,"")</f>
        <v/>
      </c>
      <c r="M416" s="1039">
        <f>IF(E416=Data!R428,Data!AJ428,"")</f>
        <v/>
      </c>
      <c r="N416">
        <f>IF(AND(Data!R428&lt;&gt;"",Data!L428="Accepté"),Data!K428,"")</f>
        <v/>
      </c>
    </row>
    <row r="417" hidden="1" s="701">
      <c r="A417" s="164">
        <f>IF(AND(Data!R417&lt;&gt;"",Data!L417="Accepté"),Data!G417,"")</f>
        <v/>
      </c>
      <c r="B417" s="164">
        <f>IF(AND(Data!R417&lt;&gt;"",Data!L417="Accepté"),Data!L417,"")</f>
        <v/>
      </c>
      <c r="C417" s="329">
        <f>IF(D417&lt;&gt;"","S"&amp;TEXT(WEEKNUM(D417),"00"),"")</f>
        <v/>
      </c>
      <c r="D417" s="330">
        <f>IF(AND(Data!Q417&lt;&gt;"",Data!L417="Accepté"),Data!Q417,"")</f>
        <v/>
      </c>
      <c r="E417" s="106">
        <f>IF(AND(Data!R417&lt;&gt;"",Data!L417="Accepté"),Data!R417,"")</f>
        <v/>
      </c>
      <c r="F417" s="1037">
        <f>IF(AND(Data!R417&lt;&gt;"",Data!L417="Accepté"),Data!S417,"")</f>
        <v/>
      </c>
      <c r="G417" s="1038">
        <f>IF(Data!R417='Delivery Plan'!E417,Data!U417,"")</f>
        <v/>
      </c>
      <c r="H417" s="327" t="n"/>
      <c r="I417" s="329">
        <f>IF(J417&lt;&gt;"","S"&amp;TEXT(WEEKNUM(J417),"00"),"")</f>
        <v/>
      </c>
      <c r="J417" s="330">
        <f>IF(AND(E417=Data!R417,Data!AA417&lt;&gt;""),Data!AA417,"")</f>
        <v/>
      </c>
      <c r="K417" s="751">
        <f>IF(AND(E417=Data!R417,Data!AE417&lt;&gt;""),Data!AE417,"")</f>
        <v/>
      </c>
      <c r="L417" s="1039">
        <f>IF(E417=Data!R429,Data!AI429,"")</f>
        <v/>
      </c>
      <c r="M417" s="1039">
        <f>IF(E417=Data!R429,Data!AJ429,"")</f>
        <v/>
      </c>
      <c r="N417">
        <f>IF(AND(Data!R429&lt;&gt;"",Data!L429="Accepté"),Data!K429,"")</f>
        <v/>
      </c>
    </row>
    <row r="418" hidden="1" s="701">
      <c r="A418" s="164">
        <f>IF(AND(Data!R418&lt;&gt;"",Data!L418="Accepté"),Data!G418,"")</f>
        <v/>
      </c>
      <c r="B418" s="164">
        <f>IF(AND(Data!R418&lt;&gt;"",Data!L418="Accepté"),Data!L418,"")</f>
        <v/>
      </c>
      <c r="C418" s="329">
        <f>IF(D418&lt;&gt;"","S"&amp;TEXT(WEEKNUM(D418),"00"),"")</f>
        <v/>
      </c>
      <c r="D418" s="330">
        <f>IF(AND(Data!Q418&lt;&gt;"",Data!L418="Accepté"),Data!Q418,"")</f>
        <v/>
      </c>
      <c r="E418" s="106">
        <f>IF(AND(Data!R418&lt;&gt;"",Data!L418="Accepté"),Data!R418,"")</f>
        <v/>
      </c>
      <c r="F418" s="1037">
        <f>IF(AND(Data!R418&lt;&gt;"",Data!L418="Accepté"),Data!S418,"")</f>
        <v/>
      </c>
      <c r="G418" s="1038">
        <f>IF(Data!R418='Delivery Plan'!E418,Data!U418,"")</f>
        <v/>
      </c>
      <c r="H418" s="327" t="n"/>
      <c r="I418" s="329">
        <f>IF(J418&lt;&gt;"","S"&amp;TEXT(WEEKNUM(J418),"00"),"")</f>
        <v/>
      </c>
      <c r="J418" s="330">
        <f>IF(AND(E418=Data!R418,Data!AA418&lt;&gt;""),Data!AA418,"")</f>
        <v/>
      </c>
      <c r="K418" s="751">
        <f>IF(AND(E418=Data!R418,Data!AE418&lt;&gt;""),Data!AE418,"")</f>
        <v/>
      </c>
      <c r="L418" s="1039">
        <f>IF(E418=Data!R430,Data!AI430,"")</f>
        <v/>
      </c>
      <c r="M418" s="1039">
        <f>IF(E418=Data!R430,Data!AJ430,"")</f>
        <v/>
      </c>
      <c r="N418">
        <f>IF(AND(Data!R430&lt;&gt;"",Data!L430="Accepté"),Data!K430,"")</f>
        <v/>
      </c>
    </row>
    <row r="419" hidden="1" s="701">
      <c r="A419" s="164">
        <f>IF(AND(Data!R419&lt;&gt;"",Data!L419="Accepté"),Data!G419,"")</f>
        <v/>
      </c>
      <c r="B419" s="164">
        <f>IF(AND(Data!R419&lt;&gt;"",Data!L419="Accepté"),Data!L419,"")</f>
        <v/>
      </c>
      <c r="C419" s="329">
        <f>IF(D419&lt;&gt;"","S"&amp;TEXT(WEEKNUM(D419),"00"),"")</f>
        <v/>
      </c>
      <c r="D419" s="330">
        <f>IF(AND(Data!Q419&lt;&gt;"",Data!L419="Accepté"),Data!Q419,"")</f>
        <v/>
      </c>
      <c r="E419" s="106">
        <f>IF(AND(Data!R419&lt;&gt;"",Data!L419="Accepté"),Data!R419,"")</f>
        <v/>
      </c>
      <c r="F419" s="1037">
        <f>IF(AND(Data!R419&lt;&gt;"",Data!L419="Accepté"),Data!S419,"")</f>
        <v/>
      </c>
      <c r="G419" s="1038">
        <f>IF(Data!R419='Delivery Plan'!E419,Data!U419,"")</f>
        <v/>
      </c>
      <c r="H419" s="327" t="n"/>
      <c r="I419" s="329">
        <f>IF(J419&lt;&gt;"","S"&amp;TEXT(WEEKNUM(J419),"00"),"")</f>
        <v/>
      </c>
      <c r="J419" s="330">
        <f>IF(AND(E419=Data!R419,Data!AA419&lt;&gt;""),Data!AA419,"")</f>
        <v/>
      </c>
      <c r="K419" s="751">
        <f>IF(AND(E419=Data!R419,Data!AE419&lt;&gt;""),Data!AE419,"")</f>
        <v/>
      </c>
      <c r="L419" s="1039">
        <f>IF(E419=Data!R431,Data!AI431,"")</f>
        <v/>
      </c>
      <c r="M419" s="1039">
        <f>IF(E419=Data!R431,Data!AJ431,"")</f>
        <v/>
      </c>
      <c r="N419">
        <f>IF(AND(Data!R431&lt;&gt;"",Data!L431="Accepté"),Data!K431,"")</f>
        <v/>
      </c>
    </row>
    <row r="420" hidden="1" s="701">
      <c r="A420" s="164">
        <f>IF(AND(Data!R420&lt;&gt;"",Data!L420="Accepté"),Data!G420,"")</f>
        <v/>
      </c>
      <c r="B420" s="164">
        <f>IF(AND(Data!R420&lt;&gt;"",Data!L420="Accepté"),Data!L420,"")</f>
        <v/>
      </c>
      <c r="C420" s="329">
        <f>IF(D420&lt;&gt;"","S"&amp;TEXT(WEEKNUM(D420),"00"),"")</f>
        <v/>
      </c>
      <c r="D420" s="330">
        <f>IF(AND(Data!Q420&lt;&gt;"",Data!L420="Accepté"),Data!Q420,"")</f>
        <v/>
      </c>
      <c r="E420" s="106">
        <f>IF(AND(Data!R420&lt;&gt;"",Data!L420="Accepté"),Data!R420,"")</f>
        <v/>
      </c>
      <c r="F420" s="1037">
        <f>IF(AND(Data!R420&lt;&gt;"",Data!L420="Accepté"),Data!S420,"")</f>
        <v/>
      </c>
      <c r="G420" s="1038">
        <f>IF(Data!R420='Delivery Plan'!E420,Data!U420,"")</f>
        <v/>
      </c>
      <c r="H420" s="327" t="n"/>
      <c r="I420" s="329">
        <f>IF(J420&lt;&gt;"","S"&amp;TEXT(WEEKNUM(J420),"00"),"")</f>
        <v/>
      </c>
      <c r="J420" s="330">
        <f>IF(AND(E420=Data!R420,Data!AA420&lt;&gt;""),Data!AA420,"")</f>
        <v/>
      </c>
      <c r="K420" s="751">
        <f>IF(AND(E420=Data!R420,Data!AE420&lt;&gt;""),Data!AE420,"")</f>
        <v/>
      </c>
      <c r="L420" s="1039">
        <f>IF(E420=Data!R432,Data!AI432,"")</f>
        <v/>
      </c>
      <c r="M420" s="1039">
        <f>IF(E420=Data!R432,Data!AJ432,"")</f>
        <v/>
      </c>
      <c r="N420">
        <f>IF(AND(Data!R432&lt;&gt;"",Data!L432="Accepté"),Data!K432,"")</f>
        <v/>
      </c>
    </row>
    <row r="421" hidden="1" s="701">
      <c r="A421" s="164">
        <f>IF(AND(Data!R421&lt;&gt;"",Data!L421="Accepté"),Data!G421,"")</f>
        <v/>
      </c>
      <c r="B421" s="164">
        <f>IF(AND(Data!R421&lt;&gt;"",Data!L421="Accepté"),Data!L421,"")</f>
        <v/>
      </c>
      <c r="C421" s="329">
        <f>IF(D421&lt;&gt;"","S"&amp;TEXT(WEEKNUM(D421),"00"),"")</f>
        <v/>
      </c>
      <c r="D421" s="330">
        <f>IF(AND(Data!Q421&lt;&gt;"",Data!L421="Accepté"),Data!Q421,"")</f>
        <v/>
      </c>
      <c r="E421" s="106">
        <f>IF(AND(Data!R421&lt;&gt;"",Data!L421="Accepté"),Data!R421,"")</f>
        <v/>
      </c>
      <c r="F421" s="1037">
        <f>IF(AND(Data!R421&lt;&gt;"",Data!L421="Accepté"),Data!S421,"")</f>
        <v/>
      </c>
      <c r="G421" s="1038">
        <f>IF(Data!R421='Delivery Plan'!E421,Data!U421,"")</f>
        <v/>
      </c>
      <c r="H421" s="327" t="n"/>
      <c r="I421" s="329">
        <f>IF(J421&lt;&gt;"","S"&amp;TEXT(WEEKNUM(J421),"00"),"")</f>
        <v/>
      </c>
      <c r="J421" s="330">
        <f>IF(AND(E421=Data!R421,Data!AA421&lt;&gt;""),Data!AA421,"")</f>
        <v/>
      </c>
      <c r="K421" s="751">
        <f>IF(AND(E421=Data!R421,Data!AE421&lt;&gt;""),Data!AE421,"")</f>
        <v/>
      </c>
      <c r="L421" s="1039">
        <f>IF(E421=Data!R433,Data!AI433,"")</f>
        <v/>
      </c>
      <c r="M421" s="1039">
        <f>IF(E421=Data!R433,Data!AJ433,"")</f>
        <v/>
      </c>
      <c r="N421">
        <f>IF(AND(Data!R433&lt;&gt;"",Data!L433="Accepté"),Data!K433,"")</f>
        <v/>
      </c>
    </row>
    <row r="422" hidden="1" s="701">
      <c r="A422" s="164">
        <f>IF(AND(Data!R422&lt;&gt;"",Data!L422="Accepté"),Data!G422,"")</f>
        <v/>
      </c>
      <c r="B422" s="164">
        <f>IF(AND(Data!R422&lt;&gt;"",Data!L422="Accepté"),Data!L422,"")</f>
        <v/>
      </c>
      <c r="C422" s="329">
        <f>IF(D422&lt;&gt;"","S"&amp;TEXT(WEEKNUM(D422),"00"),"")</f>
        <v/>
      </c>
      <c r="D422" s="330">
        <f>IF(AND(Data!Q422&lt;&gt;"",Data!L422="Accepté"),Data!Q422,"")</f>
        <v/>
      </c>
      <c r="E422" s="106">
        <f>IF(AND(Data!R422&lt;&gt;"",Data!L422="Accepté"),Data!R422,"")</f>
        <v/>
      </c>
      <c r="F422" s="1037">
        <f>IF(AND(Data!R422&lt;&gt;"",Data!L422="Accepté"),Data!S422,"")</f>
        <v/>
      </c>
      <c r="G422" s="1038">
        <f>IF(Data!R422='Delivery Plan'!E422,Data!U422,"")</f>
        <v/>
      </c>
      <c r="H422" s="327" t="n"/>
      <c r="I422" s="329">
        <f>IF(J422&lt;&gt;"","S"&amp;TEXT(WEEKNUM(J422),"00"),"")</f>
        <v/>
      </c>
      <c r="J422" s="330">
        <f>IF(AND(E422=Data!R422,Data!AA422&lt;&gt;""),Data!AA422,"")</f>
        <v/>
      </c>
      <c r="K422" s="751">
        <f>IF(AND(E422=Data!R422,Data!AE422&lt;&gt;""),Data!AE422,"")</f>
        <v/>
      </c>
      <c r="L422" s="1039">
        <f>IF(E422=Data!R434,Data!AI434,"")</f>
        <v/>
      </c>
      <c r="M422" s="1039">
        <f>IF(E422=Data!R434,Data!AJ434,"")</f>
        <v/>
      </c>
      <c r="N422">
        <f>IF(AND(Data!R434&lt;&gt;"",Data!L434="Accepté"),Data!K434,"")</f>
        <v/>
      </c>
    </row>
    <row r="423" hidden="1" s="701">
      <c r="A423" s="164">
        <f>IF(AND(Data!R423&lt;&gt;"",Data!L423="Accepté"),Data!G423,"")</f>
        <v/>
      </c>
      <c r="B423" s="164">
        <f>IF(AND(Data!R423&lt;&gt;"",Data!L423="Accepté"),Data!L423,"")</f>
        <v/>
      </c>
      <c r="C423" s="329">
        <f>IF(D423&lt;&gt;"","S"&amp;TEXT(WEEKNUM(D423),"00"),"")</f>
        <v/>
      </c>
      <c r="D423" s="330">
        <f>IF(AND(Data!Q423&lt;&gt;"",Data!L423="Accepté"),Data!Q423,"")</f>
        <v/>
      </c>
      <c r="E423" s="106">
        <f>IF(AND(Data!R423&lt;&gt;"",Data!L423="Accepté"),Data!R423,"")</f>
        <v/>
      </c>
      <c r="F423" s="1037">
        <f>IF(AND(Data!R423&lt;&gt;"",Data!L423="Accepté"),Data!S423,"")</f>
        <v/>
      </c>
      <c r="G423" s="1038">
        <f>IF(Data!R423='Delivery Plan'!E423,Data!U423,"")</f>
        <v/>
      </c>
      <c r="H423" s="327" t="n"/>
      <c r="I423" s="329">
        <f>IF(J423&lt;&gt;"","S"&amp;TEXT(WEEKNUM(J423),"00"),"")</f>
        <v/>
      </c>
      <c r="J423" s="330">
        <f>IF(AND(E423=Data!R423,Data!AA423&lt;&gt;""),Data!AA423,"")</f>
        <v/>
      </c>
      <c r="K423" s="751">
        <f>IF(AND(E423=Data!R423,Data!AE423&lt;&gt;""),Data!AE423,"")</f>
        <v/>
      </c>
      <c r="L423" s="1039">
        <f>IF(E423=Data!R435,Data!AI435,"")</f>
        <v/>
      </c>
      <c r="M423" s="1039">
        <f>IF(E423=Data!R435,Data!AJ435,"")</f>
        <v/>
      </c>
      <c r="N423">
        <f>IF(AND(Data!R435&lt;&gt;"",Data!L435="Accepté"),Data!K435,"")</f>
        <v/>
      </c>
    </row>
    <row r="424" hidden="1" s="701">
      <c r="A424" s="164">
        <f>IF(AND(Data!R424&lt;&gt;"",Data!L424="Accepté"),Data!G424,"")</f>
        <v/>
      </c>
      <c r="B424" s="164">
        <f>IF(AND(Data!R424&lt;&gt;"",Data!L424="Accepté"),Data!L424,"")</f>
        <v/>
      </c>
      <c r="C424" s="329">
        <f>IF(D424&lt;&gt;"","S"&amp;TEXT(WEEKNUM(D424),"00"),"")</f>
        <v/>
      </c>
      <c r="D424" s="330">
        <f>IF(AND(Data!Q424&lt;&gt;"",Data!L424="Accepté"),Data!Q424,"")</f>
        <v/>
      </c>
      <c r="E424" s="106">
        <f>IF(AND(Data!R424&lt;&gt;"",Data!L424="Accepté"),Data!R424,"")</f>
        <v/>
      </c>
      <c r="F424" s="1037">
        <f>IF(AND(Data!R424&lt;&gt;"",Data!L424="Accepté"),Data!S424,"")</f>
        <v/>
      </c>
      <c r="G424" s="1038">
        <f>IF(Data!R424='Delivery Plan'!E424,Data!U424,"")</f>
        <v/>
      </c>
      <c r="H424" s="327" t="n"/>
      <c r="I424" s="329">
        <f>IF(J424&lt;&gt;"","S"&amp;TEXT(WEEKNUM(J424),"00"),"")</f>
        <v/>
      </c>
      <c r="J424" s="330">
        <f>IF(AND(E424=Data!R424,Data!AA424&lt;&gt;""),Data!AA424,"")</f>
        <v/>
      </c>
      <c r="K424" s="751">
        <f>IF(AND(E424=Data!R424,Data!AE424&lt;&gt;""),Data!AE424,"")</f>
        <v/>
      </c>
      <c r="L424" s="1039">
        <f>IF(E424=Data!R436,Data!AI436,"")</f>
        <v/>
      </c>
      <c r="M424" s="1039">
        <f>IF(E424=Data!R436,Data!AJ436,"")</f>
        <v/>
      </c>
      <c r="N424">
        <f>IF(AND(Data!R436&lt;&gt;"",Data!L436="Accepté"),Data!K436,"")</f>
        <v/>
      </c>
    </row>
    <row r="425" hidden="1" s="701">
      <c r="A425" s="164">
        <f>IF(AND(Data!R425&lt;&gt;"",Data!L425="Accepté"),Data!G425,"")</f>
        <v/>
      </c>
      <c r="B425" s="164">
        <f>IF(AND(Data!R425&lt;&gt;"",Data!L425="Accepté"),Data!L425,"")</f>
        <v/>
      </c>
      <c r="C425" s="329">
        <f>IF(D425&lt;&gt;"","S"&amp;TEXT(WEEKNUM(D425),"00"),"")</f>
        <v/>
      </c>
      <c r="D425" s="330">
        <f>IF(AND(Data!Q425&lt;&gt;"",Data!L425="Accepté"),Data!Q425,"")</f>
        <v/>
      </c>
      <c r="E425" s="106">
        <f>IF(AND(Data!R425&lt;&gt;"",Data!L425="Accepté"),Data!R425,"")</f>
        <v/>
      </c>
      <c r="F425" s="1037">
        <f>IF(AND(Data!R425&lt;&gt;"",Data!L425="Accepté"),Data!S425,"")</f>
        <v/>
      </c>
      <c r="G425" s="1038">
        <f>IF(Data!R425='Delivery Plan'!E425,Data!U425,"")</f>
        <v/>
      </c>
      <c r="H425" s="327" t="n"/>
      <c r="I425" s="329">
        <f>IF(J425&lt;&gt;"","S"&amp;TEXT(WEEKNUM(J425),"00"),"")</f>
        <v/>
      </c>
      <c r="J425" s="330">
        <f>IF(AND(E425=Data!R425,Data!AA425&lt;&gt;""),Data!AA425,"")</f>
        <v/>
      </c>
      <c r="K425" s="751">
        <f>IF(AND(E425=Data!R425,Data!AE425&lt;&gt;""),Data!AE425,"")</f>
        <v/>
      </c>
      <c r="L425" s="1039">
        <f>IF(E425=Data!R437,Data!AI437,"")</f>
        <v/>
      </c>
      <c r="M425" s="1039">
        <f>IF(E425=Data!R437,Data!AJ437,"")</f>
        <v/>
      </c>
      <c r="N425">
        <f>IF(AND(Data!R437&lt;&gt;"",Data!L437="Accepté"),Data!K437,"")</f>
        <v/>
      </c>
    </row>
    <row r="426" hidden="1" s="701">
      <c r="A426" s="164">
        <f>IF(AND(Data!R426&lt;&gt;"",Data!L426="Accepté"),Data!G426,"")</f>
        <v/>
      </c>
      <c r="B426" s="164">
        <f>IF(AND(Data!R426&lt;&gt;"",Data!L426="Accepté"),Data!L426,"")</f>
        <v/>
      </c>
      <c r="C426" s="329">
        <f>IF(D426&lt;&gt;"","S"&amp;TEXT(WEEKNUM(D426),"00"),"")</f>
        <v/>
      </c>
      <c r="D426" s="330">
        <f>IF(AND(Data!Q426&lt;&gt;"",Data!L426="Accepté"),Data!Q426,"")</f>
        <v/>
      </c>
      <c r="E426" s="106">
        <f>IF(AND(Data!R426&lt;&gt;"",Data!L426="Accepté"),Data!R426,"")</f>
        <v/>
      </c>
      <c r="F426" s="1037">
        <f>IF(AND(Data!R426&lt;&gt;"",Data!L426="Accepté"),Data!S426,"")</f>
        <v/>
      </c>
      <c r="G426" s="1038">
        <f>IF(Data!R426='Delivery Plan'!E426,Data!U426,"")</f>
        <v/>
      </c>
      <c r="H426" s="327" t="n"/>
      <c r="I426" s="329">
        <f>IF(J426&lt;&gt;"","S"&amp;TEXT(WEEKNUM(J426),"00"),"")</f>
        <v/>
      </c>
      <c r="J426" s="330">
        <f>IF(AND(E426=Data!R426,Data!AA426&lt;&gt;""),Data!AA426,"")</f>
        <v/>
      </c>
      <c r="K426" s="751">
        <f>IF(AND(E426=Data!R426,Data!AE426&lt;&gt;""),Data!AE426,"")</f>
        <v/>
      </c>
      <c r="L426" s="1039">
        <f>IF(E426=Data!R438,Data!AI438,"")</f>
        <v/>
      </c>
      <c r="M426" s="1039">
        <f>IF(E426=Data!R438,Data!AJ438,"")</f>
        <v/>
      </c>
      <c r="N426">
        <f>IF(AND(Data!R438&lt;&gt;"",Data!L438="Accepté"),Data!K438,"")</f>
        <v/>
      </c>
    </row>
    <row r="427" hidden="1" s="701">
      <c r="A427" s="164">
        <f>IF(AND(Data!R427&lt;&gt;"",Data!L427="Accepté"),Data!G427,"")</f>
        <v/>
      </c>
      <c r="B427" s="164">
        <f>IF(AND(Data!R427&lt;&gt;"",Data!L427="Accepté"),Data!L427,"")</f>
        <v/>
      </c>
      <c r="C427" s="329">
        <f>IF(D427&lt;&gt;"","S"&amp;TEXT(WEEKNUM(D427),"00"),"")</f>
        <v/>
      </c>
      <c r="D427" s="330">
        <f>IF(AND(Data!Q427&lt;&gt;"",Data!L427="Accepté"),Data!Q427,"")</f>
        <v/>
      </c>
      <c r="E427" s="106">
        <f>IF(AND(Data!R427&lt;&gt;"",Data!L427="Accepté"),Data!R427,"")</f>
        <v/>
      </c>
      <c r="F427" s="1037">
        <f>IF(AND(Data!R427&lt;&gt;"",Data!L427="Accepté"),Data!S427,"")</f>
        <v/>
      </c>
      <c r="G427" s="1038">
        <f>IF(Data!R427='Delivery Plan'!E427,Data!U427,"")</f>
        <v/>
      </c>
      <c r="H427" s="327" t="n"/>
      <c r="I427" s="329">
        <f>IF(J427&lt;&gt;"","S"&amp;TEXT(WEEKNUM(J427),"00"),"")</f>
        <v/>
      </c>
      <c r="J427" s="330">
        <f>IF(AND(E427=Data!R427,Data!AA427&lt;&gt;""),Data!AA427,"")</f>
        <v/>
      </c>
      <c r="K427" s="751">
        <f>IF(AND(E427=Data!R427,Data!AE427&lt;&gt;""),Data!AE427,"")</f>
        <v/>
      </c>
      <c r="L427" s="1039">
        <f>IF(E427=Data!R439,Data!AI439,"")</f>
        <v/>
      </c>
      <c r="M427" s="1039">
        <f>IF(E427=Data!R439,Data!AJ439,"")</f>
        <v/>
      </c>
      <c r="N427">
        <f>IF(AND(Data!R439&lt;&gt;"",Data!L439="Accepté"),Data!K439,"")</f>
        <v/>
      </c>
    </row>
    <row r="428" hidden="1" s="701">
      <c r="A428" s="164">
        <f>IF(AND(Data!R428&lt;&gt;"",Data!L428="Accepté"),Data!G428,"")</f>
        <v/>
      </c>
      <c r="B428" s="164">
        <f>IF(AND(Data!R428&lt;&gt;"",Data!L428="Accepté"),Data!L428,"")</f>
        <v/>
      </c>
      <c r="C428" s="329">
        <f>IF(D428&lt;&gt;"","S"&amp;TEXT(WEEKNUM(D428),"00"),"")</f>
        <v/>
      </c>
      <c r="D428" s="330">
        <f>IF(AND(Data!Q428&lt;&gt;"",Data!L428="Accepté"),Data!Q428,"")</f>
        <v/>
      </c>
      <c r="E428" s="106">
        <f>IF(AND(Data!R428&lt;&gt;"",Data!L428="Accepté"),Data!R428,"")</f>
        <v/>
      </c>
      <c r="F428" s="1037">
        <f>IF(AND(Data!R428&lt;&gt;"",Data!L428="Accepté"),Data!S428,"")</f>
        <v/>
      </c>
      <c r="G428" s="1038">
        <f>IF(Data!R428='Delivery Plan'!E428,Data!U428,"")</f>
        <v/>
      </c>
      <c r="H428" s="327" t="n"/>
      <c r="I428" s="329">
        <f>IF(J428&lt;&gt;"","S"&amp;TEXT(WEEKNUM(J428),"00"),"")</f>
        <v/>
      </c>
      <c r="J428" s="330">
        <f>IF(AND(E428=Data!R428,Data!AA428&lt;&gt;""),Data!AA428,"")</f>
        <v/>
      </c>
      <c r="K428" s="751">
        <f>IF(AND(E428=Data!R428,Data!AE428&lt;&gt;""),Data!AE428,"")</f>
        <v/>
      </c>
      <c r="L428" s="1039">
        <f>IF(E428=Data!R440,Data!AI440,"")</f>
        <v/>
      </c>
      <c r="M428" s="1039">
        <f>IF(E428=Data!R440,Data!AJ440,"")</f>
        <v/>
      </c>
      <c r="N428">
        <f>IF(AND(Data!R440&lt;&gt;"",Data!L440="Accepté"),Data!K440,"")</f>
        <v/>
      </c>
    </row>
    <row r="429" hidden="1" s="701">
      <c r="A429" s="164">
        <f>IF(AND(Data!R429&lt;&gt;"",Data!L429="Accepté"),Data!G429,"")</f>
        <v/>
      </c>
      <c r="B429" s="164">
        <f>IF(AND(Data!R429&lt;&gt;"",Data!L429="Accepté"),Data!L429,"")</f>
        <v/>
      </c>
      <c r="C429" s="329">
        <f>IF(D429&lt;&gt;"","S"&amp;TEXT(WEEKNUM(D429),"00"),"")</f>
        <v/>
      </c>
      <c r="D429" s="330">
        <f>IF(AND(Data!Q429&lt;&gt;"",Data!L429="Accepté"),Data!Q429,"")</f>
        <v/>
      </c>
      <c r="E429" s="106">
        <f>IF(AND(Data!R429&lt;&gt;"",Data!L429="Accepté"),Data!R429,"")</f>
        <v/>
      </c>
      <c r="F429" s="1037">
        <f>IF(AND(Data!R429&lt;&gt;"",Data!L429="Accepté"),Data!S429,"")</f>
        <v/>
      </c>
      <c r="G429" s="1038">
        <f>IF(Data!R429='Delivery Plan'!E429,Data!U429,"")</f>
        <v/>
      </c>
      <c r="H429" s="327" t="n"/>
      <c r="I429" s="329">
        <f>IF(J429&lt;&gt;"","S"&amp;TEXT(WEEKNUM(J429),"00"),"")</f>
        <v/>
      </c>
      <c r="J429" s="330">
        <f>IF(AND(E429=Data!R429,Data!AA429&lt;&gt;""),Data!AA429,"")</f>
        <v/>
      </c>
      <c r="K429" s="751">
        <f>IF(AND(E429=Data!R429,Data!AE429&lt;&gt;""),Data!AE429,"")</f>
        <v/>
      </c>
      <c r="L429" s="1039">
        <f>IF(E429=Data!R441,Data!AI441,"")</f>
        <v/>
      </c>
      <c r="M429" s="1039">
        <f>IF(E429=Data!R441,Data!AJ441,"")</f>
        <v/>
      </c>
      <c r="N429">
        <f>IF(AND(Data!R441&lt;&gt;"",Data!L441="Accepté"),Data!K441,"")</f>
        <v/>
      </c>
    </row>
    <row r="430" hidden="1" s="701">
      <c r="A430" s="164">
        <f>IF(AND(Data!R430&lt;&gt;"",Data!L430="Accepté"),Data!G430,"")</f>
        <v/>
      </c>
      <c r="B430" s="164">
        <f>IF(AND(Data!R430&lt;&gt;"",Data!L430="Accepté"),Data!L430,"")</f>
        <v/>
      </c>
      <c r="C430" s="329">
        <f>IF(D430&lt;&gt;"","S"&amp;TEXT(WEEKNUM(D430),"00"),"")</f>
        <v/>
      </c>
      <c r="D430" s="330">
        <f>IF(AND(Data!Q430&lt;&gt;"",Data!L430="Accepté"),Data!Q430,"")</f>
        <v/>
      </c>
      <c r="E430" s="106">
        <f>IF(AND(Data!R430&lt;&gt;"",Data!L430="Accepté"),Data!R430,"")</f>
        <v/>
      </c>
      <c r="F430" s="1037">
        <f>IF(AND(Data!R430&lt;&gt;"",Data!L430="Accepté"),Data!S430,"")</f>
        <v/>
      </c>
      <c r="G430" s="1038">
        <f>IF(Data!R430='Delivery Plan'!E430,Data!U430,"")</f>
        <v/>
      </c>
      <c r="H430" s="327" t="n"/>
      <c r="I430" s="329">
        <f>IF(J430&lt;&gt;"","S"&amp;TEXT(WEEKNUM(J430),"00"),"")</f>
        <v/>
      </c>
      <c r="J430" s="330">
        <f>IF(AND(E430=Data!R430,Data!AA430&lt;&gt;""),Data!AA430,"")</f>
        <v/>
      </c>
      <c r="K430" s="751">
        <f>IF(AND(E430=Data!R430,Data!AE430&lt;&gt;""),Data!AE430,"")</f>
        <v/>
      </c>
      <c r="L430" s="1039">
        <f>IF(E430=Data!R442,Data!AI442,"")</f>
        <v/>
      </c>
      <c r="M430" s="1039">
        <f>IF(E430=Data!R442,Data!AJ442,"")</f>
        <v/>
      </c>
      <c r="N430">
        <f>IF(AND(Data!R442&lt;&gt;"",Data!L442="Accepté"),Data!K442,"")</f>
        <v/>
      </c>
    </row>
    <row r="431" hidden="1" s="701">
      <c r="A431" s="164">
        <f>IF(AND(Data!R431&lt;&gt;"",Data!L431="Accepté"),Data!G431,"")</f>
        <v/>
      </c>
      <c r="B431" s="164">
        <f>IF(AND(Data!R431&lt;&gt;"",Data!L431="Accepté"),Data!L431,"")</f>
        <v/>
      </c>
      <c r="C431" s="329">
        <f>IF(D431&lt;&gt;"","S"&amp;TEXT(WEEKNUM(D431),"00"),"")</f>
        <v/>
      </c>
      <c r="D431" s="330">
        <f>IF(AND(Data!Q431&lt;&gt;"",Data!L431="Accepté"),Data!Q431,"")</f>
        <v/>
      </c>
      <c r="E431" s="106">
        <f>IF(AND(Data!R431&lt;&gt;"",Data!L431="Accepté"),Data!R431,"")</f>
        <v/>
      </c>
      <c r="F431" s="1037">
        <f>IF(AND(Data!R431&lt;&gt;"",Data!L431="Accepté"),Data!S431,"")</f>
        <v/>
      </c>
      <c r="G431" s="1038">
        <f>IF(Data!R431='Delivery Plan'!E431,Data!U431,"")</f>
        <v/>
      </c>
      <c r="H431" s="327" t="n"/>
      <c r="I431" s="329">
        <f>IF(J431&lt;&gt;"","S"&amp;TEXT(WEEKNUM(J431),"00"),"")</f>
        <v/>
      </c>
      <c r="J431" s="330">
        <f>IF(AND(E431=Data!R431,Data!AA431&lt;&gt;""),Data!AA431,"")</f>
        <v/>
      </c>
      <c r="K431" s="751">
        <f>IF(AND(E431=Data!R431,Data!AE431&lt;&gt;""),Data!AE431,"")</f>
        <v/>
      </c>
      <c r="L431" s="1039">
        <f>IF(E431=Data!R443,Data!AI443,"")</f>
        <v/>
      </c>
      <c r="M431" s="1039">
        <f>IF(E431=Data!R443,Data!AJ443,"")</f>
        <v/>
      </c>
      <c r="N431">
        <f>IF(AND(Data!R443&lt;&gt;"",Data!L443="Accepté"),Data!K443,"")</f>
        <v/>
      </c>
    </row>
    <row r="432" hidden="1" s="701">
      <c r="A432" s="164">
        <f>IF(AND(Data!R432&lt;&gt;"",Data!L432="Accepté"),Data!G432,"")</f>
        <v/>
      </c>
      <c r="B432" s="164">
        <f>IF(AND(Data!R432&lt;&gt;"",Data!L432="Accepté"),Data!L432,"")</f>
        <v/>
      </c>
      <c r="C432" s="329">
        <f>IF(D432&lt;&gt;"","S"&amp;TEXT(WEEKNUM(D432),"00"),"")</f>
        <v/>
      </c>
      <c r="D432" s="330">
        <f>IF(AND(Data!Q432&lt;&gt;"",Data!L432="Accepté"),Data!Q432,"")</f>
        <v/>
      </c>
      <c r="E432" s="106">
        <f>IF(AND(Data!R432&lt;&gt;"",Data!L432="Accepté"),Data!R432,"")</f>
        <v/>
      </c>
      <c r="F432" s="1037">
        <f>IF(AND(Data!R432&lt;&gt;"",Data!L432="Accepté"),Data!S432,"")</f>
        <v/>
      </c>
      <c r="G432" s="1038">
        <f>IF(Data!R432='Delivery Plan'!E432,Data!U432,"")</f>
        <v/>
      </c>
      <c r="H432" s="327" t="n"/>
      <c r="I432" s="329">
        <f>IF(J432&lt;&gt;"","S"&amp;TEXT(WEEKNUM(J432),"00"),"")</f>
        <v/>
      </c>
      <c r="J432" s="330">
        <f>IF(AND(E432=Data!R432,Data!AA432&lt;&gt;""),Data!AA432,"")</f>
        <v/>
      </c>
      <c r="K432" s="751">
        <f>IF(AND(E432=Data!R432,Data!AE432&lt;&gt;""),Data!AE432,"")</f>
        <v/>
      </c>
      <c r="L432" s="1039">
        <f>IF(E432=Data!R444,Data!AI444,"")</f>
        <v/>
      </c>
      <c r="M432" s="1039">
        <f>IF(E432=Data!R444,Data!AJ444,"")</f>
        <v/>
      </c>
      <c r="N432">
        <f>IF(AND(Data!R444&lt;&gt;"",Data!L444="Accepté"),Data!K444,"")</f>
        <v/>
      </c>
    </row>
    <row r="433" hidden="1" s="701">
      <c r="A433" s="164">
        <f>IF(AND(Data!R433&lt;&gt;"",Data!L433="Accepté"),Data!G433,"")</f>
        <v/>
      </c>
      <c r="B433" s="164">
        <f>IF(AND(Data!R433&lt;&gt;"",Data!L433="Accepté"),Data!L433,"")</f>
        <v/>
      </c>
      <c r="C433" s="329">
        <f>IF(D433&lt;&gt;"","S"&amp;TEXT(WEEKNUM(D433),"00"),"")</f>
        <v/>
      </c>
      <c r="D433" s="330">
        <f>IF(AND(Data!Q433&lt;&gt;"",Data!L433="Accepté"),Data!Q433,"")</f>
        <v/>
      </c>
      <c r="E433" s="106">
        <f>IF(AND(Data!R433&lt;&gt;"",Data!L433="Accepté"),Data!R433,"")</f>
        <v/>
      </c>
      <c r="F433" s="1037">
        <f>IF(AND(Data!R433&lt;&gt;"",Data!L433="Accepté"),Data!S433,"")</f>
        <v/>
      </c>
      <c r="G433" s="1038">
        <f>IF(Data!R433='Delivery Plan'!E433,Data!U433,"")</f>
        <v/>
      </c>
      <c r="H433" s="327" t="n"/>
      <c r="I433" s="329">
        <f>IF(J433&lt;&gt;"","S"&amp;TEXT(WEEKNUM(J433),"00"),"")</f>
        <v/>
      </c>
      <c r="J433" s="330">
        <f>IF(AND(E433=Data!R433,Data!AA433&lt;&gt;""),Data!AA433,"")</f>
        <v/>
      </c>
      <c r="K433" s="751">
        <f>IF(AND(E433=Data!R433,Data!AE433&lt;&gt;""),Data!AE433,"")</f>
        <v/>
      </c>
      <c r="L433" s="1039">
        <f>IF(E433=Data!R445,Data!AI445,"")</f>
        <v/>
      </c>
      <c r="M433" s="1039">
        <f>IF(E433=Data!R445,Data!AJ445,"")</f>
        <v/>
      </c>
      <c r="N433">
        <f>IF(AND(Data!R445&lt;&gt;"",Data!L445="Accepté"),Data!K445,"")</f>
        <v/>
      </c>
    </row>
    <row r="434" hidden="1" s="701">
      <c r="A434" s="164">
        <f>IF(AND(Data!R434&lt;&gt;"",Data!L434="Accepté"),Data!G434,"")</f>
        <v/>
      </c>
      <c r="B434" s="164">
        <f>IF(AND(Data!R434&lt;&gt;"",Data!L434="Accepté"),Data!L434,"")</f>
        <v/>
      </c>
      <c r="C434" s="329">
        <f>IF(D434&lt;&gt;"","S"&amp;TEXT(WEEKNUM(D434),"00"),"")</f>
        <v/>
      </c>
      <c r="D434" s="330">
        <f>IF(AND(Data!Q434&lt;&gt;"",Data!L434="Accepté"),Data!Q434,"")</f>
        <v/>
      </c>
      <c r="E434" s="106">
        <f>IF(AND(Data!R434&lt;&gt;"",Data!L434="Accepté"),Data!R434,"")</f>
        <v/>
      </c>
      <c r="F434" s="1037">
        <f>IF(AND(Data!R434&lt;&gt;"",Data!L434="Accepté"),Data!S434,"")</f>
        <v/>
      </c>
      <c r="G434" s="1038">
        <f>IF(Data!R434='Delivery Plan'!E434,Data!U434,"")</f>
        <v/>
      </c>
      <c r="H434" s="327" t="n"/>
      <c r="I434" s="329">
        <f>IF(J434&lt;&gt;"","S"&amp;TEXT(WEEKNUM(J434),"00"),"")</f>
        <v/>
      </c>
      <c r="J434" s="330">
        <f>IF(AND(E434=Data!R434,Data!AA434&lt;&gt;""),Data!AA434,"")</f>
        <v/>
      </c>
      <c r="K434" s="751">
        <f>IF(AND(E434=Data!R434,Data!AE434&lt;&gt;""),Data!AE434,"")</f>
        <v/>
      </c>
      <c r="L434" s="1039">
        <f>IF(E434=Data!R446,Data!AI446,"")</f>
        <v/>
      </c>
      <c r="M434" s="1039">
        <f>IF(E434=Data!R446,Data!AJ446,"")</f>
        <v/>
      </c>
      <c r="N434">
        <f>IF(AND(Data!R446&lt;&gt;"",Data!L446="Accepté"),Data!K446,"")</f>
        <v/>
      </c>
    </row>
    <row r="435" hidden="1" s="701">
      <c r="A435" s="164">
        <f>IF(AND(Data!R435&lt;&gt;"",Data!L435="Accepté"),Data!G435,"")</f>
        <v/>
      </c>
      <c r="B435" s="164">
        <f>IF(AND(Data!R435&lt;&gt;"",Data!L435="Accepté"),Data!L435,"")</f>
        <v/>
      </c>
      <c r="C435" s="329">
        <f>IF(D435&lt;&gt;"","S"&amp;TEXT(WEEKNUM(D435),"00"),"")</f>
        <v/>
      </c>
      <c r="D435" s="330">
        <f>IF(AND(Data!Q435&lt;&gt;"",Data!L435="Accepté"),Data!Q435,"")</f>
        <v/>
      </c>
      <c r="E435" s="106">
        <f>IF(AND(Data!R435&lt;&gt;"",Data!L435="Accepté"),Data!R435,"")</f>
        <v/>
      </c>
      <c r="F435" s="1037">
        <f>IF(AND(Data!R435&lt;&gt;"",Data!L435="Accepté"),Data!S435,"")</f>
        <v/>
      </c>
      <c r="G435" s="1038">
        <f>IF(Data!R435='Delivery Plan'!E435,Data!U435,"")</f>
        <v/>
      </c>
      <c r="H435" s="327" t="n"/>
      <c r="I435" s="329">
        <f>IF(J435&lt;&gt;"","S"&amp;TEXT(WEEKNUM(J435),"00"),"")</f>
        <v/>
      </c>
      <c r="J435" s="330">
        <f>IF(AND(E435=Data!R435,Data!AA435&lt;&gt;""),Data!AA435,"")</f>
        <v/>
      </c>
      <c r="K435" s="751">
        <f>IF(AND(E435=Data!R435,Data!AE435&lt;&gt;""),Data!AE435,"")</f>
        <v/>
      </c>
      <c r="L435" s="1039">
        <f>IF(E435=Data!R447,Data!AI447,"")</f>
        <v/>
      </c>
      <c r="M435" s="1039">
        <f>IF(E435=Data!R447,Data!AJ447,"")</f>
        <v/>
      </c>
      <c r="N435">
        <f>IF(AND(Data!R447&lt;&gt;"",Data!L447="Accepté"),Data!K447,"")</f>
        <v/>
      </c>
    </row>
    <row r="436" hidden="1" s="701">
      <c r="A436" s="164">
        <f>IF(AND(Data!R436&lt;&gt;"",Data!L436="Accepté"),Data!G436,"")</f>
        <v/>
      </c>
      <c r="B436" s="164">
        <f>IF(AND(Data!R436&lt;&gt;"",Data!L436="Accepté"),Data!L436,"")</f>
        <v/>
      </c>
      <c r="C436" s="329">
        <f>IF(D436&lt;&gt;"","S"&amp;TEXT(WEEKNUM(D436),"00"),"")</f>
        <v/>
      </c>
      <c r="D436" s="330">
        <f>IF(AND(Data!Q436&lt;&gt;"",Data!L436="Accepté"),Data!Q436,"")</f>
        <v/>
      </c>
      <c r="E436" s="106">
        <f>IF(AND(Data!R436&lt;&gt;"",Data!L436="Accepté"),Data!R436,"")</f>
        <v/>
      </c>
      <c r="F436" s="1037">
        <f>IF(AND(Data!R436&lt;&gt;"",Data!L436="Accepté"),Data!S436,"")</f>
        <v/>
      </c>
      <c r="G436" s="1038">
        <f>IF(Data!R436='Delivery Plan'!E436,Data!U436,"")</f>
        <v/>
      </c>
      <c r="H436" s="327" t="n"/>
      <c r="I436" s="329">
        <f>IF(J436&lt;&gt;"","S"&amp;TEXT(WEEKNUM(J436),"00"),"")</f>
        <v/>
      </c>
      <c r="J436" s="330">
        <f>IF(AND(E436=Data!R436,Data!AA436&lt;&gt;""),Data!AA436,"")</f>
        <v/>
      </c>
      <c r="K436" s="751">
        <f>IF(AND(E436=Data!R436,Data!AE436&lt;&gt;""),Data!AE436,"")</f>
        <v/>
      </c>
      <c r="L436" s="1039">
        <f>IF(E436=Data!R448,Data!AI448,"")</f>
        <v/>
      </c>
      <c r="M436" s="1039">
        <f>IF(E436=Data!R448,Data!AJ448,"")</f>
        <v/>
      </c>
      <c r="N436">
        <f>IF(AND(Data!R448&lt;&gt;"",Data!L448="Accepté"),Data!K448,"")</f>
        <v/>
      </c>
    </row>
    <row r="437" hidden="1" s="701">
      <c r="A437" s="164">
        <f>IF(AND(Data!R449&lt;&gt;"",Data!L449="Accepté"),Data!G449,"")</f>
        <v/>
      </c>
      <c r="B437" s="164">
        <f>IF(AND(Data!R449&lt;&gt;"",Data!L449="Accepté"),Data!L449,"")</f>
        <v/>
      </c>
      <c r="C437" s="329">
        <f>IF(D437&lt;&gt;"","S"&amp;TEXT(WEEKNUM(D437),"00"),"")</f>
        <v/>
      </c>
      <c r="D437" s="330">
        <f>IF(AND(Data!Q449&lt;&gt;"",Data!L449="Accepté"),Data!Q449,"")</f>
        <v/>
      </c>
      <c r="E437" s="106">
        <f>IF(AND(Data!R449&lt;&gt;"",Data!L449="Accepté"),Data!R449,"")</f>
        <v/>
      </c>
      <c r="F437" s="1037">
        <f>IF(AND(Data!R449&lt;&gt;"",Data!L449="Accepté"),Data!S449,"")</f>
        <v/>
      </c>
      <c r="G437" s="1038">
        <f>IF(Data!R449='Delivery Plan'!E437,Data!U449,"")</f>
        <v/>
      </c>
      <c r="H437" s="327" t="n"/>
      <c r="I437" s="329">
        <f>IF(J437&lt;&gt;"","S"&amp;TEXT(WEEKNUM(J437),"00"),"")</f>
        <v/>
      </c>
      <c r="J437" s="330">
        <f>IF(AND(E437=Data!R437,Data!AA437&lt;&gt;""),Data!AA437,"")</f>
        <v/>
      </c>
      <c r="K437" s="751">
        <f>IF(AND(E437=Data!R437,Data!AE437&lt;&gt;""),Data!AE437,"")</f>
        <v/>
      </c>
      <c r="L437" s="1039">
        <f>IF(E437=Data!R449,Data!AI449,"")</f>
        <v/>
      </c>
      <c r="M437" s="1039">
        <f>IF(E437=Data!R449,Data!AJ449,"")</f>
        <v/>
      </c>
      <c r="N437">
        <f>IF(AND(Data!R449&lt;&gt;"",Data!L449="Accepté"),Data!K449,"")</f>
        <v/>
      </c>
    </row>
    <row r="438" hidden="1" s="701">
      <c r="A438" s="164">
        <f>IF(AND(Data!R450&lt;&gt;"",Data!L450="Accepté"),Data!G450,"")</f>
        <v/>
      </c>
      <c r="B438" s="164">
        <f>IF(AND(Data!R450&lt;&gt;"",Data!L450="Accepté"),Data!L450,"")</f>
        <v/>
      </c>
      <c r="C438" s="329">
        <f>IF(D438&lt;&gt;"","S"&amp;TEXT(WEEKNUM(D438),"00"),"")</f>
        <v/>
      </c>
      <c r="D438" s="330">
        <f>IF(AND(Data!Q450&lt;&gt;"",Data!L450="Accepté"),Data!Q450,"")</f>
        <v/>
      </c>
      <c r="E438" s="106">
        <f>IF(AND(Data!R450&lt;&gt;"",Data!L450="Accepté"),Data!R450,"")</f>
        <v/>
      </c>
      <c r="F438" s="1037">
        <f>IF(AND(Data!R450&lt;&gt;"",Data!L450="Accepté"),Data!S450,"")</f>
        <v/>
      </c>
      <c r="G438" s="1038">
        <f>IF(Data!R450='Delivery Plan'!E438,Data!U450,"")</f>
        <v/>
      </c>
      <c r="H438" s="327" t="n"/>
      <c r="I438" s="329">
        <f>IF(J438&lt;&gt;"","S"&amp;TEXT(WEEKNUM(J438),"00"),"")</f>
        <v/>
      </c>
      <c r="J438" s="330">
        <f>IF(AND(E438=Data!R438,Data!AA438&lt;&gt;""),Data!AA438,"")</f>
        <v/>
      </c>
      <c r="K438" s="751">
        <f>IF(AND(E438=Data!R438,Data!AE438&lt;&gt;""),Data!AE438,"")</f>
        <v/>
      </c>
      <c r="L438" s="1039">
        <f>IF(E438=Data!R450,Data!AI450,"")</f>
        <v/>
      </c>
      <c r="M438" s="1039">
        <f>IF(E438=Data!R450,Data!AJ450,"")</f>
        <v/>
      </c>
      <c r="N438">
        <f>IF(AND(Data!R450&lt;&gt;"",Data!L450="Accepté"),Data!K450,"")</f>
        <v/>
      </c>
    </row>
    <row r="439" hidden="1" s="701">
      <c r="A439" s="164">
        <f>IF(AND(Data!R451&lt;&gt;"",Data!L451="Accepté"),Data!G451,"")</f>
        <v/>
      </c>
      <c r="B439" s="164">
        <f>IF(AND(Data!R451&lt;&gt;"",Data!L451="Accepté"),Data!L451,"")</f>
        <v/>
      </c>
      <c r="C439" s="329">
        <f>IF(D439&lt;&gt;"","S"&amp;TEXT(WEEKNUM(D439),"00"),"")</f>
        <v/>
      </c>
      <c r="D439" s="330">
        <f>IF(AND(Data!Q451&lt;&gt;"",Data!L451="Accepté"),Data!Q451,"")</f>
        <v/>
      </c>
      <c r="E439" s="106">
        <f>IF(AND(Data!R451&lt;&gt;"",Data!L451="Accepté"),Data!R451,"")</f>
        <v/>
      </c>
      <c r="F439" s="1037">
        <f>IF(AND(Data!R451&lt;&gt;"",Data!L451="Accepté"),Data!S451,"")</f>
        <v/>
      </c>
      <c r="G439" s="1038">
        <f>IF(Data!R451='Delivery Plan'!E439,Data!U451,"")</f>
        <v/>
      </c>
      <c r="H439" s="327" t="n"/>
      <c r="I439" s="329">
        <f>IF(J439&lt;&gt;"","S"&amp;TEXT(WEEKNUM(J439),"00"),"")</f>
        <v/>
      </c>
      <c r="J439" s="330">
        <f>IF(AND(E439=Data!R439,Data!AA439&lt;&gt;""),Data!AA439,"")</f>
        <v/>
      </c>
      <c r="K439" s="751">
        <f>IF(AND(E439=Data!R439,Data!AE439&lt;&gt;""),Data!AE439,"")</f>
        <v/>
      </c>
      <c r="L439" s="1039">
        <f>IF(E439=Data!R451,Data!AI451,"")</f>
        <v/>
      </c>
      <c r="M439" s="1039">
        <f>IF(E439=Data!R451,Data!AJ451,"")</f>
        <v/>
      </c>
      <c r="N439">
        <f>IF(AND(Data!R451&lt;&gt;"",Data!L451="Accepté"),Data!K451,"")</f>
        <v/>
      </c>
    </row>
    <row r="440" hidden="1" s="701">
      <c r="A440" s="164">
        <f>IF(AND(Data!R452&lt;&gt;"",Data!L452="Accepté"),Data!G452,"")</f>
        <v/>
      </c>
      <c r="B440" s="164">
        <f>IF(AND(Data!R452&lt;&gt;"",Data!L452="Accepté"),Data!L452,"")</f>
        <v/>
      </c>
      <c r="C440" s="329">
        <f>IF(D440&lt;&gt;"","S"&amp;TEXT(WEEKNUM(D440),"00"),"")</f>
        <v/>
      </c>
      <c r="D440" s="330">
        <f>IF(AND(Data!Q452&lt;&gt;"",Data!L452="Accepté"),Data!Q452,"")</f>
        <v/>
      </c>
      <c r="E440" s="106">
        <f>IF(AND(Data!R452&lt;&gt;"",Data!L452="Accepté"),Data!R452,"")</f>
        <v/>
      </c>
      <c r="F440" s="1037">
        <f>IF(AND(Data!R452&lt;&gt;"",Data!L452="Accepté"),Data!S452,"")</f>
        <v/>
      </c>
      <c r="G440" s="1038">
        <f>IF(Data!R452='Delivery Plan'!E440,Data!U452,"")</f>
        <v/>
      </c>
      <c r="H440" s="327" t="n"/>
      <c r="I440" s="329">
        <f>IF(J440&lt;&gt;"","S"&amp;TEXT(WEEKNUM(J440),"00"),"")</f>
        <v/>
      </c>
      <c r="J440" s="330">
        <f>IF(AND(E440=Data!R440,Data!AA440&lt;&gt;""),Data!AA440,"")</f>
        <v/>
      </c>
      <c r="K440" s="751">
        <f>IF(AND(E440=Data!R440,Data!AE440&lt;&gt;""),Data!AE440,"")</f>
        <v/>
      </c>
      <c r="L440" s="1039">
        <f>IF(E440=Data!R452,Data!AI452,"")</f>
        <v/>
      </c>
      <c r="M440" s="1039">
        <f>IF(E440=Data!R452,Data!AJ452,"")</f>
        <v/>
      </c>
      <c r="N440">
        <f>IF(AND(Data!R452&lt;&gt;"",Data!L452="Accepté"),Data!K452,"")</f>
        <v/>
      </c>
    </row>
    <row r="441" hidden="1" s="701">
      <c r="A441" s="164">
        <f>IF(AND(Data!R453&lt;&gt;"",Data!L453="Accepté"),Data!G453,"")</f>
        <v/>
      </c>
      <c r="B441" s="164">
        <f>IF(AND(Data!R453&lt;&gt;"",Data!L453="Accepté"),Data!L453,"")</f>
        <v/>
      </c>
      <c r="C441" s="329">
        <f>IF(D441&lt;&gt;"","S"&amp;TEXT(WEEKNUM(D441),"00"),"")</f>
        <v/>
      </c>
      <c r="D441" s="330">
        <f>IF(AND(Data!Q453&lt;&gt;"",Data!L453="Accepté"),Data!Q453,"")</f>
        <v/>
      </c>
      <c r="E441" s="106">
        <f>IF(AND(Data!R453&lt;&gt;"",Data!L453="Accepté"),Data!R453,"")</f>
        <v/>
      </c>
      <c r="F441" s="1037">
        <f>IF(AND(Data!R453&lt;&gt;"",Data!L453="Accepté"),Data!S453,"")</f>
        <v/>
      </c>
      <c r="G441" s="1038">
        <f>IF(Data!R453='Delivery Plan'!E441,Data!U453,"")</f>
        <v/>
      </c>
      <c r="H441" s="327" t="n"/>
      <c r="I441" s="329">
        <f>IF(J441&lt;&gt;"","S"&amp;TEXT(WEEKNUM(J441),"00"),"")</f>
        <v/>
      </c>
      <c r="J441" s="330">
        <f>IF(AND(E441=Data!R441,Data!AA441&lt;&gt;""),Data!AA441,"")</f>
        <v/>
      </c>
      <c r="K441" s="751">
        <f>IF(AND(E441=Data!R441,Data!AE441&lt;&gt;""),Data!AE441,"")</f>
        <v/>
      </c>
      <c r="L441" s="1039">
        <f>IF(E441=Data!R453,Data!AI453,"")</f>
        <v/>
      </c>
      <c r="M441" s="1039">
        <f>IF(E441=Data!R453,Data!AJ453,"")</f>
        <v/>
      </c>
      <c r="N441">
        <f>IF(AND(Data!R453&lt;&gt;"",Data!L453="Accepté"),Data!K453,"")</f>
        <v/>
      </c>
    </row>
    <row r="442" hidden="1" s="701">
      <c r="A442" s="164">
        <f>IF(AND(Data!R454&lt;&gt;"",Data!L454="Accepté"),Data!G454,"")</f>
        <v/>
      </c>
      <c r="B442" s="164">
        <f>IF(AND(Data!R454&lt;&gt;"",Data!L454="Accepté"),Data!L454,"")</f>
        <v/>
      </c>
      <c r="C442" s="329">
        <f>IF(D442&lt;&gt;"","S"&amp;TEXT(WEEKNUM(D442),"00"),"")</f>
        <v/>
      </c>
      <c r="D442" s="330">
        <f>IF(AND(Data!Q454&lt;&gt;"",Data!L454="Accepté"),Data!Q454,"")</f>
        <v/>
      </c>
      <c r="E442" s="106">
        <f>IF(AND(Data!R454&lt;&gt;"",Data!L454="Accepté"),Data!R454,"")</f>
        <v/>
      </c>
      <c r="F442" s="1037">
        <f>IF(AND(Data!R454&lt;&gt;"",Data!L454="Accepté"),Data!S454,"")</f>
        <v/>
      </c>
      <c r="G442" s="1038">
        <f>IF(Data!R454='Delivery Plan'!E442,Data!U454,"")</f>
        <v/>
      </c>
      <c r="H442" s="327" t="n"/>
      <c r="I442" s="329">
        <f>IF(J442&lt;&gt;"","S"&amp;TEXT(WEEKNUM(J442),"00"),"")</f>
        <v/>
      </c>
      <c r="J442" s="330">
        <f>IF(AND(E442=Data!R442,Data!AA442&lt;&gt;""),Data!AA442,"")</f>
        <v/>
      </c>
      <c r="K442" s="751">
        <f>IF(AND(E442=Data!R442,Data!AE442&lt;&gt;""),Data!AE442,"")</f>
        <v/>
      </c>
      <c r="L442" s="1039">
        <f>IF(E442=Data!R454,Data!AI454,"")</f>
        <v/>
      </c>
      <c r="M442" s="1039">
        <f>IF(E442=Data!R454,Data!AJ454,"")</f>
        <v/>
      </c>
      <c r="N442">
        <f>IF(AND(Data!R454&lt;&gt;"",Data!L454="Accepté"),Data!K454,"")</f>
        <v/>
      </c>
    </row>
    <row r="443" hidden="1" s="701">
      <c r="A443" s="164">
        <f>IF(AND(Data!R455&lt;&gt;"",Data!L455="Accepté"),Data!G455,"")</f>
        <v/>
      </c>
      <c r="B443" s="164">
        <f>IF(AND(Data!R455&lt;&gt;"",Data!L455="Accepté"),Data!L455,"")</f>
        <v/>
      </c>
      <c r="C443" s="329">
        <f>IF(D443&lt;&gt;"","S"&amp;TEXT(WEEKNUM(D443),"00"),"")</f>
        <v/>
      </c>
      <c r="D443" s="330">
        <f>IF(AND(Data!Q455&lt;&gt;"",Data!L455="Accepté"),Data!Q455,"")</f>
        <v/>
      </c>
      <c r="E443" s="106">
        <f>IF(AND(Data!R455&lt;&gt;"",Data!L455="Accepté"),Data!R455,"")</f>
        <v/>
      </c>
      <c r="F443" s="1037">
        <f>IF(AND(Data!R455&lt;&gt;"",Data!L455="Accepté"),Data!S455,"")</f>
        <v/>
      </c>
      <c r="G443" s="1038">
        <f>IF(Data!R455='Delivery Plan'!E443,Data!U455,"")</f>
        <v/>
      </c>
      <c r="H443" s="327" t="n"/>
      <c r="I443" s="329">
        <f>IF(J443&lt;&gt;"","S"&amp;TEXT(WEEKNUM(J443),"00"),"")</f>
        <v/>
      </c>
      <c r="J443" s="330">
        <f>IF(AND(E443=Data!R443,Data!AA443&lt;&gt;""),Data!AA443,"")</f>
        <v/>
      </c>
      <c r="K443" s="751">
        <f>IF(AND(E443=Data!R443,Data!AE443&lt;&gt;""),Data!AE443,"")</f>
        <v/>
      </c>
      <c r="L443" s="1039">
        <f>IF(E443=Data!R455,Data!AI455,"")</f>
        <v/>
      </c>
      <c r="M443" s="1039">
        <f>IF(E443=Data!R455,Data!AJ455,"")</f>
        <v/>
      </c>
      <c r="N443">
        <f>IF(AND(Data!R455&lt;&gt;"",Data!L455="Accepté"),Data!K455,"")</f>
        <v/>
      </c>
    </row>
    <row r="444" hidden="1" s="701">
      <c r="A444" s="164">
        <f>IF(AND(Data!R456&lt;&gt;"",Data!L456="Accepté"),Data!G456,"")</f>
        <v/>
      </c>
      <c r="B444" s="164">
        <f>IF(AND(Data!R456&lt;&gt;"",Data!L456="Accepté"),Data!L456,"")</f>
        <v/>
      </c>
      <c r="C444" s="329">
        <f>IF(D444&lt;&gt;"","S"&amp;TEXT(WEEKNUM(D444),"00"),"")</f>
        <v/>
      </c>
      <c r="D444" s="330">
        <f>IF(AND(Data!Q456&lt;&gt;"",Data!L456="Accepté"),Data!Q456,"")</f>
        <v/>
      </c>
      <c r="E444" s="106">
        <f>IF(AND(Data!R456&lt;&gt;"",Data!L456="Accepté"),Data!R456,"")</f>
        <v/>
      </c>
      <c r="F444" s="1037">
        <f>IF(AND(Data!R456&lt;&gt;"",Data!L456="Accepté"),Data!S456,"")</f>
        <v/>
      </c>
      <c r="G444" s="1038">
        <f>IF(Data!R456='Delivery Plan'!E444,Data!U456,"")</f>
        <v/>
      </c>
      <c r="H444" s="327" t="n"/>
      <c r="I444" s="329">
        <f>IF(J444&lt;&gt;"","S"&amp;TEXT(WEEKNUM(J444),"00"),"")</f>
        <v/>
      </c>
      <c r="J444" s="330">
        <f>IF(AND(E444=Data!R444,Data!AA444&lt;&gt;""),Data!AA444,"")</f>
        <v/>
      </c>
      <c r="K444" s="751">
        <f>IF(AND(E444=Data!R444,Data!AE444&lt;&gt;""),Data!AE444,"")</f>
        <v/>
      </c>
      <c r="L444" s="1039">
        <f>IF(E444=Data!R456,Data!AI456,"")</f>
        <v/>
      </c>
      <c r="M444" s="1039">
        <f>IF(E444=Data!R456,Data!AJ456,"")</f>
        <v/>
      </c>
      <c r="N444">
        <f>IF(AND(Data!R456&lt;&gt;"",Data!L456="Accepté"),Data!K456,"")</f>
        <v/>
      </c>
    </row>
    <row r="445" hidden="1" s="701">
      <c r="A445" s="164">
        <f>IF(AND(Data!R457&lt;&gt;"",Data!L457="Accepté"),Data!G457,"")</f>
        <v/>
      </c>
      <c r="B445" s="164">
        <f>IF(AND(Data!R457&lt;&gt;"",Data!L457="Accepté"),Data!L457,"")</f>
        <v/>
      </c>
      <c r="C445" s="329">
        <f>IF(D445&lt;&gt;"","S"&amp;TEXT(WEEKNUM(D445),"00"),"")</f>
        <v/>
      </c>
      <c r="D445" s="330">
        <f>IF(AND(Data!Q457&lt;&gt;"",Data!L457="Accepté"),Data!Q457,"")</f>
        <v/>
      </c>
      <c r="E445" s="106">
        <f>IF(AND(Data!R457&lt;&gt;"",Data!L457="Accepté"),Data!R457,"")</f>
        <v/>
      </c>
      <c r="F445" s="1037">
        <f>IF(AND(Data!R457&lt;&gt;"",Data!L457="Accepté"),Data!S457,"")</f>
        <v/>
      </c>
      <c r="G445" s="1038">
        <f>IF(Data!R457='Delivery Plan'!E445,Data!U457,"")</f>
        <v/>
      </c>
      <c r="H445" s="327" t="n"/>
      <c r="I445" s="329">
        <f>IF(J445&lt;&gt;"","S"&amp;TEXT(WEEKNUM(J445),"00"),"")</f>
        <v/>
      </c>
      <c r="J445" s="330">
        <f>IF(AND(E445=Data!R445,Data!AA445&lt;&gt;""),Data!AA445,"")</f>
        <v/>
      </c>
      <c r="K445" s="751">
        <f>IF(AND(E445=Data!R445,Data!AE445&lt;&gt;""),Data!AE445,"")</f>
        <v/>
      </c>
      <c r="L445" s="1039">
        <f>IF(E445=Data!R457,Data!AI457,"")</f>
        <v/>
      </c>
      <c r="M445" s="1039">
        <f>IF(E445=Data!R457,Data!AJ457,"")</f>
        <v/>
      </c>
      <c r="N445">
        <f>IF(AND(Data!R457&lt;&gt;"",Data!L457="Accepté"),Data!K457,"")</f>
        <v/>
      </c>
    </row>
    <row r="446" hidden="1" s="701">
      <c r="A446" s="164">
        <f>IF(AND(Data!R458&lt;&gt;"",Data!L458="Accepté"),Data!G458,"")</f>
        <v/>
      </c>
      <c r="B446" s="164">
        <f>IF(AND(Data!R458&lt;&gt;"",Data!L458="Accepté"),Data!L458,"")</f>
        <v/>
      </c>
      <c r="C446" s="329">
        <f>IF(D446&lt;&gt;"","S"&amp;TEXT(WEEKNUM(D446),"00"),"")</f>
        <v/>
      </c>
      <c r="D446" s="330">
        <f>IF(AND(Data!Q458&lt;&gt;"",Data!L458="Accepté"),Data!Q458,"")</f>
        <v/>
      </c>
      <c r="E446" s="106">
        <f>IF(AND(Data!R458&lt;&gt;"",Data!L458="Accepté"),Data!R458,"")</f>
        <v/>
      </c>
      <c r="F446" s="1037">
        <f>IF(AND(Data!R458&lt;&gt;"",Data!L458="Accepté"),Data!S458,"")</f>
        <v/>
      </c>
      <c r="G446" s="1038">
        <f>IF(Data!R458='Delivery Plan'!E446,Data!U458,"")</f>
        <v/>
      </c>
      <c r="H446" s="327" t="n"/>
      <c r="I446" s="329">
        <f>IF(J446&lt;&gt;"","S"&amp;TEXT(WEEKNUM(J446),"00"),"")</f>
        <v/>
      </c>
      <c r="J446" s="330">
        <f>IF(AND(E446=Data!R446,Data!AA446&lt;&gt;""),Data!AA446,"")</f>
        <v/>
      </c>
      <c r="K446" s="751">
        <f>IF(AND(E446=Data!R446,Data!AE446&lt;&gt;""),Data!AE446,"")</f>
        <v/>
      </c>
      <c r="L446" s="1039">
        <f>IF(E446=Data!R458,Data!AI458,"")</f>
        <v/>
      </c>
      <c r="M446" s="1039">
        <f>IF(E446=Data!R458,Data!AJ458,"")</f>
        <v/>
      </c>
      <c r="N446">
        <f>IF(AND(Data!R458&lt;&gt;"",Data!L458="Accepté"),Data!K458,"")</f>
        <v/>
      </c>
    </row>
    <row r="447" hidden="1" s="701">
      <c r="A447" s="164">
        <f>IF(AND(Data!R459&lt;&gt;"",Data!L459="Accepté"),Data!G459,"")</f>
        <v/>
      </c>
      <c r="B447" s="164">
        <f>IF(AND(Data!R459&lt;&gt;"",Data!L459="Accepté"),Data!L459,"")</f>
        <v/>
      </c>
      <c r="C447" s="329">
        <f>IF(D447&lt;&gt;"","S"&amp;TEXT(WEEKNUM(D447),"00"),"")</f>
        <v/>
      </c>
      <c r="D447" s="330">
        <f>IF(AND(Data!Q459&lt;&gt;"",Data!L459="Accepté"),Data!Q459,"")</f>
        <v/>
      </c>
      <c r="E447" s="106">
        <f>IF(AND(Data!R459&lt;&gt;"",Data!L459="Accepté"),Data!R459,"")</f>
        <v/>
      </c>
      <c r="F447" s="1037">
        <f>IF(AND(Data!R459&lt;&gt;"",Data!L459="Accepté"),Data!S459,"")</f>
        <v/>
      </c>
      <c r="G447" s="1038">
        <f>IF(Data!R459='Delivery Plan'!E447,Data!U459,"")</f>
        <v/>
      </c>
      <c r="H447" s="327" t="n"/>
      <c r="I447" s="329">
        <f>IF(J447&lt;&gt;"","S"&amp;TEXT(WEEKNUM(J447),"00"),"")</f>
        <v/>
      </c>
      <c r="J447" s="330">
        <f>IF(AND(E447=Data!R447,Data!AA447&lt;&gt;""),Data!AA447,"")</f>
        <v/>
      </c>
      <c r="K447" s="751">
        <f>IF(AND(E447=Data!R447,Data!AE447&lt;&gt;""),Data!AE447,"")</f>
        <v/>
      </c>
      <c r="L447" s="1039">
        <f>IF(E447=Data!R459,Data!AI459,"")</f>
        <v/>
      </c>
      <c r="M447" s="1039">
        <f>IF(E447=Data!R459,Data!AJ459,"")</f>
        <v/>
      </c>
      <c r="N447">
        <f>IF(AND(Data!R459&lt;&gt;"",Data!L459="Accepté"),Data!K459,"")</f>
        <v/>
      </c>
    </row>
    <row r="448" hidden="1" s="701">
      <c r="A448" s="164">
        <f>IF(AND(Data!R460&lt;&gt;"",Data!L460="Accepté"),Data!G460,"")</f>
        <v/>
      </c>
      <c r="B448" s="164">
        <f>IF(AND(Data!R460&lt;&gt;"",Data!L460="Accepté"),Data!L460,"")</f>
        <v/>
      </c>
      <c r="C448" s="329">
        <f>IF(D448&lt;&gt;"","S"&amp;TEXT(WEEKNUM(D448),"00"),"")</f>
        <v/>
      </c>
      <c r="D448" s="330">
        <f>IF(AND(Data!Q460&lt;&gt;"",Data!L460="Accepté"),Data!Q460,"")</f>
        <v/>
      </c>
      <c r="E448" s="106">
        <f>IF(AND(Data!R460&lt;&gt;"",Data!L460="Accepté"),Data!R460,"")</f>
        <v/>
      </c>
      <c r="F448" s="1037">
        <f>IF(AND(Data!R460&lt;&gt;"",Data!L460="Accepté"),Data!S460,"")</f>
        <v/>
      </c>
      <c r="G448" s="1038">
        <f>IF(Data!R460='Delivery Plan'!E448,Data!U460,"")</f>
        <v/>
      </c>
      <c r="H448" s="327" t="n"/>
      <c r="I448" s="329">
        <f>IF(J448&lt;&gt;"","S"&amp;TEXT(WEEKNUM(J448),"00"),"")</f>
        <v/>
      </c>
      <c r="J448" s="330">
        <f>IF(AND(E448=Data!R448,Data!AA448&lt;&gt;""),Data!AA448,"")</f>
        <v/>
      </c>
      <c r="K448" s="751">
        <f>IF(AND(E448=Data!R448,Data!AE448&lt;&gt;""),Data!AE448,"")</f>
        <v/>
      </c>
      <c r="L448" s="1039">
        <f>IF(E448=Data!R460,Data!AI460,"")</f>
        <v/>
      </c>
      <c r="M448" s="1039">
        <f>IF(E448=Data!R460,Data!AJ460,"")</f>
        <v/>
      </c>
      <c r="N448">
        <f>IF(AND(Data!R460&lt;&gt;"",Data!L460="Accepté"),Data!K460,"")</f>
        <v/>
      </c>
    </row>
    <row r="449" hidden="1" s="701">
      <c r="A449" s="164">
        <f>IF(AND(Data!R461&lt;&gt;"",Data!L461="Accepté"),Data!G461,"")</f>
        <v/>
      </c>
      <c r="B449" s="164">
        <f>IF(AND(Data!R461&lt;&gt;"",Data!L461="Accepté"),Data!L461,"")</f>
        <v/>
      </c>
      <c r="C449" s="329">
        <f>IF(D449&lt;&gt;"","S"&amp;TEXT(WEEKNUM(D449),"00"),"")</f>
        <v/>
      </c>
      <c r="D449" s="330">
        <f>IF(AND(Data!Q461&lt;&gt;"",Data!L461="Accepté"),Data!Q461,"")</f>
        <v/>
      </c>
      <c r="E449" s="106">
        <f>IF(AND(Data!R461&lt;&gt;"",Data!L461="Accepté"),Data!R461,"")</f>
        <v/>
      </c>
      <c r="F449" s="1037">
        <f>IF(AND(Data!R461&lt;&gt;"",Data!L461="Accepté"),Data!S461,"")</f>
        <v/>
      </c>
      <c r="G449" s="1038">
        <f>IF(Data!R461='Delivery Plan'!E449,Data!U461,"")</f>
        <v/>
      </c>
      <c r="H449" s="327" t="n"/>
      <c r="I449" s="329">
        <f>IF(J449&lt;&gt;"","S"&amp;TEXT(WEEKNUM(J449),"00"),"")</f>
        <v/>
      </c>
      <c r="J449" s="330">
        <f>IF(AND(E449=Data!R449,Data!AA449&lt;&gt;""),Data!AA449,"")</f>
        <v/>
      </c>
      <c r="K449" s="751">
        <f>IF(AND(E449=Data!R449,Data!AE449&lt;&gt;""),Data!AE449,"")</f>
        <v/>
      </c>
      <c r="L449" s="1039">
        <f>IF(E449=Data!R461,Data!AI461,"")</f>
        <v/>
      </c>
      <c r="M449" s="1039">
        <f>IF(E449=Data!R461,Data!AJ461,"")</f>
        <v/>
      </c>
      <c r="N449">
        <f>IF(AND(Data!R461&lt;&gt;"",Data!L461="Accepté"),Data!K461,"")</f>
        <v/>
      </c>
    </row>
    <row r="450" hidden="1" s="701">
      <c r="A450" s="164">
        <f>IF(AND(Data!R462&lt;&gt;"",Data!L462="Accepté"),Data!G462,"")</f>
        <v/>
      </c>
      <c r="B450" s="164">
        <f>IF(AND(Data!R462&lt;&gt;"",Data!L462="Accepté"),Data!L462,"")</f>
        <v/>
      </c>
      <c r="C450" s="329">
        <f>IF(D450&lt;&gt;"","S"&amp;TEXT(WEEKNUM(D450),"00"),"")</f>
        <v/>
      </c>
      <c r="D450" s="330">
        <f>IF(AND(Data!Q462&lt;&gt;"",Data!L462="Accepté"),Data!Q462,"")</f>
        <v/>
      </c>
      <c r="E450" s="106">
        <f>IF(AND(Data!R462&lt;&gt;"",Data!L462="Accepté"),Data!R462,"")</f>
        <v/>
      </c>
      <c r="F450" s="1037">
        <f>IF(AND(Data!R462&lt;&gt;"",Data!L462="Accepté"),Data!S462,"")</f>
        <v/>
      </c>
      <c r="G450" s="1038">
        <f>IF(Data!R462='Delivery Plan'!E450,Data!U462,"")</f>
        <v/>
      </c>
      <c r="H450" s="327" t="n"/>
      <c r="I450" s="329">
        <f>IF(J450&lt;&gt;"","S"&amp;TEXT(WEEKNUM(J450),"00"),"")</f>
        <v/>
      </c>
      <c r="J450" s="330">
        <f>IF(AND(E450=Data!R450,Data!AA450&lt;&gt;""),Data!AA450,"")</f>
        <v/>
      </c>
      <c r="K450" s="751">
        <f>IF(AND(E450=Data!R450,Data!AE450&lt;&gt;""),Data!AE450,"")</f>
        <v/>
      </c>
      <c r="L450" s="1039">
        <f>IF(E450=Data!R462,Data!AI462,"")</f>
        <v/>
      </c>
      <c r="M450" s="1039">
        <f>IF(E450=Data!R462,Data!AJ462,"")</f>
        <v/>
      </c>
      <c r="N450">
        <f>IF(AND(Data!R462&lt;&gt;"",Data!L462="Accepté"),Data!K462,"")</f>
        <v/>
      </c>
    </row>
    <row r="451" hidden="1" s="701">
      <c r="A451" s="164">
        <f>IF(AND(Data!R463&lt;&gt;"",Data!L463="Accepté"),Data!G463,"")</f>
        <v/>
      </c>
      <c r="B451" s="164">
        <f>IF(AND(Data!R463&lt;&gt;"",Data!L463="Accepté"),Data!L463,"")</f>
        <v/>
      </c>
      <c r="C451" s="329">
        <f>IF(D451&lt;&gt;"","S"&amp;TEXT(WEEKNUM(D451),"00"),"")</f>
        <v/>
      </c>
      <c r="D451" s="330">
        <f>IF(AND(Data!Q463&lt;&gt;"",Data!L463="Accepté"),Data!Q463,"")</f>
        <v/>
      </c>
      <c r="E451" s="106">
        <f>IF(AND(Data!R463&lt;&gt;"",Data!L463="Accepté"),Data!R463,"")</f>
        <v/>
      </c>
      <c r="F451" s="1037">
        <f>IF(AND(Data!R463&lt;&gt;"",Data!L463="Accepté"),Data!S463,"")</f>
        <v/>
      </c>
      <c r="G451" s="1038">
        <f>IF(Data!R463='Delivery Plan'!E451,Data!U463,"")</f>
        <v/>
      </c>
      <c r="H451" s="327" t="n"/>
      <c r="I451" s="329">
        <f>IF(J451&lt;&gt;"","S"&amp;TEXT(WEEKNUM(J451),"00"),"")</f>
        <v/>
      </c>
      <c r="J451" s="330">
        <f>IF(AND(E451=Data!R451,Data!AA451&lt;&gt;""),Data!AA451,"")</f>
        <v/>
      </c>
      <c r="K451" s="751">
        <f>IF(AND(E451=Data!R451,Data!AE451&lt;&gt;""),Data!AE451,"")</f>
        <v/>
      </c>
      <c r="L451" s="1039">
        <f>IF(E451=Data!R463,Data!AI463,"")</f>
        <v/>
      </c>
      <c r="M451" s="1039">
        <f>IF(E451=Data!R463,Data!AJ463,"")</f>
        <v/>
      </c>
      <c r="N451">
        <f>IF(AND(Data!R463&lt;&gt;"",Data!L463="Accepté"),Data!K463,"")</f>
        <v/>
      </c>
    </row>
    <row r="452" hidden="1" s="701">
      <c r="A452" s="164">
        <f>IF(AND(Data!R464&lt;&gt;"",Data!L464="Accepté"),Data!G464,"")</f>
        <v/>
      </c>
      <c r="B452" s="164">
        <f>IF(AND(Data!R464&lt;&gt;"",Data!L464="Accepté"),Data!L464,"")</f>
        <v/>
      </c>
      <c r="C452" s="329">
        <f>IF(D452&lt;&gt;"","S"&amp;TEXT(WEEKNUM(D452),"00"),"")</f>
        <v/>
      </c>
      <c r="D452" s="330">
        <f>IF(AND(Data!Q464&lt;&gt;"",Data!L464="Accepté"),Data!Q464,"")</f>
        <v/>
      </c>
      <c r="E452" s="106">
        <f>IF(AND(Data!R464&lt;&gt;"",Data!L464="Accepté"),Data!R464,"")</f>
        <v/>
      </c>
      <c r="F452" s="1037">
        <f>IF(AND(Data!R464&lt;&gt;"",Data!L464="Accepté"),Data!S464,"")</f>
        <v/>
      </c>
      <c r="G452" s="1038">
        <f>IF(Data!R464='Delivery Plan'!E452,Data!U464,"")</f>
        <v/>
      </c>
      <c r="H452" s="327" t="n"/>
      <c r="I452" s="329">
        <f>IF(J452&lt;&gt;"","S"&amp;TEXT(WEEKNUM(J452),"00"),"")</f>
        <v/>
      </c>
      <c r="J452" s="330">
        <f>IF(AND(E452=Data!R452,Data!AA452&lt;&gt;""),Data!AA452,"")</f>
        <v/>
      </c>
      <c r="K452" s="751">
        <f>IF(AND(E452=Data!R452,Data!AE452&lt;&gt;""),Data!AE452,"")</f>
        <v/>
      </c>
      <c r="L452" s="1039">
        <f>IF(E452=Data!R464,Data!AI464,"")</f>
        <v/>
      </c>
      <c r="M452" s="1039">
        <f>IF(E452=Data!R464,Data!AJ464,"")</f>
        <v/>
      </c>
      <c r="N452">
        <f>IF(AND(Data!R464&lt;&gt;"",Data!L464="Accepté"),Data!K464,"")</f>
        <v/>
      </c>
    </row>
    <row r="453" hidden="1" s="701">
      <c r="A453" s="164">
        <f>IF(AND(Data!R465&lt;&gt;"",Data!L465="Accepté"),Data!G465,"")</f>
        <v/>
      </c>
      <c r="B453" s="164">
        <f>IF(AND(Data!R465&lt;&gt;"",Data!L465="Accepté"),Data!L465,"")</f>
        <v/>
      </c>
      <c r="C453" s="329">
        <f>IF(D453&lt;&gt;"","S"&amp;TEXT(WEEKNUM(D453),"00"),"")</f>
        <v/>
      </c>
      <c r="D453" s="330">
        <f>IF(AND(Data!Q465&lt;&gt;"",Data!L465="Accepté"),Data!Q465,"")</f>
        <v/>
      </c>
      <c r="E453" s="106">
        <f>IF(AND(Data!R465&lt;&gt;"",Data!L465="Accepté"),Data!R465,"")</f>
        <v/>
      </c>
      <c r="F453" s="1037">
        <f>IF(AND(Data!R465&lt;&gt;"",Data!L465="Accepté"),Data!S465,"")</f>
        <v/>
      </c>
      <c r="G453" s="1038">
        <f>IF(Data!R465='Delivery Plan'!E453,Data!U465,"")</f>
        <v/>
      </c>
      <c r="H453" s="327" t="n"/>
      <c r="I453" s="329">
        <f>IF(J453&lt;&gt;"","S"&amp;TEXT(WEEKNUM(J453),"00"),"")</f>
        <v/>
      </c>
      <c r="J453" s="330">
        <f>IF(AND(E453=Data!R453,Data!AA453&lt;&gt;""),Data!AA453,"")</f>
        <v/>
      </c>
      <c r="K453" s="751">
        <f>IF(AND(E453=Data!R453,Data!AE453&lt;&gt;""),Data!AE453,"")</f>
        <v/>
      </c>
      <c r="L453" s="1039">
        <f>IF(E453=Data!R465,Data!AI465,"")</f>
        <v/>
      </c>
      <c r="M453" s="1039">
        <f>IF(E453=Data!R465,Data!AJ465,"")</f>
        <v/>
      </c>
      <c r="N453">
        <f>IF(AND(Data!R465&lt;&gt;"",Data!L465="Accepté"),Data!K465,"")</f>
        <v/>
      </c>
    </row>
    <row r="454" hidden="1" s="701">
      <c r="A454" s="164">
        <f>IF(AND(Data!R466&lt;&gt;"",Data!L466="Accepté"),Data!G466,"")</f>
        <v/>
      </c>
      <c r="B454" s="164">
        <f>IF(AND(Data!R466&lt;&gt;"",Data!L466="Accepté"),Data!L466,"")</f>
        <v/>
      </c>
      <c r="C454" s="329">
        <f>IF(D454&lt;&gt;"","S"&amp;TEXT(WEEKNUM(D454),"00"),"")</f>
        <v/>
      </c>
      <c r="D454" s="330">
        <f>IF(AND(Data!Q466&lt;&gt;"",Data!L466="Accepté"),Data!Q466,"")</f>
        <v/>
      </c>
      <c r="E454" s="106">
        <f>IF(AND(Data!R466&lt;&gt;"",Data!L466="Accepté"),Data!R466,"")</f>
        <v/>
      </c>
      <c r="F454" s="1037">
        <f>IF(AND(Data!R466&lt;&gt;"",Data!L466="Accepté"),Data!S466,"")</f>
        <v/>
      </c>
      <c r="G454" s="1038">
        <f>IF(Data!R466='Delivery Plan'!E454,Data!U466,"")</f>
        <v/>
      </c>
      <c r="H454" s="327" t="n"/>
      <c r="I454" s="329">
        <f>IF(J454&lt;&gt;"","S"&amp;TEXT(WEEKNUM(J454),"00"),"")</f>
        <v/>
      </c>
      <c r="J454" s="330">
        <f>IF(AND(E454=Data!R454,Data!AA454&lt;&gt;""),Data!AA454,"")</f>
        <v/>
      </c>
      <c r="K454" s="751">
        <f>IF(AND(E454=Data!R454,Data!AE454&lt;&gt;""),Data!AE454,"")</f>
        <v/>
      </c>
      <c r="L454" s="1039">
        <f>IF(E454=Data!R466,Data!AI466,"")</f>
        <v/>
      </c>
      <c r="M454" s="1039">
        <f>IF(E454=Data!R466,Data!AJ466,"")</f>
        <v/>
      </c>
      <c r="N454">
        <f>IF(AND(Data!R466&lt;&gt;"",Data!L466="Accepté"),Data!K466,"")</f>
        <v/>
      </c>
    </row>
    <row r="455" hidden="1" s="701">
      <c r="A455" s="164">
        <f>IF(AND(Data!R467&lt;&gt;"",Data!L467="Accepté"),Data!G467,"")</f>
        <v/>
      </c>
      <c r="B455" s="164">
        <f>IF(AND(Data!R467&lt;&gt;"",Data!L467="Accepté"),Data!L467,"")</f>
        <v/>
      </c>
      <c r="C455" s="329">
        <f>IF(D455&lt;&gt;"","S"&amp;TEXT(WEEKNUM(D455),"00"),"")</f>
        <v/>
      </c>
      <c r="D455" s="330">
        <f>IF(AND(Data!Q467&lt;&gt;"",Data!L467="Accepté"),Data!Q467,"")</f>
        <v/>
      </c>
      <c r="E455" s="106">
        <f>IF(AND(Data!R467&lt;&gt;"",Data!L467="Accepté"),Data!R467,"")</f>
        <v/>
      </c>
      <c r="F455" s="1037">
        <f>IF(AND(Data!R467&lt;&gt;"",Data!L467="Accepté"),Data!S467,"")</f>
        <v/>
      </c>
      <c r="G455" s="1038">
        <f>IF(Data!R467='Delivery Plan'!E455,Data!U467,"")</f>
        <v/>
      </c>
      <c r="H455" s="327" t="n"/>
      <c r="I455" s="329">
        <f>IF(J455&lt;&gt;"","S"&amp;TEXT(WEEKNUM(J455),"00"),"")</f>
        <v/>
      </c>
      <c r="J455" s="330">
        <f>IF(AND(E455=Data!R455,Data!AA455&lt;&gt;""),Data!AA455,"")</f>
        <v/>
      </c>
      <c r="K455" s="751">
        <f>IF(AND(E455=Data!R455,Data!AE455&lt;&gt;""),Data!AE455,"")</f>
        <v/>
      </c>
      <c r="L455" s="1039">
        <f>IF(E455=Data!R467,Data!AI467,"")</f>
        <v/>
      </c>
      <c r="M455" s="1039">
        <f>IF(E455=Data!R467,Data!AJ467,"")</f>
        <v/>
      </c>
      <c r="N455">
        <f>IF(AND(Data!R467&lt;&gt;"",Data!L467="Accepté"),Data!K467,"")</f>
        <v/>
      </c>
    </row>
    <row r="456" hidden="1" s="701">
      <c r="A456" s="164">
        <f>IF(AND(Data!R468&lt;&gt;"",Data!L468="Accepté"),Data!G468,"")</f>
        <v/>
      </c>
      <c r="B456" s="164">
        <f>IF(AND(Data!R468&lt;&gt;"",Data!L468="Accepté"),Data!L468,"")</f>
        <v/>
      </c>
      <c r="C456" s="329">
        <f>IF(D456&lt;&gt;"","S"&amp;TEXT(WEEKNUM(D456),"00"),"")</f>
        <v/>
      </c>
      <c r="D456" s="330">
        <f>IF(AND(Data!Q468&lt;&gt;"",Data!L468="Accepté"),Data!Q468,"")</f>
        <v/>
      </c>
      <c r="E456" s="106">
        <f>IF(AND(Data!R468&lt;&gt;"",Data!L468="Accepté"),Data!R468,"")</f>
        <v/>
      </c>
      <c r="F456" s="1037">
        <f>IF(AND(Data!R468&lt;&gt;"",Data!L468="Accepté"),Data!S468,"")</f>
        <v/>
      </c>
      <c r="G456" s="1038">
        <f>IF(Data!R468='Delivery Plan'!E456,Data!U468,"")</f>
        <v/>
      </c>
      <c r="H456" s="327" t="n"/>
      <c r="I456" s="329">
        <f>IF(J456&lt;&gt;"","S"&amp;TEXT(WEEKNUM(J456),"00"),"")</f>
        <v/>
      </c>
      <c r="J456" s="330">
        <f>IF(AND(E456=Data!R456,Data!AA456&lt;&gt;""),Data!AA456,"")</f>
        <v/>
      </c>
      <c r="K456" s="751">
        <f>IF(AND(E456=Data!R456,Data!AE456&lt;&gt;""),Data!AE456,"")</f>
        <v/>
      </c>
      <c r="L456" s="1039">
        <f>IF(E456=Data!R468,Data!AI468,"")</f>
        <v/>
      </c>
      <c r="M456" s="1039">
        <f>IF(E456=Data!R468,Data!AJ468,"")</f>
        <v/>
      </c>
      <c r="N456">
        <f>IF(AND(Data!R468&lt;&gt;"",Data!L468="Accepté"),Data!K468,"")</f>
        <v/>
      </c>
    </row>
    <row r="457" hidden="1" s="701">
      <c r="A457" s="164">
        <f>IF(AND(Data!R469&lt;&gt;"",Data!L469="Accepté"),Data!G469,"")</f>
        <v/>
      </c>
      <c r="B457" s="164">
        <f>IF(AND(Data!R469&lt;&gt;"",Data!L469="Accepté"),Data!L469,"")</f>
        <v/>
      </c>
      <c r="C457" s="329">
        <f>IF(D457&lt;&gt;"","S"&amp;TEXT(WEEKNUM(D457),"00"),"")</f>
        <v/>
      </c>
      <c r="D457" s="330">
        <f>IF(AND(Data!Q469&lt;&gt;"",Data!L469="Accepté"),Data!Q469,"")</f>
        <v/>
      </c>
      <c r="E457" s="106">
        <f>IF(AND(Data!R469&lt;&gt;"",Data!L469="Accepté"),Data!R469,"")</f>
        <v/>
      </c>
      <c r="F457" s="1037">
        <f>IF(AND(Data!R469&lt;&gt;"",Data!L469="Accepté"),Data!S469,"")</f>
        <v/>
      </c>
      <c r="G457" s="1038">
        <f>IF(Data!R469='Delivery Plan'!E457,Data!U469,"")</f>
        <v/>
      </c>
      <c r="H457" s="327" t="n"/>
      <c r="I457" s="329">
        <f>IF(J457&lt;&gt;"","S"&amp;TEXT(WEEKNUM(J457),"00"),"")</f>
        <v/>
      </c>
      <c r="J457" s="330">
        <f>IF(AND(E457=Data!R457,Data!AA457&lt;&gt;""),Data!AA457,"")</f>
        <v/>
      </c>
      <c r="K457" s="751">
        <f>IF(AND(E457=Data!R457,Data!AE457&lt;&gt;""),Data!AE457,"")</f>
        <v/>
      </c>
      <c r="L457" s="1039">
        <f>IF(E457=Data!R469,Data!AI469,"")</f>
        <v/>
      </c>
      <c r="M457" s="1039">
        <f>IF(E457=Data!R469,Data!AJ469,"")</f>
        <v/>
      </c>
      <c r="N457">
        <f>IF(AND(Data!R469&lt;&gt;"",Data!L469="Accepté"),Data!K469,"")</f>
        <v/>
      </c>
    </row>
    <row r="458" hidden="1" s="701">
      <c r="A458" s="164">
        <f>IF(AND(Data!R470&lt;&gt;"",Data!L470="Accepté"),Data!G470,"")</f>
        <v/>
      </c>
      <c r="B458" s="164">
        <f>IF(AND(Data!R470&lt;&gt;"",Data!L470="Accepté"),Data!L470,"")</f>
        <v/>
      </c>
      <c r="C458" s="329">
        <f>IF(D458&lt;&gt;"","S"&amp;TEXT(WEEKNUM(D458),"00"),"")</f>
        <v/>
      </c>
      <c r="D458" s="330">
        <f>IF(AND(Data!Q470&lt;&gt;"",Data!L470="Accepté"),Data!Q470,"")</f>
        <v/>
      </c>
      <c r="E458" s="106">
        <f>IF(AND(Data!R470&lt;&gt;"",Data!L470="Accepté"),Data!R470,"")</f>
        <v/>
      </c>
      <c r="F458" s="1037">
        <f>IF(AND(Data!R470&lt;&gt;"",Data!L470="Accepté"),Data!S470,"")</f>
        <v/>
      </c>
      <c r="G458" s="1038">
        <f>IF(Data!R470='Delivery Plan'!E458,Data!U470,"")</f>
        <v/>
      </c>
      <c r="H458" s="327" t="n"/>
      <c r="I458" s="329">
        <f>IF(J458&lt;&gt;"","S"&amp;TEXT(WEEKNUM(J458),"00"),"")</f>
        <v/>
      </c>
      <c r="J458" s="330">
        <f>IF(AND(E458=Data!R458,Data!AA458&lt;&gt;""),Data!AA458,"")</f>
        <v/>
      </c>
      <c r="K458" s="751">
        <f>IF(AND(E458=Data!R458,Data!AE458&lt;&gt;""),Data!AE458,"")</f>
        <v/>
      </c>
      <c r="L458" s="1039">
        <f>IF(E458=Data!R470,Data!AI470,"")</f>
        <v/>
      </c>
      <c r="M458" s="1039">
        <f>IF(E458=Data!R470,Data!AJ470,"")</f>
        <v/>
      </c>
      <c r="N458">
        <f>IF(AND(Data!R470&lt;&gt;"",Data!L470="Accepté"),Data!K470,"")</f>
        <v/>
      </c>
    </row>
    <row r="459" hidden="1" s="701">
      <c r="A459" s="164">
        <f>IF(AND(Data!R471&lt;&gt;"",Data!L471="Accepté"),Data!G471,"")</f>
        <v/>
      </c>
      <c r="B459" s="164">
        <f>IF(AND(Data!R471&lt;&gt;"",Data!L471="Accepté"),Data!L471,"")</f>
        <v/>
      </c>
      <c r="C459" s="329">
        <f>IF(D459&lt;&gt;"","S"&amp;TEXT(WEEKNUM(D459),"00"),"")</f>
        <v/>
      </c>
      <c r="D459" s="330">
        <f>IF(AND(Data!Q471&lt;&gt;"",Data!L471="Accepté"),Data!Q471,"")</f>
        <v/>
      </c>
      <c r="E459" s="106">
        <f>IF(AND(Data!R471&lt;&gt;"",Data!L471="Accepté"),Data!R471,"")</f>
        <v/>
      </c>
      <c r="F459" s="1037">
        <f>IF(AND(Data!R471&lt;&gt;"",Data!L471="Accepté"),Data!S471,"")</f>
        <v/>
      </c>
      <c r="G459" s="1038">
        <f>IF(Data!R471='Delivery Plan'!E459,Data!U471,"")</f>
        <v/>
      </c>
      <c r="H459" s="327" t="n"/>
      <c r="I459" s="329">
        <f>IF(J459&lt;&gt;"","S"&amp;TEXT(WEEKNUM(J459),"00"),"")</f>
        <v/>
      </c>
      <c r="J459" s="330">
        <f>IF(AND(E459=Data!R459,Data!AA459&lt;&gt;""),Data!AA459,"")</f>
        <v/>
      </c>
      <c r="K459" s="751">
        <f>IF(AND(E459=Data!R459,Data!AE459&lt;&gt;""),Data!AE459,"")</f>
        <v/>
      </c>
      <c r="L459" s="1039">
        <f>IF(E459=Data!R471,Data!AI471,"")</f>
        <v/>
      </c>
      <c r="M459" s="1039">
        <f>IF(E459=Data!R471,Data!AJ471,"")</f>
        <v/>
      </c>
      <c r="N459">
        <f>IF(AND(Data!R471&lt;&gt;"",Data!L471="Accepté"),Data!K471,"")</f>
        <v/>
      </c>
    </row>
    <row r="460" hidden="1" s="701">
      <c r="A460" s="164">
        <f>IF(AND(Data!R472&lt;&gt;"",Data!L472="Accepté"),Data!G472,"")</f>
        <v/>
      </c>
      <c r="B460" s="164">
        <f>IF(AND(Data!R472&lt;&gt;"",Data!L472="Accepté"),Data!L472,"")</f>
        <v/>
      </c>
      <c r="C460" s="329">
        <f>IF(D460&lt;&gt;"","S"&amp;TEXT(WEEKNUM(D460),"00"),"")</f>
        <v/>
      </c>
      <c r="D460" s="330">
        <f>IF(AND(Data!Q472&lt;&gt;"",Data!L472="Accepté"),Data!Q472,"")</f>
        <v/>
      </c>
      <c r="E460" s="106">
        <f>IF(AND(Data!R472&lt;&gt;"",Data!L472="Accepté"),Data!R472,"")</f>
        <v/>
      </c>
      <c r="F460" s="1037">
        <f>IF(AND(Data!R472&lt;&gt;"",Data!L472="Accepté"),Data!S472,"")</f>
        <v/>
      </c>
      <c r="G460" s="1038">
        <f>IF(Data!R472='Delivery Plan'!E460,Data!U472,"")</f>
        <v/>
      </c>
      <c r="H460" s="327" t="n"/>
      <c r="I460" s="329">
        <f>IF(J460&lt;&gt;"","S"&amp;TEXT(WEEKNUM(J460),"00"),"")</f>
        <v/>
      </c>
      <c r="J460" s="330">
        <f>IF(AND(E460=Data!R460,Data!AA460&lt;&gt;""),Data!AA460,"")</f>
        <v/>
      </c>
      <c r="K460" s="751">
        <f>IF(AND(E460=Data!R460,Data!AE460&lt;&gt;""),Data!AE460,"")</f>
        <v/>
      </c>
      <c r="L460" s="1039">
        <f>IF(E460=Data!R472,Data!AI472,"")</f>
        <v/>
      </c>
      <c r="M460" s="1039">
        <f>IF(E460=Data!R472,Data!AJ472,"")</f>
        <v/>
      </c>
      <c r="N460">
        <f>IF(AND(Data!R472&lt;&gt;"",Data!L472="Accepté"),Data!K472,"")</f>
        <v/>
      </c>
    </row>
    <row r="461" hidden="1" s="701">
      <c r="A461" s="164">
        <f>IF(AND(Data!R473&lt;&gt;"",Data!L473="Accepté"),Data!G473,"")</f>
        <v/>
      </c>
      <c r="B461" s="164">
        <f>IF(AND(Data!R473&lt;&gt;"",Data!L473="Accepté"),Data!L473,"")</f>
        <v/>
      </c>
      <c r="C461" s="329">
        <f>IF(D461&lt;&gt;"","S"&amp;TEXT(WEEKNUM(D461),"00"),"")</f>
        <v/>
      </c>
      <c r="D461" s="330">
        <f>IF(AND(Data!Q473&lt;&gt;"",Data!L473="Accepté"),Data!Q473,"")</f>
        <v/>
      </c>
      <c r="E461" s="106">
        <f>IF(AND(Data!R473&lt;&gt;"",Data!L473="Accepté"),Data!R473,"")</f>
        <v/>
      </c>
      <c r="F461" s="1037">
        <f>IF(AND(Data!R473&lt;&gt;"",Data!L473="Accepté"),Data!S473,"")</f>
        <v/>
      </c>
      <c r="G461" s="1038">
        <f>IF(Data!R473='Delivery Plan'!E461,Data!U473,"")</f>
        <v/>
      </c>
      <c r="H461" s="327" t="n"/>
      <c r="I461" s="329">
        <f>IF(J461&lt;&gt;"","S"&amp;TEXT(WEEKNUM(J461),"00"),"")</f>
        <v/>
      </c>
      <c r="J461" s="330">
        <f>IF(AND(E461=Data!R461,Data!AA461&lt;&gt;""),Data!AA461,"")</f>
        <v/>
      </c>
      <c r="K461" s="751">
        <f>IF(AND(E461=Data!R461,Data!AE461&lt;&gt;""),Data!AE461,"")</f>
        <v/>
      </c>
      <c r="L461" s="1039">
        <f>IF(E461=Data!R473,Data!AI473,"")</f>
        <v/>
      </c>
      <c r="M461" s="1039">
        <f>IF(E461=Data!R473,Data!AJ473,"")</f>
        <v/>
      </c>
      <c r="N461">
        <f>IF(AND(Data!R473&lt;&gt;"",Data!L473="Accepté"),Data!K473,"")</f>
        <v/>
      </c>
    </row>
    <row r="462" hidden="1" s="701">
      <c r="A462" s="164">
        <f>IF(AND(Data!R474&lt;&gt;"",Data!L474="Accepté"),Data!G474,"")</f>
        <v/>
      </c>
      <c r="B462" s="164">
        <f>IF(AND(Data!R474&lt;&gt;"",Data!L474="Accepté"),Data!L474,"")</f>
        <v/>
      </c>
      <c r="C462" s="329">
        <f>IF(D462&lt;&gt;"","S"&amp;TEXT(WEEKNUM(D462),"00"),"")</f>
        <v/>
      </c>
      <c r="D462" s="330">
        <f>IF(AND(Data!Q474&lt;&gt;"",Data!L474="Accepté"),Data!Q474,"")</f>
        <v/>
      </c>
      <c r="E462" s="106">
        <f>IF(AND(Data!R474&lt;&gt;"",Data!L474="Accepté"),Data!R474,"")</f>
        <v/>
      </c>
      <c r="F462" s="1037">
        <f>IF(AND(Data!R474&lt;&gt;"",Data!L474="Accepté"),Data!S474,"")</f>
        <v/>
      </c>
      <c r="G462" s="1038">
        <f>IF(Data!R474='Delivery Plan'!E462,Data!U474,"")</f>
        <v/>
      </c>
      <c r="H462" s="327" t="n"/>
      <c r="I462" s="329">
        <f>IF(J462&lt;&gt;"","S"&amp;TEXT(WEEKNUM(J462),"00"),"")</f>
        <v/>
      </c>
      <c r="J462" s="330">
        <f>IF(AND(E462=Data!R462,Data!AA462&lt;&gt;""),Data!AA462,"")</f>
        <v/>
      </c>
      <c r="K462" s="751">
        <f>IF(AND(E462=Data!R462,Data!AE462&lt;&gt;""),Data!AE462,"")</f>
        <v/>
      </c>
      <c r="L462" s="1039">
        <f>IF(E462=Data!R474,Data!AI474,"")</f>
        <v/>
      </c>
      <c r="M462" s="1039">
        <f>IF(E462=Data!R474,Data!AJ474,"")</f>
        <v/>
      </c>
      <c r="N462">
        <f>IF(AND(Data!R474&lt;&gt;"",Data!L474="Accepté"),Data!K474,"")</f>
        <v/>
      </c>
    </row>
    <row r="463" hidden="1" s="701">
      <c r="A463" s="164">
        <f>IF(AND(Data!R475&lt;&gt;"",Data!L475="Accepté"),Data!G475,"")</f>
        <v/>
      </c>
      <c r="B463" s="164">
        <f>IF(AND(Data!R475&lt;&gt;"",Data!L475="Accepté"),Data!L475,"")</f>
        <v/>
      </c>
      <c r="C463" s="329">
        <f>IF(D463&lt;&gt;"","S"&amp;TEXT(WEEKNUM(D463),"00"),"")</f>
        <v/>
      </c>
      <c r="D463" s="330">
        <f>IF(AND(Data!Q475&lt;&gt;"",Data!L475="Accepté"),Data!Q475,"")</f>
        <v/>
      </c>
      <c r="E463" s="106">
        <f>IF(AND(Data!R475&lt;&gt;"",Data!L475="Accepté"),Data!R475,"")</f>
        <v/>
      </c>
      <c r="F463" s="1037">
        <f>IF(AND(Data!R475&lt;&gt;"",Data!L475="Accepté"),Data!S475,"")</f>
        <v/>
      </c>
      <c r="G463" s="1038">
        <f>IF(Data!R475='Delivery Plan'!E463,Data!U475,"")</f>
        <v/>
      </c>
      <c r="H463" s="327" t="n"/>
      <c r="I463" s="329">
        <f>IF(J463&lt;&gt;"","S"&amp;TEXT(WEEKNUM(J463),"00"),"")</f>
        <v/>
      </c>
      <c r="J463" s="330">
        <f>IF(AND(E463=Data!R463,Data!AA463&lt;&gt;""),Data!AA463,"")</f>
        <v/>
      </c>
      <c r="K463" s="751">
        <f>IF(AND(E463=Data!R463,Data!AE463&lt;&gt;""),Data!AE463,"")</f>
        <v/>
      </c>
      <c r="L463" s="1039">
        <f>IF(E463=Data!R475,Data!AI475,"")</f>
        <v/>
      </c>
      <c r="M463" s="1039">
        <f>IF(E463=Data!R475,Data!AJ475,"")</f>
        <v/>
      </c>
      <c r="N463">
        <f>IF(AND(Data!R475&lt;&gt;"",Data!L475="Accepté"),Data!K475,"")</f>
        <v/>
      </c>
    </row>
    <row r="464" hidden="1" s="701">
      <c r="A464" s="164">
        <f>IF(AND(Data!R476&lt;&gt;"",Data!L476="Accepté"),Data!G476,"")</f>
        <v/>
      </c>
      <c r="B464" s="164">
        <f>IF(AND(Data!R476&lt;&gt;"",Data!L476="Accepté"),Data!L476,"")</f>
        <v/>
      </c>
      <c r="C464" s="329">
        <f>IF(D464&lt;&gt;"","S"&amp;TEXT(WEEKNUM(D464),"00"),"")</f>
        <v/>
      </c>
      <c r="D464" s="330">
        <f>IF(AND(Data!Q476&lt;&gt;"",Data!L476="Accepté"),Data!Q476,"")</f>
        <v/>
      </c>
      <c r="E464" s="106">
        <f>IF(AND(Data!R476&lt;&gt;"",Data!L476="Accepté"),Data!R476,"")</f>
        <v/>
      </c>
      <c r="F464" s="1037">
        <f>IF(AND(Data!R476&lt;&gt;"",Data!L476="Accepté"),Data!S476,"")</f>
        <v/>
      </c>
      <c r="G464" s="1038">
        <f>IF(Data!R476='Delivery Plan'!E464,Data!U476,"")</f>
        <v/>
      </c>
      <c r="H464" s="327" t="n"/>
      <c r="I464" s="329">
        <f>IF(J464&lt;&gt;"","S"&amp;TEXT(WEEKNUM(J464),"00"),"")</f>
        <v/>
      </c>
      <c r="J464" s="330">
        <f>IF(AND(E464=Data!R464,Data!AA464&lt;&gt;""),Data!AA464,"")</f>
        <v/>
      </c>
      <c r="K464" s="751">
        <f>IF(AND(E464=Data!R464,Data!AE464&lt;&gt;""),Data!AE464,"")</f>
        <v/>
      </c>
      <c r="L464" s="1039">
        <f>IF(E464=Data!R476,Data!AI476,"")</f>
        <v/>
      </c>
      <c r="M464" s="1039">
        <f>IF(E464=Data!R476,Data!AJ476,"")</f>
        <v/>
      </c>
      <c r="N464">
        <f>IF(AND(Data!R476&lt;&gt;"",Data!L476="Accepté"),Data!K476,"")</f>
        <v/>
      </c>
    </row>
    <row r="465" hidden="1" s="701">
      <c r="A465" s="164">
        <f>IF(AND(Data!R477&lt;&gt;"",Data!L477="Accepté"),Data!G477,"")</f>
        <v/>
      </c>
      <c r="B465" s="164">
        <f>IF(AND(Data!R477&lt;&gt;"",Data!L477="Accepté"),Data!L477,"")</f>
        <v/>
      </c>
      <c r="C465" s="329">
        <f>IF(D465&lt;&gt;"","S"&amp;TEXT(WEEKNUM(D465),"00"),"")</f>
        <v/>
      </c>
      <c r="D465" s="330">
        <f>IF(AND(Data!Q477&lt;&gt;"",Data!L477="Accepté"),Data!Q477,"")</f>
        <v/>
      </c>
      <c r="E465" s="106">
        <f>IF(AND(Data!R477&lt;&gt;"",Data!L477="Accepté"),Data!R477,"")</f>
        <v/>
      </c>
      <c r="F465" s="1037">
        <f>IF(AND(Data!R477&lt;&gt;"",Data!L477="Accepté"),Data!S477,"")</f>
        <v/>
      </c>
      <c r="G465" s="1038">
        <f>IF(Data!R477='Delivery Plan'!E465,Data!U477,"")</f>
        <v/>
      </c>
      <c r="H465" s="327" t="n"/>
      <c r="I465" s="329">
        <f>IF(J465&lt;&gt;"","S"&amp;TEXT(WEEKNUM(J465),"00"),"")</f>
        <v/>
      </c>
      <c r="J465" s="330">
        <f>IF(AND(E465=Data!R465,Data!AA465&lt;&gt;""),Data!AA465,"")</f>
        <v/>
      </c>
      <c r="K465" s="751">
        <f>IF(AND(E465=Data!R465,Data!AE465&lt;&gt;""),Data!AE465,"")</f>
        <v/>
      </c>
      <c r="L465" s="1039">
        <f>IF(E465=Data!R477,Data!AI477,"")</f>
        <v/>
      </c>
      <c r="M465" s="1039">
        <f>IF(E465=Data!R477,Data!AJ477,"")</f>
        <v/>
      </c>
      <c r="N465">
        <f>IF(AND(Data!R477&lt;&gt;"",Data!L477="Accepté"),Data!K477,"")</f>
        <v/>
      </c>
    </row>
    <row r="466" hidden="1" s="701">
      <c r="A466" s="164">
        <f>IF(AND(Data!R478&lt;&gt;"",Data!L478="Accepté"),Data!G478,"")</f>
        <v/>
      </c>
      <c r="B466" s="164">
        <f>IF(AND(Data!R478&lt;&gt;"",Data!L478="Accepté"),Data!L478,"")</f>
        <v/>
      </c>
      <c r="C466" s="329">
        <f>IF(D466&lt;&gt;"","S"&amp;TEXT(WEEKNUM(D466),"00"),"")</f>
        <v/>
      </c>
      <c r="D466" s="330">
        <f>IF(AND(Data!Q478&lt;&gt;"",Data!L478="Accepté"),Data!Q478,"")</f>
        <v/>
      </c>
      <c r="E466" s="106">
        <f>IF(AND(Data!R478&lt;&gt;"",Data!L478="Accepté"),Data!R478,"")</f>
        <v/>
      </c>
      <c r="F466" s="1037">
        <f>IF(AND(Data!R478&lt;&gt;"",Data!L478="Accepté"),Data!S478,"")</f>
        <v/>
      </c>
      <c r="G466" s="1038">
        <f>IF(Data!R478='Delivery Plan'!E466,Data!U478,"")</f>
        <v/>
      </c>
      <c r="H466" s="327" t="n"/>
      <c r="I466" s="329">
        <f>IF(J466&lt;&gt;"","S"&amp;TEXT(WEEKNUM(J466),"00"),"")</f>
        <v/>
      </c>
      <c r="J466" s="330">
        <f>IF(AND(E466=Data!R466,Data!AA466&lt;&gt;""),Data!AA466,"")</f>
        <v/>
      </c>
      <c r="K466" s="751">
        <f>IF(AND(E466=Data!R466,Data!AE466&lt;&gt;""),Data!AE466,"")</f>
        <v/>
      </c>
      <c r="L466" s="1039">
        <f>IF(E466=Data!R478,Data!AI478,"")</f>
        <v/>
      </c>
      <c r="M466" s="1039">
        <f>IF(E466=Data!R478,Data!AJ478,"")</f>
        <v/>
      </c>
      <c r="N466">
        <f>IF(AND(Data!R478&lt;&gt;"",Data!L478="Accepté"),Data!K478,"")</f>
        <v/>
      </c>
    </row>
    <row r="467" hidden="1" s="701">
      <c r="A467" s="164">
        <f>IF(AND(Data!R479&lt;&gt;"",Data!L479="Accepté"),Data!G479,"")</f>
        <v/>
      </c>
      <c r="B467" s="164">
        <f>IF(AND(Data!R479&lt;&gt;"",Data!L479="Accepté"),Data!L479,"")</f>
        <v/>
      </c>
      <c r="C467" s="329">
        <f>IF(D467&lt;&gt;"","S"&amp;TEXT(WEEKNUM(D467),"00"),"")</f>
        <v/>
      </c>
      <c r="D467" s="330">
        <f>IF(AND(Data!Q479&lt;&gt;"",Data!L479="Accepté"),Data!Q479,"")</f>
        <v/>
      </c>
      <c r="E467" s="106">
        <f>IF(AND(Data!R479&lt;&gt;"",Data!L479="Accepté"),Data!R479,"")</f>
        <v/>
      </c>
      <c r="F467" s="1037">
        <f>IF(AND(Data!R479&lt;&gt;"",Data!L479="Accepté"),Data!S479,"")</f>
        <v/>
      </c>
      <c r="G467" s="1038">
        <f>IF(Data!R479='Delivery Plan'!E467,Data!U479,"")</f>
        <v/>
      </c>
      <c r="H467" s="327" t="n"/>
      <c r="I467" s="329">
        <f>IF(J467&lt;&gt;"","S"&amp;TEXT(WEEKNUM(J467),"00"),"")</f>
        <v/>
      </c>
      <c r="J467" s="330">
        <f>IF(AND(E467=Data!R467,Data!AA467&lt;&gt;""),Data!AA467,"")</f>
        <v/>
      </c>
      <c r="K467" s="751">
        <f>IF(AND(E467=Data!R467,Data!AE467&lt;&gt;""),Data!AE467,"")</f>
        <v/>
      </c>
      <c r="L467" s="1039">
        <f>IF(E467=Data!R479,Data!AI479,"")</f>
        <v/>
      </c>
      <c r="M467" s="1039">
        <f>IF(E467=Data!R479,Data!AJ479,"")</f>
        <v/>
      </c>
      <c r="N467">
        <f>IF(AND(Data!R479&lt;&gt;"",Data!L479="Accepté"),Data!K479,"")</f>
        <v/>
      </c>
    </row>
    <row r="468" hidden="1" s="701">
      <c r="A468" s="164">
        <f>IF(AND(Data!R480&lt;&gt;"",Data!L480="Accepté"),Data!G480,"")</f>
        <v/>
      </c>
      <c r="B468" s="164">
        <f>IF(AND(Data!R480&lt;&gt;"",Data!L480="Accepté"),Data!L480,"")</f>
        <v/>
      </c>
      <c r="C468" s="329">
        <f>IF(D468&lt;&gt;"","S"&amp;TEXT(WEEKNUM(D468),"00"),"")</f>
        <v/>
      </c>
      <c r="D468" s="330">
        <f>IF(AND(Data!Q480&lt;&gt;"",Data!L480="Accepté"),Data!Q480,"")</f>
        <v/>
      </c>
      <c r="E468" s="106">
        <f>IF(AND(Data!R480&lt;&gt;"",Data!L480="Accepté"),Data!R480,"")</f>
        <v/>
      </c>
      <c r="F468" s="1037">
        <f>IF(AND(Data!R480&lt;&gt;"",Data!L480="Accepté"),Data!S480,"")</f>
        <v/>
      </c>
      <c r="G468" s="1038">
        <f>IF(Data!R480='Delivery Plan'!E468,Data!U480,"")</f>
        <v/>
      </c>
      <c r="H468" s="327" t="n"/>
      <c r="I468" s="329">
        <f>IF(J468&lt;&gt;"","S"&amp;TEXT(WEEKNUM(J468),"00"),"")</f>
        <v/>
      </c>
      <c r="J468" s="330">
        <f>IF(AND(E468=Data!R468,Data!AA468&lt;&gt;""),Data!AA468,"")</f>
        <v/>
      </c>
      <c r="K468" s="751">
        <f>IF(AND(E468=Data!R468,Data!AE468&lt;&gt;""),Data!AE468,"")</f>
        <v/>
      </c>
      <c r="L468" s="1039">
        <f>IF(E468=Data!R480,Data!AI480,"")</f>
        <v/>
      </c>
      <c r="M468" s="1039">
        <f>IF(E468=Data!R480,Data!AJ480,"")</f>
        <v/>
      </c>
      <c r="N468">
        <f>IF(AND(Data!R480&lt;&gt;"",Data!L480="Accepté"),Data!K480,"")</f>
        <v/>
      </c>
    </row>
    <row r="469" hidden="1" s="701">
      <c r="A469" s="164">
        <f>IF(AND(Data!R481&lt;&gt;"",Data!L481="Accepté"),Data!G481,"")</f>
        <v/>
      </c>
      <c r="B469" s="164">
        <f>IF(AND(Data!R481&lt;&gt;"",Data!L481="Accepté"),Data!L481,"")</f>
        <v/>
      </c>
      <c r="C469" s="329">
        <f>IF(D469&lt;&gt;"","S"&amp;TEXT(WEEKNUM(D469),"00"),"")</f>
        <v/>
      </c>
      <c r="D469" s="330">
        <f>IF(AND(Data!Q481&lt;&gt;"",Data!L481="Accepté"),Data!Q481,"")</f>
        <v/>
      </c>
      <c r="E469" s="106">
        <f>IF(AND(Data!R481&lt;&gt;"",Data!L481="Accepté"),Data!R481,"")</f>
        <v/>
      </c>
      <c r="F469" s="1037">
        <f>IF(AND(Data!R481&lt;&gt;"",Data!L481="Accepté"),Data!S481,"")</f>
        <v/>
      </c>
      <c r="G469" s="1038">
        <f>IF(Data!R481='Delivery Plan'!E469,Data!U481,"")</f>
        <v/>
      </c>
      <c r="H469" s="327" t="n"/>
      <c r="I469" s="329">
        <f>IF(J469&lt;&gt;"","S"&amp;TEXT(WEEKNUM(J469),"00"),"")</f>
        <v/>
      </c>
      <c r="J469" s="330">
        <f>IF(AND(E469=Data!R469,Data!AA469&lt;&gt;""),Data!AA469,"")</f>
        <v/>
      </c>
      <c r="K469" s="751">
        <f>IF(AND(E469=Data!R469,Data!AE469&lt;&gt;""),Data!AE469,"")</f>
        <v/>
      </c>
      <c r="L469" s="1039">
        <f>IF(E469=Data!R481,Data!AI481,"")</f>
        <v/>
      </c>
      <c r="M469" s="1039">
        <f>IF(E469=Data!R481,Data!AJ481,"")</f>
        <v/>
      </c>
      <c r="N469">
        <f>IF(AND(Data!R481&lt;&gt;"",Data!L481="Accepté"),Data!K481,"")</f>
        <v/>
      </c>
    </row>
    <row r="470" hidden="1" s="701">
      <c r="A470" s="164">
        <f>IF(AND(Data!R482&lt;&gt;"",Data!L482="Accepté"),Data!G482,"")</f>
        <v/>
      </c>
      <c r="B470" s="164">
        <f>IF(AND(Data!R482&lt;&gt;"",Data!L482="Accepté"),Data!L482,"")</f>
        <v/>
      </c>
      <c r="C470" s="329">
        <f>IF(D470&lt;&gt;"","S"&amp;TEXT(WEEKNUM(D470),"00"),"")</f>
        <v/>
      </c>
      <c r="D470" s="330">
        <f>IF(AND(Data!Q482&lt;&gt;"",Data!L482="Accepté"),Data!Q482,"")</f>
        <v/>
      </c>
      <c r="E470" s="106">
        <f>IF(AND(Data!R482&lt;&gt;"",Data!L482="Accepté"),Data!R482,"")</f>
        <v/>
      </c>
      <c r="F470" s="1037">
        <f>IF(AND(Data!R482&lt;&gt;"",Data!L482="Accepté"),Data!S482,"")</f>
        <v/>
      </c>
      <c r="G470" s="1038">
        <f>IF(Data!R482='Delivery Plan'!E470,Data!U482,"")</f>
        <v/>
      </c>
      <c r="H470" s="327" t="n"/>
      <c r="I470" s="329">
        <f>IF(J470&lt;&gt;"","S"&amp;TEXT(WEEKNUM(J470),"00"),"")</f>
        <v/>
      </c>
      <c r="J470" s="330">
        <f>IF(AND(E470=Data!R470,Data!AA470&lt;&gt;""),Data!AA470,"")</f>
        <v/>
      </c>
      <c r="K470" s="751">
        <f>IF(AND(E470=Data!R470,Data!AE470&lt;&gt;""),Data!AE470,"")</f>
        <v/>
      </c>
      <c r="L470" s="1039">
        <f>IF(E470=Data!R482,Data!AI482,"")</f>
        <v/>
      </c>
      <c r="M470" s="1039">
        <f>IF(E470=Data!R482,Data!AJ482,"")</f>
        <v/>
      </c>
      <c r="N470">
        <f>IF(AND(Data!R482&lt;&gt;"",Data!L482="Accepté"),Data!K482,"")</f>
        <v/>
      </c>
    </row>
    <row r="471" hidden="1" s="701">
      <c r="A471" s="164">
        <f>IF(AND(Data!R483&lt;&gt;"",Data!L483="Accepté"),Data!G483,"")</f>
        <v/>
      </c>
      <c r="B471" s="164">
        <f>IF(AND(Data!R483&lt;&gt;"",Data!L483="Accepté"),Data!L483,"")</f>
        <v/>
      </c>
      <c r="C471" s="329">
        <f>IF(D471&lt;&gt;"","S"&amp;TEXT(WEEKNUM(D471),"00"),"")</f>
        <v/>
      </c>
      <c r="D471" s="330">
        <f>IF(AND(Data!Q483&lt;&gt;"",Data!L483="Accepté"),Data!Q483,"")</f>
        <v/>
      </c>
      <c r="E471" s="106">
        <f>IF(AND(Data!R483&lt;&gt;"",Data!L483="Accepté"),Data!R483,"")</f>
        <v/>
      </c>
      <c r="F471" s="1037">
        <f>IF(AND(Data!R483&lt;&gt;"",Data!L483="Accepté"),Data!S483,"")</f>
        <v/>
      </c>
      <c r="G471" s="1038">
        <f>IF(Data!R483='Delivery Plan'!E471,Data!U483,"")</f>
        <v/>
      </c>
      <c r="H471" s="327" t="n"/>
      <c r="I471" s="329">
        <f>IF(J471&lt;&gt;"","S"&amp;TEXT(WEEKNUM(J471),"00"),"")</f>
        <v/>
      </c>
      <c r="J471" s="330">
        <f>IF(AND(E471=Data!R471,Data!AA471&lt;&gt;""),Data!AA471,"")</f>
        <v/>
      </c>
      <c r="K471" s="751">
        <f>IF(AND(E471=Data!R471,Data!AE471&lt;&gt;""),Data!AE471,"")</f>
        <v/>
      </c>
      <c r="L471" s="1039">
        <f>IF(E471=Data!R483,Data!AI483,"")</f>
        <v/>
      </c>
      <c r="M471" s="1039">
        <f>IF(E471=Data!R483,Data!AJ483,"")</f>
        <v/>
      </c>
      <c r="N471">
        <f>IF(AND(Data!R483&lt;&gt;"",Data!L483="Accepté"),Data!K483,"")</f>
        <v/>
      </c>
    </row>
    <row r="472" hidden="1" s="701">
      <c r="A472" s="164">
        <f>IF(AND(Data!R484&lt;&gt;"",Data!L484="Accepté"),Data!G484,"")</f>
        <v/>
      </c>
      <c r="B472" s="164">
        <f>IF(AND(Data!R484&lt;&gt;"",Data!L484="Accepté"),Data!L484,"")</f>
        <v/>
      </c>
      <c r="C472" s="329">
        <f>IF(D472&lt;&gt;"","S"&amp;TEXT(WEEKNUM(D472),"00"),"")</f>
        <v/>
      </c>
      <c r="D472" s="330">
        <f>IF(AND(Data!Q484&lt;&gt;"",Data!L484="Accepté"),Data!Q484,"")</f>
        <v/>
      </c>
      <c r="E472" s="106">
        <f>IF(AND(Data!R484&lt;&gt;"",Data!L484="Accepté"),Data!R484,"")</f>
        <v/>
      </c>
      <c r="F472" s="1037">
        <f>IF(AND(Data!R484&lt;&gt;"",Data!L484="Accepté"),Data!S484,"")</f>
        <v/>
      </c>
      <c r="G472" s="1038">
        <f>IF(Data!R484='Delivery Plan'!E472,Data!U484,"")</f>
        <v/>
      </c>
      <c r="H472" s="327" t="n"/>
      <c r="I472" s="329">
        <f>IF(J472&lt;&gt;"","S"&amp;TEXT(WEEKNUM(J472),"00"),"")</f>
        <v/>
      </c>
      <c r="J472" s="330">
        <f>IF(AND(E472=Data!R472,Data!AA472&lt;&gt;""),Data!AA472,"")</f>
        <v/>
      </c>
      <c r="K472" s="751">
        <f>IF(AND(E472=Data!R472,Data!AE472&lt;&gt;""),Data!AE472,"")</f>
        <v/>
      </c>
      <c r="L472" s="1039">
        <f>IF(E472=Data!R484,Data!AI484,"")</f>
        <v/>
      </c>
      <c r="M472" s="1039">
        <f>IF(E472=Data!R484,Data!AJ484,"")</f>
        <v/>
      </c>
      <c r="N472">
        <f>IF(AND(Data!R484&lt;&gt;"",Data!L484="Accepté"),Data!K484,"")</f>
        <v/>
      </c>
    </row>
    <row r="473" hidden="1" s="701">
      <c r="A473" s="164">
        <f>IF(AND(Data!R485&lt;&gt;"",Data!L485="Accepté"),Data!G485,"")</f>
        <v/>
      </c>
      <c r="B473" s="164">
        <f>IF(AND(Data!R485&lt;&gt;"",Data!L485="Accepté"),Data!L485,"")</f>
        <v/>
      </c>
      <c r="C473" s="329">
        <f>IF(D473&lt;&gt;"","S"&amp;TEXT(WEEKNUM(D473),"00"),"")</f>
        <v/>
      </c>
      <c r="D473" s="330">
        <f>IF(AND(Data!Q485&lt;&gt;"",Data!L485="Accepté"),Data!Q485,"")</f>
        <v/>
      </c>
      <c r="E473" s="106">
        <f>IF(AND(Data!R485&lt;&gt;"",Data!L485="Accepté"),Data!R485,"")</f>
        <v/>
      </c>
      <c r="F473" s="1037">
        <f>IF(AND(Data!R485&lt;&gt;"",Data!L485="Accepté"),Data!S485,"")</f>
        <v/>
      </c>
      <c r="G473" s="1038">
        <f>IF(Data!R485='Delivery Plan'!E473,Data!U485,"")</f>
        <v/>
      </c>
      <c r="H473" s="327" t="n"/>
      <c r="I473" s="329">
        <f>IF(J473&lt;&gt;"","S"&amp;TEXT(WEEKNUM(J473),"00"),"")</f>
        <v/>
      </c>
      <c r="J473" s="330">
        <f>IF(AND(E473=Data!R473,Data!AA473&lt;&gt;""),Data!AA473,"")</f>
        <v/>
      </c>
      <c r="K473" s="751">
        <f>IF(AND(E473=Data!R473,Data!AE473&lt;&gt;""),Data!AE473,"")</f>
        <v/>
      </c>
      <c r="L473" s="1039">
        <f>IF(E473=Data!R485,Data!AI485,"")</f>
        <v/>
      </c>
      <c r="M473" s="1039">
        <f>IF(E473=Data!R485,Data!AJ485,"")</f>
        <v/>
      </c>
      <c r="N473">
        <f>IF(AND(Data!R485&lt;&gt;"",Data!L485="Accepté"),Data!K485,"")</f>
        <v/>
      </c>
    </row>
    <row r="474" hidden="1" s="701">
      <c r="A474" s="164">
        <f>IF(AND(Data!R486&lt;&gt;"",Data!L486="Accepté"),Data!G486,"")</f>
        <v/>
      </c>
      <c r="B474" s="164">
        <f>IF(AND(Data!R486&lt;&gt;"",Data!L486="Accepté"),Data!L486,"")</f>
        <v/>
      </c>
      <c r="C474" s="329">
        <f>IF(D474&lt;&gt;"","S"&amp;TEXT(WEEKNUM(D474),"00"),"")</f>
        <v/>
      </c>
      <c r="D474" s="330">
        <f>IF(AND(Data!Q486&lt;&gt;"",Data!L486="Accepté"),Data!Q486,"")</f>
        <v/>
      </c>
      <c r="E474" s="106">
        <f>IF(AND(Data!R486&lt;&gt;"",Data!L486="Accepté"),Data!R486,"")</f>
        <v/>
      </c>
      <c r="F474" s="1037">
        <f>IF(AND(Data!R486&lt;&gt;"",Data!L486="Accepté"),Data!S486,"")</f>
        <v/>
      </c>
      <c r="G474" s="1038">
        <f>IF(Data!R486='Delivery Plan'!E474,Data!U486,"")</f>
        <v/>
      </c>
      <c r="H474" s="327" t="n"/>
      <c r="I474" s="329">
        <f>IF(J474&lt;&gt;"","S"&amp;TEXT(WEEKNUM(J474),"00"),"")</f>
        <v/>
      </c>
      <c r="J474" s="330">
        <f>IF(AND(E474=Data!R474,Data!AA474&lt;&gt;""),Data!AA474,"")</f>
        <v/>
      </c>
      <c r="K474" s="751">
        <f>IF(AND(E474=Data!R474,Data!AE474&lt;&gt;""),Data!AE474,"")</f>
        <v/>
      </c>
      <c r="L474" s="1039">
        <f>IF(E474=Data!R486,Data!AI486,"")</f>
        <v/>
      </c>
      <c r="M474" s="1039">
        <f>IF(E474=Data!R486,Data!AJ486,"")</f>
        <v/>
      </c>
      <c r="N474">
        <f>IF(AND(Data!R486&lt;&gt;"",Data!L486="Accepté"),Data!K486,"")</f>
        <v/>
      </c>
    </row>
    <row r="475" hidden="1" s="701">
      <c r="A475" s="164">
        <f>IF(AND(Data!R487&lt;&gt;"",Data!L487="Accepté"),Data!G487,"")</f>
        <v/>
      </c>
      <c r="B475" s="164">
        <f>IF(AND(Data!R487&lt;&gt;"",Data!L487="Accepté"),Data!L487,"")</f>
        <v/>
      </c>
      <c r="C475" s="329">
        <f>IF(D475&lt;&gt;"","S"&amp;TEXT(WEEKNUM(D475),"00"),"")</f>
        <v/>
      </c>
      <c r="D475" s="330">
        <f>IF(AND(Data!Q487&lt;&gt;"",Data!L487="Accepté"),Data!Q487,"")</f>
        <v/>
      </c>
      <c r="E475" s="106">
        <f>IF(AND(Data!R487&lt;&gt;"",Data!L487="Accepté"),Data!R487,"")</f>
        <v/>
      </c>
      <c r="F475" s="1037">
        <f>IF(AND(Data!R487&lt;&gt;"",Data!L487="Accepté"),Data!S487,"")</f>
        <v/>
      </c>
      <c r="G475" s="1038">
        <f>IF(Data!R487='Delivery Plan'!E475,Data!U487,"")</f>
        <v/>
      </c>
      <c r="H475" s="327" t="n"/>
      <c r="I475" s="329">
        <f>IF(J475&lt;&gt;"","S"&amp;TEXT(WEEKNUM(J475),"00"),"")</f>
        <v/>
      </c>
      <c r="J475" s="330">
        <f>IF(AND(E475=Data!R475,Data!AA475&lt;&gt;""),Data!AA475,"")</f>
        <v/>
      </c>
      <c r="K475" s="751">
        <f>IF(AND(E475=Data!R475,Data!AE475&lt;&gt;""),Data!AE475,"")</f>
        <v/>
      </c>
      <c r="L475" s="1039">
        <f>IF(E475=Data!R487,Data!AI487,"")</f>
        <v/>
      </c>
      <c r="M475" s="1039">
        <f>IF(E475=Data!R487,Data!AJ487,"")</f>
        <v/>
      </c>
      <c r="N475">
        <f>IF(AND(Data!R487&lt;&gt;"",Data!L487="Accepté"),Data!K487,"")</f>
        <v/>
      </c>
    </row>
    <row r="476" hidden="1" s="701">
      <c r="A476" s="164">
        <f>IF(AND(Data!R488&lt;&gt;"",Data!L488="Accepté"),Data!G488,"")</f>
        <v/>
      </c>
      <c r="B476" s="164">
        <f>IF(AND(Data!R488&lt;&gt;"",Data!L488="Accepté"),Data!L488,"")</f>
        <v/>
      </c>
      <c r="C476" s="329">
        <f>IF(D476&lt;&gt;"","S"&amp;TEXT(WEEKNUM(D476),"00"),"")</f>
        <v/>
      </c>
      <c r="D476" s="330">
        <f>IF(AND(Data!Q488&lt;&gt;"",Data!L488="Accepté"),Data!Q488,"")</f>
        <v/>
      </c>
      <c r="E476" s="106">
        <f>IF(AND(Data!R488&lt;&gt;"",Data!L488="Accepté"),Data!R488,"")</f>
        <v/>
      </c>
      <c r="F476" s="1037">
        <f>IF(AND(Data!R488&lt;&gt;"",Data!L488="Accepté"),Data!S488,"")</f>
        <v/>
      </c>
      <c r="G476" s="1038">
        <f>IF(Data!R488='Delivery Plan'!E476,Data!U488,"")</f>
        <v/>
      </c>
      <c r="H476" s="327" t="n"/>
      <c r="I476" s="329">
        <f>IF(J476&lt;&gt;"","S"&amp;TEXT(WEEKNUM(J476),"00"),"")</f>
        <v/>
      </c>
      <c r="J476" s="330">
        <f>IF(AND(E476=Data!R476,Data!AA476&lt;&gt;""),Data!AA476,"")</f>
        <v/>
      </c>
      <c r="K476" s="751">
        <f>IF(AND(E476=Data!R476,Data!AE476&lt;&gt;""),Data!AE476,"")</f>
        <v/>
      </c>
      <c r="L476" s="1039">
        <f>IF(E476=Data!R488,Data!AI488,"")</f>
        <v/>
      </c>
      <c r="M476" s="1039">
        <f>IF(E476=Data!R488,Data!AJ488,"")</f>
        <v/>
      </c>
      <c r="N476">
        <f>IF(AND(Data!R488&lt;&gt;"",Data!L488="Accepté"),Data!K488,"")</f>
        <v/>
      </c>
    </row>
    <row r="477" hidden="1" s="701">
      <c r="A477" s="164">
        <f>IF(AND(Data!R489&lt;&gt;"",Data!L489="Accepté"),Data!G489,"")</f>
        <v/>
      </c>
      <c r="B477" s="164">
        <f>IF(AND(Data!R489&lt;&gt;"",Data!L489="Accepté"),Data!L489,"")</f>
        <v/>
      </c>
      <c r="C477" s="329">
        <f>IF(D477&lt;&gt;"","S"&amp;TEXT(WEEKNUM(D477),"00"),"")</f>
        <v/>
      </c>
      <c r="D477" s="330">
        <f>IF(AND(Data!Q489&lt;&gt;"",Data!L489="Accepté"),Data!Q489,"")</f>
        <v/>
      </c>
      <c r="E477" s="106">
        <f>IF(AND(Data!R489&lt;&gt;"",Data!L489="Accepté"),Data!R489,"")</f>
        <v/>
      </c>
      <c r="F477" s="1037">
        <f>IF(AND(Data!R489&lt;&gt;"",Data!L489="Accepté"),Data!S489,"")</f>
        <v/>
      </c>
      <c r="G477" s="1038">
        <f>IF(Data!R489='Delivery Plan'!E477,Data!U489,"")</f>
        <v/>
      </c>
      <c r="H477" s="327" t="n"/>
      <c r="I477" s="329">
        <f>IF(J477&lt;&gt;"","S"&amp;TEXT(WEEKNUM(J477),"00"),"")</f>
        <v/>
      </c>
      <c r="J477" s="330">
        <f>IF(AND(E477=Data!R477,Data!AA477&lt;&gt;""),Data!AA477,"")</f>
        <v/>
      </c>
      <c r="K477" s="751">
        <f>IF(AND(E477=Data!R477,Data!AE477&lt;&gt;""),Data!AE477,"")</f>
        <v/>
      </c>
      <c r="L477" s="1039">
        <f>IF(E477=Data!R489,Data!AI489,"")</f>
        <v/>
      </c>
      <c r="M477" s="1039">
        <f>IF(E477=Data!R489,Data!AJ489,"")</f>
        <v/>
      </c>
      <c r="N477">
        <f>IF(AND(Data!R489&lt;&gt;"",Data!L489="Accepté"),Data!K489,"")</f>
        <v/>
      </c>
    </row>
    <row r="478" hidden="1" s="701">
      <c r="A478" s="164">
        <f>IF(AND(Data!R490&lt;&gt;"",Data!L490="Accepté"),Data!G490,"")</f>
        <v/>
      </c>
      <c r="B478" s="164">
        <f>IF(AND(Data!R490&lt;&gt;"",Data!L490="Accepté"),Data!L490,"")</f>
        <v/>
      </c>
      <c r="C478" s="329">
        <f>IF(D478&lt;&gt;"","S"&amp;TEXT(WEEKNUM(D478),"00"),"")</f>
        <v/>
      </c>
      <c r="D478" s="330">
        <f>IF(AND(Data!Q490&lt;&gt;"",Data!L490="Accepté"),Data!Q490,"")</f>
        <v/>
      </c>
      <c r="E478" s="106">
        <f>IF(AND(Data!R490&lt;&gt;"",Data!L490="Accepté"),Data!R490,"")</f>
        <v/>
      </c>
      <c r="F478" s="1037">
        <f>IF(AND(Data!R490&lt;&gt;"",Data!L490="Accepté"),Data!S490,"")</f>
        <v/>
      </c>
      <c r="G478" s="1038">
        <f>IF(Data!R490='Delivery Plan'!E478,Data!U490,"")</f>
        <v/>
      </c>
      <c r="H478" s="327" t="n"/>
      <c r="I478" s="329">
        <f>IF(J478&lt;&gt;"","S"&amp;TEXT(WEEKNUM(J478),"00"),"")</f>
        <v/>
      </c>
      <c r="J478" s="330">
        <f>IF(AND(E478=Data!R478,Data!AA478&lt;&gt;""),Data!AA478,"")</f>
        <v/>
      </c>
      <c r="K478" s="751">
        <f>IF(AND(E478=Data!R478,Data!AE478&lt;&gt;""),Data!AE478,"")</f>
        <v/>
      </c>
      <c r="L478" s="1039">
        <f>IF(E478=Data!R490,Data!AI490,"")</f>
        <v/>
      </c>
      <c r="M478" s="1039">
        <f>IF(E478=Data!R490,Data!AJ490,"")</f>
        <v/>
      </c>
      <c r="N478">
        <f>IF(AND(Data!R490&lt;&gt;"",Data!L490="Accepté"),Data!K490,"")</f>
        <v/>
      </c>
    </row>
    <row r="479" hidden="1" s="701">
      <c r="A479" s="164">
        <f>IF(AND(Data!R491&lt;&gt;"",Data!L491="Accepté"),Data!G491,"")</f>
        <v/>
      </c>
      <c r="B479" s="164">
        <f>IF(AND(Data!R491&lt;&gt;"",Data!L491="Accepté"),Data!L491,"")</f>
        <v/>
      </c>
      <c r="C479" s="329">
        <f>IF(D479&lt;&gt;"","S"&amp;TEXT(WEEKNUM(D479),"00"),"")</f>
        <v/>
      </c>
      <c r="D479" s="330">
        <f>IF(AND(Data!Q491&lt;&gt;"",Data!L491="Accepté"),Data!Q491,"")</f>
        <v/>
      </c>
      <c r="E479" s="106">
        <f>IF(AND(Data!R491&lt;&gt;"",Data!L491="Accepté"),Data!R491,"")</f>
        <v/>
      </c>
      <c r="F479" s="1037">
        <f>IF(AND(Data!R491&lt;&gt;"",Data!L491="Accepté"),Data!S491,"")</f>
        <v/>
      </c>
      <c r="G479" s="1038">
        <f>IF(Data!R491='Delivery Plan'!E479,Data!U491,"")</f>
        <v/>
      </c>
      <c r="H479" s="327" t="n"/>
      <c r="I479" s="329">
        <f>IF(J479&lt;&gt;"","S"&amp;TEXT(WEEKNUM(J479),"00"),"")</f>
        <v/>
      </c>
      <c r="J479" s="330">
        <f>IF(AND(E479=Data!R479,Data!AA479&lt;&gt;""),Data!AA479,"")</f>
        <v/>
      </c>
      <c r="K479" s="751">
        <f>IF(AND(E479=Data!R479,Data!AE479&lt;&gt;""),Data!AE479,"")</f>
        <v/>
      </c>
      <c r="L479" s="1039">
        <f>IF(E479=Data!R491,Data!AI491,"")</f>
        <v/>
      </c>
      <c r="M479" s="1039">
        <f>IF(E479=Data!R491,Data!AJ491,"")</f>
        <v/>
      </c>
      <c r="N479">
        <f>IF(AND(Data!R491&lt;&gt;"",Data!L491="Accepté"),Data!K491,"")</f>
        <v/>
      </c>
    </row>
    <row r="480" hidden="1" s="701">
      <c r="A480" s="164">
        <f>IF(AND(Data!R492&lt;&gt;"",Data!L492="Accepté"),Data!G492,"")</f>
        <v/>
      </c>
      <c r="B480" s="164">
        <f>IF(AND(Data!R492&lt;&gt;"",Data!L492="Accepté"),Data!L492,"")</f>
        <v/>
      </c>
      <c r="C480" s="329">
        <f>IF(D480&lt;&gt;"","S"&amp;TEXT(WEEKNUM(D480),"00"),"")</f>
        <v/>
      </c>
      <c r="D480" s="330">
        <f>IF(AND(Data!Q492&lt;&gt;"",Data!L492="Accepté"),Data!Q492,"")</f>
        <v/>
      </c>
      <c r="E480" s="106">
        <f>IF(AND(Data!R492&lt;&gt;"",Data!L492="Accepté"),Data!R492,"")</f>
        <v/>
      </c>
      <c r="F480" s="1037">
        <f>IF(AND(Data!R492&lt;&gt;"",Data!L492="Accepté"),Data!S492,"")</f>
        <v/>
      </c>
      <c r="G480" s="1038">
        <f>IF(Data!R492='Delivery Plan'!E480,Data!U492,"")</f>
        <v/>
      </c>
      <c r="H480" s="327" t="n"/>
      <c r="I480" s="329">
        <f>IF(J480&lt;&gt;"","S"&amp;TEXT(WEEKNUM(J480),"00"),"")</f>
        <v/>
      </c>
      <c r="J480" s="330">
        <f>IF(AND(E480=Data!R480,Data!AA480&lt;&gt;""),Data!AA480,"")</f>
        <v/>
      </c>
      <c r="K480" s="751">
        <f>IF(AND(E480=Data!R480,Data!AE480&lt;&gt;""),Data!AE480,"")</f>
        <v/>
      </c>
      <c r="L480" s="1039">
        <f>IF(E480=Data!R492,Data!AI492,"")</f>
        <v/>
      </c>
      <c r="M480" s="1039">
        <f>IF(E480=Data!R492,Data!AJ492,"")</f>
        <v/>
      </c>
      <c r="N480">
        <f>IF(AND(Data!R492&lt;&gt;"",Data!L492="Accepté"),Data!K492,"")</f>
        <v/>
      </c>
    </row>
    <row r="481" hidden="1" s="701">
      <c r="A481" s="164">
        <f>IF(AND(Data!R493&lt;&gt;"",Data!L493="Accepté"),Data!G493,"")</f>
        <v/>
      </c>
      <c r="B481" s="164">
        <f>IF(AND(Data!R493&lt;&gt;"",Data!L493="Accepté"),Data!L493,"")</f>
        <v/>
      </c>
      <c r="C481" s="329">
        <f>IF(D481&lt;&gt;"","S"&amp;TEXT(WEEKNUM(D481),"00"),"")</f>
        <v/>
      </c>
      <c r="D481" s="330">
        <f>IF(AND(Data!Q493&lt;&gt;"",Data!L493="Accepté"),Data!Q493,"")</f>
        <v/>
      </c>
      <c r="E481" s="106">
        <f>IF(AND(Data!R493&lt;&gt;"",Data!L493="Accepté"),Data!R493,"")</f>
        <v/>
      </c>
      <c r="F481" s="1037">
        <f>IF(AND(Data!R493&lt;&gt;"",Data!L493="Accepté"),Data!S493,"")</f>
        <v/>
      </c>
      <c r="G481" s="1038">
        <f>IF(Data!R493='Delivery Plan'!E481,Data!U493,"")</f>
        <v/>
      </c>
      <c r="H481" s="327" t="n"/>
      <c r="I481" s="329">
        <f>IF(J481&lt;&gt;"","S"&amp;TEXT(WEEKNUM(J481),"00"),"")</f>
        <v/>
      </c>
      <c r="J481" s="330">
        <f>IF(AND(E481=Data!R481,Data!AA481&lt;&gt;""),Data!AA481,"")</f>
        <v/>
      </c>
      <c r="K481" s="751">
        <f>IF(AND(E481=Data!R481,Data!AE481&lt;&gt;""),Data!AE481,"")</f>
        <v/>
      </c>
      <c r="L481" s="1039">
        <f>IF(E481=Data!R493,Data!AI493,"")</f>
        <v/>
      </c>
      <c r="M481" s="1039">
        <f>IF(E481=Data!R493,Data!AJ493,"")</f>
        <v/>
      </c>
      <c r="N481">
        <f>IF(AND(Data!R493&lt;&gt;"",Data!L493="Accepté"),Data!K493,"")</f>
        <v/>
      </c>
    </row>
    <row r="482" hidden="1" s="701">
      <c r="A482" s="164">
        <f>IF(AND(Data!R494&lt;&gt;"",Data!L494="Accepté"),Data!G494,"")</f>
        <v/>
      </c>
      <c r="B482" s="164">
        <f>IF(AND(Data!R494&lt;&gt;"",Data!L494="Accepté"),Data!L494,"")</f>
        <v/>
      </c>
      <c r="C482" s="329">
        <f>IF(D482&lt;&gt;"","S"&amp;TEXT(WEEKNUM(D482),"00"),"")</f>
        <v/>
      </c>
      <c r="D482" s="330">
        <f>IF(AND(Data!Q494&lt;&gt;"",Data!L494="Accepté"),Data!Q494,"")</f>
        <v/>
      </c>
      <c r="E482" s="106">
        <f>IF(AND(Data!R494&lt;&gt;"",Data!L494="Accepté"),Data!R494,"")</f>
        <v/>
      </c>
      <c r="F482" s="1037">
        <f>IF(AND(Data!R494&lt;&gt;"",Data!L494="Accepté"),Data!S494,"")</f>
        <v/>
      </c>
      <c r="G482" s="1038">
        <f>IF(Data!R494='Delivery Plan'!E482,Data!U494,"")</f>
        <v/>
      </c>
      <c r="H482" s="327" t="n"/>
      <c r="I482" s="329">
        <f>IF(J482&lt;&gt;"","S"&amp;TEXT(WEEKNUM(J482),"00"),"")</f>
        <v/>
      </c>
      <c r="J482" s="330">
        <f>IF(AND(E482=Data!R487,Data!AA487&lt;&gt;""),Data!AA487,"")</f>
        <v/>
      </c>
      <c r="K482" s="751">
        <f>IF(AND(E482=Data!R487,Data!AE487&lt;&gt;""),Data!AE487,"")</f>
        <v/>
      </c>
      <c r="L482" s="1039">
        <f>IF(E482=Data!R494,Data!AI494,"")</f>
        <v/>
      </c>
      <c r="M482" s="1039">
        <f>IF(E482=Data!R494,Data!AJ494,"")</f>
        <v/>
      </c>
      <c r="N482">
        <f>IF(AND(Data!R494&lt;&gt;"",Data!L494="Accepté"),Data!K494,"")</f>
        <v/>
      </c>
    </row>
    <row r="483" hidden="1" s="701">
      <c r="A483" s="164">
        <f>IF(AND(Data!R495&lt;&gt;"",Data!L495="Accepté"),Data!G495,"")</f>
        <v/>
      </c>
      <c r="B483" s="164">
        <f>IF(AND(Data!R495&lt;&gt;"",Data!L495="Accepté"),Data!L495,"")</f>
        <v/>
      </c>
      <c r="C483" s="329">
        <f>IF(D483&lt;&gt;"","S"&amp;TEXT(WEEKNUM(D483),"00"),"")</f>
        <v/>
      </c>
      <c r="D483" s="330">
        <f>IF(AND(Data!Q495&lt;&gt;"",Data!L495="Accepté"),Data!Q495,"")</f>
        <v/>
      </c>
      <c r="E483" s="106">
        <f>IF(AND(Data!R495&lt;&gt;"",Data!L495="Accepté"),Data!R495,"")</f>
        <v/>
      </c>
      <c r="F483" s="1037">
        <f>IF(AND(Data!R495&lt;&gt;"",Data!L495="Accepté"),Data!S495,"")</f>
        <v/>
      </c>
      <c r="G483" s="1038">
        <f>IF(Data!R495='Delivery Plan'!E483,Data!U495,"")</f>
        <v/>
      </c>
      <c r="H483" s="327" t="n"/>
      <c r="I483" s="329">
        <f>IF(J483&lt;&gt;"","S"&amp;TEXT(WEEKNUM(J483),"00"),"")</f>
        <v/>
      </c>
      <c r="J483" s="330">
        <f>IF(AND(E483=Data!R488,Data!AA488&lt;&gt;""),Data!AA488,"")</f>
        <v/>
      </c>
      <c r="K483" s="751">
        <f>IF(AND(E483=Data!R488,Data!AE488&lt;&gt;""),Data!AE488,"")</f>
        <v/>
      </c>
      <c r="L483" s="1039">
        <f>IF(E483=Data!R495,Data!AI495,"")</f>
        <v/>
      </c>
      <c r="M483" s="1039">
        <f>IF(E483=Data!R495,Data!AJ495,"")</f>
        <v/>
      </c>
      <c r="N483">
        <f>IF(AND(Data!R495&lt;&gt;"",Data!L495="Accepté"),Data!K495,"")</f>
        <v/>
      </c>
    </row>
    <row r="484" hidden="1" s="701">
      <c r="A484" s="164">
        <f>IF(AND(Data!R496&lt;&gt;"",Data!L496="Accepté"),Data!G496,"")</f>
        <v/>
      </c>
      <c r="B484" s="164">
        <f>IF(AND(Data!R496&lt;&gt;"",Data!L496="Accepté"),Data!L496,"")</f>
        <v/>
      </c>
      <c r="C484" s="329">
        <f>IF(D484&lt;&gt;"","S"&amp;TEXT(WEEKNUM(D484),"00"),"")</f>
        <v/>
      </c>
      <c r="D484" s="330">
        <f>IF(AND(Data!Q496&lt;&gt;"",Data!L496="Accepté"),Data!Q496,"")</f>
        <v/>
      </c>
      <c r="E484" s="106">
        <f>IF(AND(Data!R496&lt;&gt;"",Data!L496="Accepté"),Data!R496,"")</f>
        <v/>
      </c>
      <c r="F484" s="1037">
        <f>IF(AND(Data!R496&lt;&gt;"",Data!L496="Accepté"),Data!S496,"")</f>
        <v/>
      </c>
      <c r="G484" s="1038">
        <f>IF(Data!R496='Delivery Plan'!E484,Data!U496,"")</f>
        <v/>
      </c>
      <c r="H484" s="327" t="n"/>
      <c r="I484" s="329">
        <f>IF(J484&lt;&gt;"","S"&amp;TEXT(WEEKNUM(J484),"00"),"")</f>
        <v/>
      </c>
      <c r="J484" s="330">
        <f>IF(AND(E484=Data!R489,Data!AA489&lt;&gt;""),Data!AA489,"")</f>
        <v/>
      </c>
      <c r="K484" s="751">
        <f>IF(AND(E484=Data!R489,Data!AE489&lt;&gt;""),Data!AE489,"")</f>
        <v/>
      </c>
      <c r="L484" s="1039">
        <f>IF(E484=Data!R496,Data!AI496,"")</f>
        <v/>
      </c>
      <c r="M484" s="1039">
        <f>IF(E484=Data!R496,Data!AJ496,"")</f>
        <v/>
      </c>
      <c r="N484">
        <f>IF(AND(Data!R496&lt;&gt;"",Data!L496="Accepté"),Data!K496,"")</f>
        <v/>
      </c>
    </row>
    <row r="485" hidden="1" s="701">
      <c r="A485" s="164">
        <f>IF(AND(Data!R497&lt;&gt;"",Data!L497="Accepté"),Data!G497,"")</f>
        <v/>
      </c>
      <c r="B485" s="164">
        <f>IF(AND(Data!R497&lt;&gt;"",Data!L497="Accepté"),Data!L497,"")</f>
        <v/>
      </c>
      <c r="C485" s="329">
        <f>IF(D485&lt;&gt;"","S"&amp;TEXT(WEEKNUM(D485),"00"),"")</f>
        <v/>
      </c>
      <c r="D485" s="330">
        <f>IF(AND(Data!Q497&lt;&gt;"",Data!L497="Accepté"),Data!Q497,"")</f>
        <v/>
      </c>
      <c r="E485" s="106">
        <f>IF(AND(Data!R497&lt;&gt;"",Data!L497="Accepté"),Data!R497,"")</f>
        <v/>
      </c>
      <c r="F485" s="1037">
        <f>IF(AND(Data!R497&lt;&gt;"",Data!L497="Accepté"),Data!S497,"")</f>
        <v/>
      </c>
      <c r="G485" s="1038">
        <f>IF(Data!R497='Delivery Plan'!E485,Data!U497,"")</f>
        <v/>
      </c>
      <c r="H485" s="327" t="n"/>
      <c r="I485" s="329">
        <f>IF(J485&lt;&gt;"","S"&amp;TEXT(WEEKNUM(J485),"00"),"")</f>
        <v/>
      </c>
      <c r="J485" s="330">
        <f>IF(AND(E485=Data!R490,Data!AA490&lt;&gt;""),Data!AA490,"")</f>
        <v/>
      </c>
      <c r="K485" s="751">
        <f>IF(AND(E485=Data!R490,Data!AE490&lt;&gt;""),Data!AE490,"")</f>
        <v/>
      </c>
      <c r="L485" s="1039">
        <f>IF(E485=Data!R497,Data!AI497,"")</f>
        <v/>
      </c>
      <c r="M485" s="1039">
        <f>IF(E485=Data!R497,Data!AJ497,"")</f>
        <v/>
      </c>
      <c r="N485">
        <f>IF(AND(Data!R497&lt;&gt;"",Data!L497="Accepté"),Data!K497,"")</f>
        <v/>
      </c>
    </row>
    <row r="486" hidden="1" s="701">
      <c r="A486" s="164">
        <f>IF(AND(Data!R498&lt;&gt;"",Data!L498="Accepté"),Data!G498,"")</f>
        <v/>
      </c>
      <c r="B486" s="164">
        <f>IF(AND(Data!R498&lt;&gt;"",Data!L498="Accepté"),Data!L498,"")</f>
        <v/>
      </c>
      <c r="C486" s="329">
        <f>IF(D486&lt;&gt;"","S"&amp;TEXT(WEEKNUM(D486),"00"),"")</f>
        <v/>
      </c>
      <c r="D486" s="330">
        <f>IF(AND(Data!Q498&lt;&gt;"",Data!L498="Accepté"),Data!Q498,"")</f>
        <v/>
      </c>
      <c r="E486" s="106">
        <f>IF(AND(Data!R498&lt;&gt;"",Data!L498="Accepté"),Data!R498,"")</f>
        <v/>
      </c>
      <c r="F486" s="1037">
        <f>IF(AND(Data!R498&lt;&gt;"",Data!L498="Accepté"),Data!S498,"")</f>
        <v/>
      </c>
      <c r="G486" s="1038">
        <f>IF(Data!R498='Delivery Plan'!E486,Data!U498,"")</f>
        <v/>
      </c>
      <c r="H486" s="327" t="n"/>
      <c r="I486" s="329">
        <f>IF(J486&lt;&gt;"","S"&amp;TEXT(WEEKNUM(J486),"00"),"")</f>
        <v/>
      </c>
      <c r="J486" s="330">
        <f>IF(AND(E486=Data!R491,Data!AA491&lt;&gt;""),Data!AA491,"")</f>
        <v/>
      </c>
      <c r="K486" s="751">
        <f>IF(AND(E486=Data!R491,Data!AE491&lt;&gt;""),Data!AE491,"")</f>
        <v/>
      </c>
      <c r="L486" s="1039">
        <f>IF(E486=Data!R498,Data!AI498,"")</f>
        <v/>
      </c>
      <c r="M486" s="1039">
        <f>IF(E486=Data!R498,Data!AJ498,"")</f>
        <v/>
      </c>
      <c r="N486">
        <f>IF(AND(Data!R498&lt;&gt;"",Data!L498="Accepté"),Data!K498,"")</f>
        <v/>
      </c>
    </row>
    <row r="487" hidden="1" s="701">
      <c r="A487" s="164">
        <f>IF(AND(Data!R499&lt;&gt;"",Data!L499="Accepté"),Data!G499,"")</f>
        <v/>
      </c>
      <c r="B487" s="164">
        <f>IF(AND(Data!R499&lt;&gt;"",Data!L499="Accepté"),Data!L499,"")</f>
        <v/>
      </c>
      <c r="C487" s="329">
        <f>IF(D487&lt;&gt;"","S"&amp;TEXT(WEEKNUM(D487),"00"),"")</f>
        <v/>
      </c>
      <c r="D487" s="330">
        <f>IF(AND(Data!Q499&lt;&gt;"",Data!L499="Accepté"),Data!Q499,"")</f>
        <v/>
      </c>
      <c r="E487" s="106">
        <f>IF(AND(Data!R499&lt;&gt;"",Data!L499="Accepté"),Data!R499,"")</f>
        <v/>
      </c>
      <c r="F487" s="1037">
        <f>IF(AND(Data!R499&lt;&gt;"",Data!L499="Accepté"),Data!S499,"")</f>
        <v/>
      </c>
      <c r="G487" s="1038">
        <f>IF(Data!R499='Delivery Plan'!E487,Data!U499,"")</f>
        <v/>
      </c>
      <c r="H487" s="327" t="n"/>
      <c r="I487" s="329">
        <f>IF(J487&lt;&gt;"","S"&amp;TEXT(WEEKNUM(J487),"00"),"")</f>
        <v/>
      </c>
      <c r="J487" s="330">
        <f>IF(AND(E487=Data!R492,Data!AA492&lt;&gt;""),Data!AA492,"")</f>
        <v/>
      </c>
      <c r="K487" s="751">
        <f>IF(AND(E487=Data!R492,Data!AE492&lt;&gt;""),Data!AE492,"")</f>
        <v/>
      </c>
      <c r="L487" s="1039">
        <f>IF(E487=Data!R499,Data!AI499,"")</f>
        <v/>
      </c>
      <c r="M487" s="1039">
        <f>IF(E487=Data!R499,Data!AJ499,"")</f>
        <v/>
      </c>
      <c r="N487">
        <f>IF(AND(Data!R499&lt;&gt;"",Data!L499="Accepté"),Data!K499,"")</f>
        <v/>
      </c>
    </row>
    <row r="488" hidden="1" s="701">
      <c r="A488" s="164">
        <f>IF(AND(Data!R500&lt;&gt;"",Data!L500="Accepté"),Data!G500,"")</f>
        <v/>
      </c>
      <c r="B488" s="164">
        <f>IF(AND(Data!R500&lt;&gt;"",Data!L500="Accepté"),Data!L500,"")</f>
        <v/>
      </c>
      <c r="C488" s="329">
        <f>IF(D488&lt;&gt;"","S"&amp;TEXT(WEEKNUM(D488),"00"),"")</f>
        <v/>
      </c>
      <c r="D488" s="330">
        <f>IF(AND(Data!Q500&lt;&gt;"",Data!L500="Accepté"),Data!Q500,"")</f>
        <v/>
      </c>
      <c r="E488" s="106">
        <f>IF(AND(Data!R500&lt;&gt;"",Data!L500="Accepté"),Data!R500,"")</f>
        <v/>
      </c>
      <c r="F488" s="1037">
        <f>IF(AND(Data!R500&lt;&gt;"",Data!L500="Accepté"),Data!S500,"")</f>
        <v/>
      </c>
      <c r="G488" s="1038">
        <f>IF(Data!R500='Delivery Plan'!E488,Data!U500,"")</f>
        <v/>
      </c>
      <c r="H488" s="327" t="n"/>
      <c r="I488" s="329">
        <f>IF(J488&lt;&gt;"","S"&amp;TEXT(WEEKNUM(J488),"00"),"")</f>
        <v/>
      </c>
      <c r="J488" s="330">
        <f>IF(AND(E488=Data!R493,Data!AA493&lt;&gt;""),Data!AA493,"")</f>
        <v/>
      </c>
      <c r="K488" s="751">
        <f>IF(AND(E488=Data!R493,Data!AE493&lt;&gt;""),Data!AE493,"")</f>
        <v/>
      </c>
      <c r="L488" s="1039">
        <f>IF(E488=Data!R500,Data!AI500,"")</f>
        <v/>
      </c>
      <c r="M488" s="1039">
        <f>IF(E488=Data!R500,Data!AJ500,"")</f>
        <v/>
      </c>
      <c r="N488">
        <f>IF(AND(Data!R500&lt;&gt;"",Data!L500="Accepté"),Data!K500,"")</f>
        <v/>
      </c>
    </row>
    <row r="489" hidden="1" s="701">
      <c r="A489" s="164">
        <f>IF(AND(Data!R501&lt;&gt;"",Data!L501="Accepté"),Data!G501,"")</f>
        <v/>
      </c>
      <c r="B489" s="164">
        <f>IF(AND(Data!R501&lt;&gt;"",Data!L501="Accepté"),Data!L501,"")</f>
        <v/>
      </c>
      <c r="C489" s="329">
        <f>IF(D489&lt;&gt;"","S"&amp;TEXT(WEEKNUM(D489),"00"),"")</f>
        <v/>
      </c>
      <c r="D489" s="330">
        <f>IF(AND(Data!Q501&lt;&gt;"",Data!L501="Accepté"),Data!Q501,"")</f>
        <v/>
      </c>
      <c r="E489" s="106">
        <f>IF(AND(Data!R501&lt;&gt;"",Data!L501="Accepté"),Data!R501,"")</f>
        <v/>
      </c>
      <c r="F489" s="1037">
        <f>IF(AND(Data!R501&lt;&gt;"",Data!L501="Accepté"),Data!S501,"")</f>
        <v/>
      </c>
      <c r="G489" s="1038">
        <f>IF(Data!R501='Delivery Plan'!E489,Data!U501,"")</f>
        <v/>
      </c>
      <c r="H489" s="327" t="n"/>
      <c r="I489" s="329">
        <f>IF(J489&lt;&gt;"","S"&amp;TEXT(WEEKNUM(J489),"00"),"")</f>
        <v/>
      </c>
      <c r="J489" s="330">
        <f>IF(AND(E489=Data!R494,Data!AA494&lt;&gt;""),Data!AA494,"")</f>
        <v/>
      </c>
      <c r="K489" s="751">
        <f>IF(AND(E489=Data!R494,Data!AE494&lt;&gt;""),Data!AE494,"")</f>
        <v/>
      </c>
      <c r="L489" s="1039">
        <f>IF(E489=Data!R501,Data!AI501,"")</f>
        <v/>
      </c>
      <c r="M489" s="1039">
        <f>IF(E489=Data!R501,Data!AJ501,"")</f>
        <v/>
      </c>
      <c r="N489">
        <f>IF(AND(Data!R501&lt;&gt;"",Data!L501="Accepté"),Data!K501,"")</f>
        <v/>
      </c>
    </row>
    <row r="490" hidden="1" s="701">
      <c r="A490" s="164">
        <f>IF(AND(Data!R502&lt;&gt;"",Data!L502="Accepté"),Data!G502,"")</f>
        <v/>
      </c>
      <c r="B490" s="164">
        <f>IF(AND(Data!R502&lt;&gt;"",Data!L502="Accepté"),Data!L502,"")</f>
        <v/>
      </c>
      <c r="C490" s="329">
        <f>IF(D490&lt;&gt;"","S"&amp;TEXT(WEEKNUM(D490),"00"),"")</f>
        <v/>
      </c>
      <c r="D490" s="330">
        <f>IF(AND(Data!Q502&lt;&gt;"",Data!L502="Accepté"),Data!Q502,"")</f>
        <v/>
      </c>
      <c r="E490" s="106">
        <f>IF(AND(Data!R502&lt;&gt;"",Data!L502="Accepté"),Data!R502,"")</f>
        <v/>
      </c>
      <c r="F490" s="1037">
        <f>IF(AND(Data!R502&lt;&gt;"",Data!L502="Accepté"),Data!S502,"")</f>
        <v/>
      </c>
      <c r="G490" s="1038">
        <f>IF(Data!R502='Delivery Plan'!E490,Data!U502,"")</f>
        <v/>
      </c>
      <c r="H490" s="327" t="n"/>
      <c r="I490" s="329">
        <f>IF(J490&lt;&gt;"","S"&amp;TEXT(WEEKNUM(J490),"00"),"")</f>
        <v/>
      </c>
      <c r="J490" s="330">
        <f>IF(AND(E490=Data!R495,Data!AA495&lt;&gt;""),Data!AA495,"")</f>
        <v/>
      </c>
      <c r="K490" s="751">
        <f>IF(AND(E490=Data!R495,Data!AE495&lt;&gt;""),Data!AE495,"")</f>
        <v/>
      </c>
      <c r="L490" s="1039">
        <f>IF(E490=Data!R502,Data!AI502,"")</f>
        <v/>
      </c>
      <c r="M490" s="1039">
        <f>IF(E490=Data!R502,Data!AJ502,"")</f>
        <v/>
      </c>
      <c r="N490">
        <f>IF(AND(Data!R502&lt;&gt;"",Data!L502="Accepté"),Data!K502,"")</f>
        <v/>
      </c>
    </row>
    <row r="491" hidden="1" s="701">
      <c r="A491" s="164">
        <f>IF(AND(Data!R503&lt;&gt;"",Data!L503="Accepté"),Data!G503,"")</f>
        <v/>
      </c>
      <c r="B491" s="164">
        <f>IF(AND(Data!R503&lt;&gt;"",Data!L503="Accepté"),Data!L503,"")</f>
        <v/>
      </c>
      <c r="C491" s="329">
        <f>IF(D491&lt;&gt;"","S"&amp;TEXT(WEEKNUM(D491),"00"),"")</f>
        <v/>
      </c>
      <c r="D491" s="330">
        <f>IF(AND(Data!Q503&lt;&gt;"",Data!L503="Accepté"),Data!Q503,"")</f>
        <v/>
      </c>
      <c r="E491" s="106">
        <f>IF(AND(Data!R503&lt;&gt;"",Data!L503="Accepté"),Data!R503,"")</f>
        <v/>
      </c>
      <c r="F491" s="1037">
        <f>IF(AND(Data!R503&lt;&gt;"",Data!L503="Accepté"),Data!S503,"")</f>
        <v/>
      </c>
      <c r="G491" s="1038">
        <f>IF(Data!R503='Delivery Plan'!E491,Data!U503,"")</f>
        <v/>
      </c>
      <c r="H491" s="327" t="n"/>
      <c r="I491" s="329">
        <f>IF(J491&lt;&gt;"","S"&amp;TEXT(WEEKNUM(J491),"00"),"")</f>
        <v/>
      </c>
      <c r="J491" s="330">
        <f>IF(AND(E491=Data!R496,Data!AA496&lt;&gt;""),Data!AA496,"")</f>
        <v/>
      </c>
      <c r="K491" s="751">
        <f>IF(AND(E491=Data!R496,Data!AE496&lt;&gt;""),Data!AE496,"")</f>
        <v/>
      </c>
      <c r="L491" s="1039">
        <f>IF(E491=Data!R503,Data!AI503,"")</f>
        <v/>
      </c>
      <c r="M491" s="1039">
        <f>IF(E491=Data!R503,Data!AJ503,"")</f>
        <v/>
      </c>
      <c r="N491">
        <f>IF(AND(Data!R503&lt;&gt;"",Data!L503="Accepté"),Data!K503,"")</f>
        <v/>
      </c>
    </row>
    <row r="492" hidden="1" s="701">
      <c r="A492" s="164">
        <f>IF(AND(Data!R504&lt;&gt;"",Data!L504="Accepté"),Data!G504,"")</f>
        <v/>
      </c>
      <c r="B492" s="164">
        <f>IF(AND(Data!R504&lt;&gt;"",Data!L504="Accepté"),Data!L504,"")</f>
        <v/>
      </c>
      <c r="C492" s="329">
        <f>IF(D492&lt;&gt;"","S"&amp;TEXT(WEEKNUM(D492),"00"),"")</f>
        <v/>
      </c>
      <c r="D492" s="330">
        <f>IF(AND(Data!Q504&lt;&gt;"",Data!L504="Accepté"),Data!Q504,"")</f>
        <v/>
      </c>
      <c r="E492" s="106">
        <f>IF(AND(Data!R504&lt;&gt;"",Data!L504="Accepté"),Data!R504,"")</f>
        <v/>
      </c>
      <c r="F492" s="1037">
        <f>IF(AND(Data!R504&lt;&gt;"",Data!L504="Accepté"),Data!S504,"")</f>
        <v/>
      </c>
      <c r="G492" s="1038">
        <f>IF(Data!R504='Delivery Plan'!E492,Data!U504,"")</f>
        <v/>
      </c>
      <c r="H492" s="327" t="n"/>
      <c r="I492" s="329">
        <f>IF(J492&lt;&gt;"","S"&amp;TEXT(WEEKNUM(J492),"00"),"")</f>
        <v/>
      </c>
      <c r="J492" s="330">
        <f>IF(AND(E492=Data!R497,Data!AA497&lt;&gt;""),Data!AA497,"")</f>
        <v/>
      </c>
      <c r="K492" s="751">
        <f>IF(AND(E492=Data!R497,Data!AE497&lt;&gt;""),Data!AE497,"")</f>
        <v/>
      </c>
      <c r="L492" s="1039">
        <f>IF(E492=Data!R504,Data!AI504,"")</f>
        <v/>
      </c>
      <c r="M492" s="1039">
        <f>IF(E492=Data!R504,Data!AJ504,"")</f>
        <v/>
      </c>
      <c r="N492">
        <f>IF(AND(Data!R504&lt;&gt;"",Data!L504="Accepté"),Data!K504,"")</f>
        <v/>
      </c>
    </row>
    <row r="493" hidden="1" s="701">
      <c r="A493" s="164">
        <f>IF(AND(Data!R505&lt;&gt;"",Data!L505="Accepté"),Data!G505,"")</f>
        <v/>
      </c>
      <c r="B493" s="164">
        <f>IF(AND(Data!R505&lt;&gt;"",Data!L505="Accepté"),Data!L505,"")</f>
        <v/>
      </c>
      <c r="C493" s="329">
        <f>IF(D493&lt;&gt;"","S"&amp;TEXT(WEEKNUM(D493),"00"),"")</f>
        <v/>
      </c>
      <c r="D493" s="330">
        <f>IF(AND(Data!Q505&lt;&gt;"",Data!L505="Accepté"),Data!Q505,"")</f>
        <v/>
      </c>
      <c r="E493" s="106">
        <f>IF(AND(Data!R505&lt;&gt;"",Data!L505="Accepté"),Data!R505,"")</f>
        <v/>
      </c>
      <c r="F493" s="1037">
        <f>IF(AND(Data!R505&lt;&gt;"",Data!L505="Accepté"),Data!S505,"")</f>
        <v/>
      </c>
      <c r="G493" s="1038">
        <f>IF(Data!R505='Delivery Plan'!E493,Data!U505,"")</f>
        <v/>
      </c>
      <c r="H493" s="327" t="n"/>
      <c r="I493" s="329">
        <f>IF(J493&lt;&gt;"","S"&amp;TEXT(WEEKNUM(J493),"00"),"")</f>
        <v/>
      </c>
      <c r="J493" s="330">
        <f>IF(AND(E493=Data!R498,Data!AA498&lt;&gt;""),Data!AA498,"")</f>
        <v/>
      </c>
      <c r="K493" s="751">
        <f>IF(AND(E493=Data!R498,Data!AE498&lt;&gt;""),Data!AE498,"")</f>
        <v/>
      </c>
      <c r="L493" s="1039">
        <f>IF(E493=Data!R505,Data!AI505,"")</f>
        <v/>
      </c>
      <c r="M493" s="1039">
        <f>IF(E493=Data!R505,Data!AJ505,"")</f>
        <v/>
      </c>
      <c r="N493">
        <f>IF(AND(Data!R505&lt;&gt;"",Data!L505="Accepté"),Data!K505,"")</f>
        <v/>
      </c>
    </row>
    <row r="494" hidden="1" s="701">
      <c r="A494" s="164">
        <f>IF(AND(Data!R506&lt;&gt;"",Data!L506="Accepté"),Data!G506,"")</f>
        <v/>
      </c>
      <c r="B494" s="164">
        <f>IF(AND(Data!R506&lt;&gt;"",Data!L506="Accepté"),Data!L506,"")</f>
        <v/>
      </c>
      <c r="C494" s="329">
        <f>IF(D494&lt;&gt;"","S"&amp;TEXT(WEEKNUM(D494),"00"),"")</f>
        <v/>
      </c>
      <c r="D494" s="330">
        <f>IF(AND(Data!Q506&lt;&gt;"",Data!L506="Accepté"),Data!Q506,"")</f>
        <v/>
      </c>
      <c r="E494" s="106">
        <f>IF(AND(Data!R506&lt;&gt;"",Data!L506="Accepté"),Data!R506,"")</f>
        <v/>
      </c>
      <c r="F494" s="1037">
        <f>IF(AND(Data!R506&lt;&gt;"",Data!L506="Accepté"),Data!S506,"")</f>
        <v/>
      </c>
      <c r="G494" s="1038">
        <f>IF(Data!R506='Delivery Plan'!E494,Data!U506,"")</f>
        <v/>
      </c>
      <c r="H494" s="327" t="n"/>
      <c r="I494" s="329">
        <f>IF(J494&lt;&gt;"","S"&amp;TEXT(WEEKNUM(J494),"00"),"")</f>
        <v/>
      </c>
      <c r="J494" s="330">
        <f>IF(AND(E494=Data!R499,Data!AA499&lt;&gt;""),Data!AA499,"")</f>
        <v/>
      </c>
      <c r="K494" s="751">
        <f>IF(AND(E494=Data!R499,Data!AE499&lt;&gt;""),Data!AE499,"")</f>
        <v/>
      </c>
      <c r="L494" s="1039">
        <f>IF(E494=Data!R506,Data!AI506,"")</f>
        <v/>
      </c>
      <c r="M494" s="1039">
        <f>IF(E494=Data!R506,Data!AJ506,"")</f>
        <v/>
      </c>
      <c r="N494">
        <f>IF(AND(Data!R506&lt;&gt;"",Data!L506="Accepté"),Data!K506,"")</f>
        <v/>
      </c>
    </row>
    <row r="495" hidden="1" s="701">
      <c r="A495" s="164">
        <f>IF(AND(Data!R507&lt;&gt;"",Data!L507="Accepté"),Data!G507,"")</f>
        <v/>
      </c>
      <c r="B495" s="164">
        <f>IF(AND(Data!R507&lt;&gt;"",Data!L507="Accepté"),Data!L507,"")</f>
        <v/>
      </c>
      <c r="C495" s="329">
        <f>IF(D495&lt;&gt;"","S"&amp;TEXT(WEEKNUM(D495),"00"),"")</f>
        <v/>
      </c>
      <c r="D495" s="330">
        <f>IF(AND(Data!Q507&lt;&gt;"",Data!L507="Accepté"),Data!Q507,"")</f>
        <v/>
      </c>
      <c r="E495" s="106">
        <f>IF(AND(Data!R507&lt;&gt;"",Data!L507="Accepté"),Data!R507,"")</f>
        <v/>
      </c>
      <c r="F495" s="1037">
        <f>IF(AND(Data!R507&lt;&gt;"",Data!L507="Accepté"),Data!S507,"")</f>
        <v/>
      </c>
      <c r="G495" s="1038">
        <f>IF(Data!R507='Delivery Plan'!E495,Data!U507,"")</f>
        <v/>
      </c>
      <c r="H495" s="327" t="n"/>
      <c r="I495" s="329">
        <f>IF(J495&lt;&gt;"","S"&amp;TEXT(WEEKNUM(J495),"00"),"")</f>
        <v/>
      </c>
      <c r="J495" s="330">
        <f>IF(AND(E495=Data!R500,Data!AA500&lt;&gt;""),Data!AA500,"")</f>
        <v/>
      </c>
      <c r="K495" s="751">
        <f>IF(AND(E495=Data!R500,Data!AE500&lt;&gt;""),Data!AE500,"")</f>
        <v/>
      </c>
      <c r="L495" s="1039">
        <f>IF(E495=Data!R507,Data!AI507,"")</f>
        <v/>
      </c>
      <c r="M495" s="1039">
        <f>IF(E495=Data!R507,Data!AJ507,"")</f>
        <v/>
      </c>
      <c r="N495">
        <f>IF(AND(Data!R507&lt;&gt;"",Data!L507="Accepté"),Data!K507,"")</f>
        <v/>
      </c>
    </row>
    <row r="496" hidden="1" s="701">
      <c r="A496" s="164">
        <f>IF(AND(Data!R508&lt;&gt;"",Data!L508="Accepté"),Data!G508,"")</f>
        <v/>
      </c>
      <c r="B496" s="164">
        <f>IF(AND(Data!R508&lt;&gt;"",Data!L508="Accepté"),Data!L508,"")</f>
        <v/>
      </c>
      <c r="C496" s="329">
        <f>IF(D496&lt;&gt;"","S"&amp;TEXT(WEEKNUM(D496),"00"),"")</f>
        <v/>
      </c>
      <c r="D496" s="330">
        <f>IF(AND(Data!Q508&lt;&gt;"",Data!L508="Accepté"),Data!Q508,"")</f>
        <v/>
      </c>
      <c r="E496" s="106">
        <f>IF(AND(Data!R508&lt;&gt;"",Data!L508="Accepté"),Data!R508,"")</f>
        <v/>
      </c>
      <c r="F496" s="1037">
        <f>IF(AND(Data!R508&lt;&gt;"",Data!L508="Accepté"),Data!S508,"")</f>
        <v/>
      </c>
      <c r="G496" s="1038">
        <f>IF(Data!R508='Delivery Plan'!E496,Data!U508,"")</f>
        <v/>
      </c>
      <c r="H496" s="327" t="n"/>
      <c r="I496" s="329">
        <f>IF(J496&lt;&gt;"","S"&amp;TEXT(WEEKNUM(J496),"00"),"")</f>
        <v/>
      </c>
      <c r="J496" s="330">
        <f>IF(AND(E496=Data!R501,Data!AA501&lt;&gt;""),Data!AA501,"")</f>
        <v/>
      </c>
      <c r="K496" s="751">
        <f>IF(AND(E496=Data!R501,Data!AE501&lt;&gt;""),Data!AE501,"")</f>
        <v/>
      </c>
      <c r="L496" s="1039">
        <f>IF(E496=Data!R508,Data!AI508,"")</f>
        <v/>
      </c>
      <c r="M496" s="1039">
        <f>IF(E496=Data!R508,Data!AJ508,"")</f>
        <v/>
      </c>
      <c r="N496">
        <f>IF(AND(Data!R508&lt;&gt;"",Data!L508="Accepté"),Data!K508,"")</f>
        <v/>
      </c>
    </row>
    <row r="497" hidden="1" s="701">
      <c r="A497" s="164">
        <f>IF(AND(Data!R509&lt;&gt;"",Data!L509="Accepté"),Data!G509,"")</f>
        <v/>
      </c>
      <c r="B497" s="164">
        <f>IF(AND(Data!R509&lt;&gt;"",Data!L509="Accepté"),Data!L509,"")</f>
        <v/>
      </c>
      <c r="C497" s="329">
        <f>IF(D497&lt;&gt;"","S"&amp;TEXT(WEEKNUM(D497),"00"),"")</f>
        <v/>
      </c>
      <c r="D497" s="330">
        <f>IF(AND(Data!Q509&lt;&gt;"",Data!L509="Accepté"),Data!Q509,"")</f>
        <v/>
      </c>
      <c r="E497" s="106">
        <f>IF(AND(Data!R509&lt;&gt;"",Data!L509="Accepté"),Data!R509,"")</f>
        <v/>
      </c>
      <c r="F497" s="1037">
        <f>IF(AND(Data!R509&lt;&gt;"",Data!L509="Accepté"),Data!S509,"")</f>
        <v/>
      </c>
      <c r="G497" s="1038">
        <f>IF(Data!R509='Delivery Plan'!E497,Data!U509,"")</f>
        <v/>
      </c>
      <c r="H497" s="327" t="n"/>
      <c r="I497" s="329">
        <f>IF(J497&lt;&gt;"","S"&amp;TEXT(WEEKNUM(J497),"00"),"")</f>
        <v/>
      </c>
      <c r="J497" s="330">
        <f>IF(AND(E497=Data!R502,Data!AA502&lt;&gt;""),Data!AA502,"")</f>
        <v/>
      </c>
      <c r="K497" s="751">
        <f>IF(AND(E497=Data!R502,Data!AE502&lt;&gt;""),Data!AE502,"")</f>
        <v/>
      </c>
      <c r="L497" s="1039">
        <f>IF(E497=Data!R509,Data!AI509,"")</f>
        <v/>
      </c>
      <c r="M497" s="1039">
        <f>IF(E497=Data!R509,Data!AJ509,"")</f>
        <v/>
      </c>
      <c r="N497">
        <f>IF(AND(Data!R509&lt;&gt;"",Data!L509="Accepté"),Data!K509,"")</f>
        <v/>
      </c>
    </row>
    <row r="498" hidden="1" s="701">
      <c r="A498" s="164">
        <f>IF(AND(Data!R510&lt;&gt;"",Data!L510="Accepté"),Data!G510,"")</f>
        <v/>
      </c>
      <c r="B498" s="164">
        <f>IF(AND(Data!R510&lt;&gt;"",Data!L510="Accepté"),Data!L510,"")</f>
        <v/>
      </c>
      <c r="C498" s="329">
        <f>IF(D498&lt;&gt;"","S"&amp;TEXT(WEEKNUM(D498),"00"),"")</f>
        <v/>
      </c>
      <c r="D498" s="330">
        <f>IF(AND(Data!Q510&lt;&gt;"",Data!L510="Accepté"),Data!Q510,"")</f>
        <v/>
      </c>
      <c r="E498" s="106">
        <f>IF(AND(Data!R510&lt;&gt;"",Data!L510="Accepté"),Data!R510,"")</f>
        <v/>
      </c>
      <c r="F498" s="1037">
        <f>IF(AND(Data!R510&lt;&gt;"",Data!L510="Accepté"),Data!S510,"")</f>
        <v/>
      </c>
      <c r="G498" s="1038">
        <f>IF(Data!R510='Delivery Plan'!E498,Data!U510,"")</f>
        <v/>
      </c>
      <c r="H498" s="327" t="n"/>
      <c r="I498" s="329">
        <f>IF(J498&lt;&gt;"","S"&amp;TEXT(WEEKNUM(J498),"00"),"")</f>
        <v/>
      </c>
      <c r="J498" s="330">
        <f>IF(AND(E498=Data!R503,Data!AA503&lt;&gt;""),Data!AA503,"")</f>
        <v/>
      </c>
      <c r="K498" s="751">
        <f>IF(AND(E498=Data!R503,Data!AE503&lt;&gt;""),Data!AE503,"")</f>
        <v/>
      </c>
      <c r="L498" s="1039">
        <f>IF(E498=Data!R510,Data!AI510,"")</f>
        <v/>
      </c>
      <c r="M498" s="1039">
        <f>IF(E498=Data!R510,Data!AJ510,"")</f>
        <v/>
      </c>
      <c r="N498">
        <f>IF(AND(Data!R510&lt;&gt;"",Data!L510="Accepté"),Data!K510,"")</f>
        <v/>
      </c>
    </row>
    <row r="499" hidden="1" s="701">
      <c r="A499" s="164">
        <f>IF(AND(Data!R511&lt;&gt;"",Data!L511="Accepté"),Data!G511,"")</f>
        <v/>
      </c>
      <c r="B499" s="164">
        <f>IF(AND(Data!R511&lt;&gt;"",Data!L511="Accepté"),Data!L511,"")</f>
        <v/>
      </c>
      <c r="C499" s="329">
        <f>IF(D499&lt;&gt;"","S"&amp;TEXT(WEEKNUM(D499),"00"),"")</f>
        <v/>
      </c>
      <c r="D499" s="330">
        <f>IF(AND(Data!Q511&lt;&gt;"",Data!L511="Accepté"),Data!Q511,"")</f>
        <v/>
      </c>
      <c r="E499" s="106">
        <f>IF(AND(Data!R511&lt;&gt;"",Data!L511="Accepté"),Data!R511,"")</f>
        <v/>
      </c>
      <c r="F499" s="1037">
        <f>IF(AND(Data!R511&lt;&gt;"",Data!L511="Accepté"),Data!S511,"")</f>
        <v/>
      </c>
      <c r="G499" s="1038">
        <f>IF(Data!R511='Delivery Plan'!E499,Data!U511,"")</f>
        <v/>
      </c>
      <c r="H499" s="327" t="n"/>
      <c r="I499" s="329">
        <f>IF(J499&lt;&gt;"","S"&amp;TEXT(WEEKNUM(J499),"00"),"")</f>
        <v/>
      </c>
      <c r="J499" s="330">
        <f>IF(AND(E499=Data!R504,Data!AA504&lt;&gt;""),Data!AA504,"")</f>
        <v/>
      </c>
      <c r="K499" s="751">
        <f>IF(AND(E499=Data!R504,Data!AE504&lt;&gt;""),Data!AE504,"")</f>
        <v/>
      </c>
      <c r="L499" s="1039">
        <f>IF(E499=Data!R511,Data!AI511,"")</f>
        <v/>
      </c>
      <c r="M499" s="1039">
        <f>IF(E499=Data!R511,Data!AJ511,"")</f>
        <v/>
      </c>
      <c r="N499">
        <f>IF(AND(Data!R511&lt;&gt;"",Data!L511="Accepté"),Data!K511,"")</f>
        <v/>
      </c>
    </row>
    <row r="500" hidden="1" s="701">
      <c r="A500" s="164">
        <f>IF(AND(Data!R512&lt;&gt;"",Data!L512="Accepté"),Data!G512,"")</f>
        <v/>
      </c>
      <c r="B500" s="164">
        <f>IF(AND(Data!R512&lt;&gt;"",Data!L512="Accepté"),Data!L512,"")</f>
        <v/>
      </c>
      <c r="C500" s="329">
        <f>IF(D500&lt;&gt;"","S"&amp;TEXT(WEEKNUM(D500),"00"),"")</f>
        <v/>
      </c>
      <c r="D500" s="330">
        <f>IF(AND(Data!Q512&lt;&gt;"",Data!L512="Accepté"),Data!Q512,"")</f>
        <v/>
      </c>
      <c r="E500" s="106">
        <f>IF(AND(Data!R512&lt;&gt;"",Data!L512="Accepté"),Data!R512,"")</f>
        <v/>
      </c>
      <c r="F500" s="1037">
        <f>IF(AND(Data!R512&lt;&gt;"",Data!L512="Accepté"),Data!S512,"")</f>
        <v/>
      </c>
      <c r="G500" s="1038">
        <f>IF(Data!R512='Delivery Plan'!E500,Data!U512,"")</f>
        <v/>
      </c>
      <c r="H500" s="327" t="n"/>
      <c r="I500" s="329">
        <f>IF(J500&lt;&gt;"","S"&amp;TEXT(WEEKNUM(J500),"00"),"")</f>
        <v/>
      </c>
      <c r="J500" s="330">
        <f>IF(AND(E500=Data!R505,Data!AA505&lt;&gt;""),Data!AA505,"")</f>
        <v/>
      </c>
      <c r="K500" s="751">
        <f>IF(AND(E500=Data!R505,Data!AE505&lt;&gt;""),Data!AE505,"")</f>
        <v/>
      </c>
      <c r="L500" s="1039">
        <f>IF(E500=Data!R512,Data!AI512,"")</f>
        <v/>
      </c>
      <c r="M500" s="1039">
        <f>IF(E500=Data!R512,Data!AJ512,"")</f>
        <v/>
      </c>
      <c r="N500">
        <f>IF(AND(Data!R512&lt;&gt;"",Data!L512="Accepté"),Data!K512,"")</f>
        <v/>
      </c>
    </row>
    <row r="501" hidden="1" s="701">
      <c r="A501" s="164">
        <f>IF(AND(Data!R513&lt;&gt;"",Data!L513="Accepté"),Data!G513,"")</f>
        <v/>
      </c>
      <c r="B501" s="164">
        <f>IF(AND(Data!R513&lt;&gt;"",Data!L513="Accepté"),Data!L513,"")</f>
        <v/>
      </c>
      <c r="C501" s="329">
        <f>IF(D501&lt;&gt;"","S"&amp;TEXT(WEEKNUM(D501),"00"),"")</f>
        <v/>
      </c>
      <c r="D501" s="330">
        <f>IF(AND(Data!Q513&lt;&gt;"",Data!L513="Accepté"),Data!Q513,"")</f>
        <v/>
      </c>
      <c r="E501" s="106">
        <f>IF(AND(Data!R513&lt;&gt;"",Data!L513="Accepté"),Data!R513,"")</f>
        <v/>
      </c>
      <c r="F501" s="1037">
        <f>IF(AND(Data!R513&lt;&gt;"",Data!L513="Accepté"),Data!S513,"")</f>
        <v/>
      </c>
      <c r="G501" s="1038">
        <f>IF(Data!R513='Delivery Plan'!E501,Data!U513,"")</f>
        <v/>
      </c>
      <c r="H501" s="327" t="n"/>
      <c r="I501" s="329">
        <f>IF(J501&lt;&gt;"","S"&amp;TEXT(WEEKNUM(J501),"00"),"")</f>
        <v/>
      </c>
      <c r="J501" s="330">
        <f>IF(AND(E501=Data!R506,Data!AA506&lt;&gt;""),Data!AA506,"")</f>
        <v/>
      </c>
      <c r="K501" s="751">
        <f>IF(AND(E501=Data!R506,Data!AE506&lt;&gt;""),Data!AE506,"")</f>
        <v/>
      </c>
      <c r="L501" s="1039">
        <f>IF(E501=Data!R513,Data!AI513,"")</f>
        <v/>
      </c>
      <c r="M501" s="1039">
        <f>IF(E501=Data!R513,Data!AJ513,"")</f>
        <v/>
      </c>
      <c r="N501">
        <f>IF(AND(Data!R513&lt;&gt;"",Data!L513="Accepté"),Data!K513,"")</f>
        <v/>
      </c>
    </row>
    <row r="502" hidden="1" s="701">
      <c r="A502" s="164">
        <f>IF(AND(Data!R514&lt;&gt;"",Data!L514="Accepté"),Data!G514,"")</f>
        <v/>
      </c>
      <c r="B502" s="164">
        <f>IF(AND(Data!R514&lt;&gt;"",Data!L514="Accepté"),Data!L514,"")</f>
        <v/>
      </c>
      <c r="C502" s="329">
        <f>IF(D502&lt;&gt;"","S"&amp;TEXT(WEEKNUM(D502),"00"),"")</f>
        <v/>
      </c>
      <c r="D502" s="330">
        <f>IF(AND(Data!Q514&lt;&gt;"",Data!L514="Accepté"),Data!Q514,"")</f>
        <v/>
      </c>
      <c r="E502" s="106">
        <f>IF(AND(Data!R514&lt;&gt;"",Data!L514="Accepté"),Data!R514,"")</f>
        <v/>
      </c>
      <c r="F502" s="1037">
        <f>IF(AND(Data!R514&lt;&gt;"",Data!L514="Accepté"),Data!S514,"")</f>
        <v/>
      </c>
      <c r="G502" s="1038">
        <f>IF(Data!R514='Delivery Plan'!E502,Data!U514,"")</f>
        <v/>
      </c>
      <c r="H502" s="327" t="n"/>
      <c r="I502" s="329">
        <f>IF(J502&lt;&gt;"","S"&amp;TEXT(WEEKNUM(J502),"00"),"")</f>
        <v/>
      </c>
      <c r="J502" s="330">
        <f>IF(AND(E502=Data!R507,Data!AA507&lt;&gt;""),Data!AA507,"")</f>
        <v/>
      </c>
      <c r="K502" s="751">
        <f>IF(AND(E502=Data!R507,Data!AE507&lt;&gt;""),Data!AE507,"")</f>
        <v/>
      </c>
      <c r="L502" s="1039">
        <f>IF(E502=Data!R514,Data!AI514,"")</f>
        <v/>
      </c>
      <c r="M502" s="1039">
        <f>IF(E502=Data!R514,Data!AJ514,"")</f>
        <v/>
      </c>
      <c r="N502">
        <f>IF(AND(Data!R514&lt;&gt;"",Data!L514="Accepté"),Data!K514,"")</f>
        <v/>
      </c>
    </row>
    <row r="503" hidden="1" s="701">
      <c r="A503" s="164">
        <f>IF(AND(Data!R515&lt;&gt;"",Data!L515="Accepté"),Data!G515,"")</f>
        <v/>
      </c>
      <c r="B503" s="164">
        <f>IF(AND(Data!R515&lt;&gt;"",Data!L515="Accepté"),Data!L515,"")</f>
        <v/>
      </c>
      <c r="C503" s="329">
        <f>IF(D503&lt;&gt;"","S"&amp;TEXT(WEEKNUM(D503),"00"),"")</f>
        <v/>
      </c>
      <c r="D503" s="330">
        <f>IF(AND(Data!Q515&lt;&gt;"",Data!L515="Accepté"),Data!Q515,"")</f>
        <v/>
      </c>
      <c r="E503" s="106">
        <f>IF(AND(Data!R515&lt;&gt;"",Data!L515="Accepté"),Data!R515,"")</f>
        <v/>
      </c>
      <c r="F503" s="1037">
        <f>IF(AND(Data!R515&lt;&gt;"",Data!L515="Accepté"),Data!S515,"")</f>
        <v/>
      </c>
      <c r="G503" s="1038">
        <f>IF(Data!R515='Delivery Plan'!E503,Data!U515,"")</f>
        <v/>
      </c>
      <c r="H503" s="327" t="n"/>
      <c r="I503" s="329">
        <f>IF(J503&lt;&gt;"","S"&amp;TEXT(WEEKNUM(J503),"00"),"")</f>
        <v/>
      </c>
      <c r="J503" s="330">
        <f>IF(AND(E503=Data!R508,Data!AA508&lt;&gt;""),Data!AA508,"")</f>
        <v/>
      </c>
      <c r="K503" s="751">
        <f>IF(AND(E503=Data!R508,Data!AE508&lt;&gt;""),Data!AE508,"")</f>
        <v/>
      </c>
      <c r="L503" s="1039">
        <f>IF(E503=Data!R515,Data!AI515,"")</f>
        <v/>
      </c>
      <c r="M503" s="1039">
        <f>IF(E503=Data!R515,Data!AJ515,"")</f>
        <v/>
      </c>
      <c r="N503">
        <f>IF(AND(Data!R515&lt;&gt;"",Data!L515="Accepté"),Data!K515,"")</f>
        <v/>
      </c>
    </row>
    <row r="504" hidden="1" s="701">
      <c r="A504" s="164">
        <f>IF(AND(Data!R516&lt;&gt;"",Data!L516="Accepté"),Data!G516,"")</f>
        <v/>
      </c>
      <c r="B504" s="164">
        <f>IF(AND(Data!R516&lt;&gt;"",Data!L516="Accepté"),Data!L516,"")</f>
        <v/>
      </c>
      <c r="C504" s="329">
        <f>IF(D504&lt;&gt;"","S"&amp;TEXT(WEEKNUM(D504),"00"),"")</f>
        <v/>
      </c>
      <c r="D504" s="330">
        <f>IF(AND(Data!Q516&lt;&gt;"",Data!L516="Accepté"),Data!Q516,"")</f>
        <v/>
      </c>
      <c r="E504" s="106">
        <f>IF(AND(Data!R516&lt;&gt;"",Data!L516="Accepté"),Data!R516,"")</f>
        <v/>
      </c>
      <c r="F504" s="1037">
        <f>IF(AND(Data!R516&lt;&gt;"",Data!L516="Accepté"),Data!S516,"")</f>
        <v/>
      </c>
      <c r="G504" s="1038">
        <f>IF(Data!R516='Delivery Plan'!E504,Data!U516,"")</f>
        <v/>
      </c>
      <c r="H504" s="327" t="n"/>
      <c r="I504" s="329">
        <f>IF(J504&lt;&gt;"","S"&amp;TEXT(WEEKNUM(J504),"00"),"")</f>
        <v/>
      </c>
      <c r="J504" s="330">
        <f>IF(AND(E504=Data!R509,Data!AA509&lt;&gt;""),Data!AA509,"")</f>
        <v/>
      </c>
      <c r="K504" s="751">
        <f>IF(AND(E504=Data!R509,Data!AE509&lt;&gt;""),Data!AE509,"")</f>
        <v/>
      </c>
      <c r="L504" s="1039">
        <f>IF(E504=Data!R516,Data!AI516,"")</f>
        <v/>
      </c>
      <c r="M504" s="1039">
        <f>IF(E504=Data!R516,Data!AJ516,"")</f>
        <v/>
      </c>
      <c r="N504">
        <f>IF(AND(Data!R516&lt;&gt;"",Data!L516="Accepté"),Data!K516,"")</f>
        <v/>
      </c>
    </row>
    <row r="505" hidden="1" s="701">
      <c r="A505" s="164">
        <f>IF(AND(Data!R517&lt;&gt;"",Data!L517="Accepté"),Data!G517,"")</f>
        <v/>
      </c>
      <c r="B505" s="164">
        <f>IF(AND(Data!R517&lt;&gt;"",Data!L517="Accepté"),Data!L517,"")</f>
        <v/>
      </c>
      <c r="C505" s="329">
        <f>IF(D505&lt;&gt;"","S"&amp;TEXT(WEEKNUM(D505),"00"),"")</f>
        <v/>
      </c>
      <c r="D505" s="330">
        <f>IF(AND(Data!Q517&lt;&gt;"",Data!L517="Accepté"),Data!Q517,"")</f>
        <v/>
      </c>
      <c r="E505" s="106">
        <f>IF(AND(Data!R517&lt;&gt;"",Data!L517="Accepté"),Data!R517,"")</f>
        <v/>
      </c>
      <c r="F505" s="1037">
        <f>IF(AND(Data!R517&lt;&gt;"",Data!L517="Accepté"),Data!S517,"")</f>
        <v/>
      </c>
      <c r="G505" s="1038">
        <f>IF(Data!R517='Delivery Plan'!E505,Data!U517,"")</f>
        <v/>
      </c>
      <c r="H505" s="327" t="n"/>
      <c r="I505" s="329">
        <f>IF(J505&lt;&gt;"","S"&amp;TEXT(WEEKNUM(J505),"00"),"")</f>
        <v/>
      </c>
      <c r="J505" s="330">
        <f>IF(AND(E505=Data!R510,Data!AA510&lt;&gt;""),Data!AA510,"")</f>
        <v/>
      </c>
      <c r="K505" s="751">
        <f>IF(AND(E505=Data!R510,Data!AE510&lt;&gt;""),Data!AE510,"")</f>
        <v/>
      </c>
      <c r="L505" s="1039">
        <f>IF(E505=Data!R517,Data!AI517,"")</f>
        <v/>
      </c>
      <c r="M505" s="1039">
        <f>IF(E505=Data!R517,Data!AJ517,"")</f>
        <v/>
      </c>
      <c r="N505">
        <f>IF(AND(Data!R517&lt;&gt;"",Data!L517="Accepté"),Data!K517,"")</f>
        <v/>
      </c>
    </row>
    <row r="506" hidden="1" s="701">
      <c r="A506" s="164">
        <f>IF(AND(Data!R518&lt;&gt;"",Data!L518="Accepté"),Data!G518,"")</f>
        <v/>
      </c>
      <c r="B506" s="164">
        <f>IF(AND(Data!R518&lt;&gt;"",Data!L518="Accepté"),Data!L518,"")</f>
        <v/>
      </c>
      <c r="C506" s="329">
        <f>IF(D506&lt;&gt;"","S"&amp;TEXT(WEEKNUM(D506),"00"),"")</f>
        <v/>
      </c>
      <c r="D506" s="330">
        <f>IF(AND(Data!Q518&lt;&gt;"",Data!L518="Accepté"),Data!Q518,"")</f>
        <v/>
      </c>
      <c r="E506" s="106">
        <f>IF(AND(Data!R518&lt;&gt;"",Data!L518="Accepté"),Data!R518,"")</f>
        <v/>
      </c>
      <c r="F506" s="1037">
        <f>IF(AND(Data!R518&lt;&gt;"",Data!L518="Accepté"),Data!S518,"")</f>
        <v/>
      </c>
      <c r="G506" s="1038">
        <f>IF(Data!R518='Delivery Plan'!E506,Data!U518,"")</f>
        <v/>
      </c>
      <c r="H506" s="327" t="n"/>
      <c r="I506" s="329">
        <f>IF(J506&lt;&gt;"","S"&amp;TEXT(WEEKNUM(J506),"00"),"")</f>
        <v/>
      </c>
      <c r="J506" s="330">
        <f>IF(AND(E506=Data!R511,Data!AA511&lt;&gt;""),Data!AA511,"")</f>
        <v/>
      </c>
      <c r="K506" s="751">
        <f>IF(AND(E506=Data!R511,Data!AE511&lt;&gt;""),Data!AE511,"")</f>
        <v/>
      </c>
      <c r="L506" s="1039">
        <f>IF(E506=Data!R518,Data!AI518,"")</f>
        <v/>
      </c>
      <c r="M506" s="1039">
        <f>IF(E506=Data!R518,Data!AJ518,"")</f>
        <v/>
      </c>
      <c r="N506">
        <f>IF(AND(Data!R518&lt;&gt;"",Data!L518="Accepté"),Data!K518,"")</f>
        <v/>
      </c>
    </row>
    <row r="507" hidden="1" s="701">
      <c r="A507" s="164">
        <f>IF(AND(Data!R519&lt;&gt;"",Data!L519="Accepté"),Data!G519,"")</f>
        <v/>
      </c>
      <c r="B507" s="164">
        <f>IF(AND(Data!R519&lt;&gt;"",Data!L519="Accepté"),Data!L519,"")</f>
        <v/>
      </c>
      <c r="C507" s="329">
        <f>IF(D507&lt;&gt;"","S"&amp;TEXT(WEEKNUM(D507),"00"),"")</f>
        <v/>
      </c>
      <c r="D507" s="330">
        <f>IF(AND(Data!Q519&lt;&gt;"",Data!L519="Accepté"),Data!Q519,"")</f>
        <v/>
      </c>
      <c r="E507" s="106">
        <f>IF(AND(Data!R519&lt;&gt;"",Data!L519="Accepté"),Data!R519,"")</f>
        <v/>
      </c>
      <c r="F507" s="1037">
        <f>IF(AND(Data!R519&lt;&gt;"",Data!L519="Accepté"),Data!S519,"")</f>
        <v/>
      </c>
      <c r="G507" s="1038">
        <f>IF(Data!R519='Delivery Plan'!E507,Data!U519,"")</f>
        <v/>
      </c>
      <c r="H507" s="327" t="n"/>
      <c r="I507" s="329">
        <f>IF(J507&lt;&gt;"","S"&amp;TEXT(WEEKNUM(J507),"00"),"")</f>
        <v/>
      </c>
      <c r="J507" s="330">
        <f>IF(AND(E507=Data!R512,Data!AA512&lt;&gt;""),Data!AA512,"")</f>
        <v/>
      </c>
      <c r="K507" s="751">
        <f>IF(AND(E507=Data!R512,Data!AE512&lt;&gt;""),Data!AE512,"")</f>
        <v/>
      </c>
      <c r="L507" s="1039">
        <f>IF(E507=Data!R519,Data!AI519,"")</f>
        <v/>
      </c>
      <c r="M507" s="1039">
        <f>IF(E507=Data!R519,Data!AJ519,"")</f>
        <v/>
      </c>
      <c r="N507">
        <f>IF(AND(Data!R519&lt;&gt;"",Data!L519="Accepté"),Data!K519,"")</f>
        <v/>
      </c>
    </row>
    <row r="508" hidden="1" s="701">
      <c r="A508" s="164">
        <f>IF(AND(Data!R520&lt;&gt;"",Data!L520="Accepté"),Data!G520,"")</f>
        <v/>
      </c>
      <c r="B508" s="164">
        <f>IF(AND(Data!R520&lt;&gt;"",Data!L520="Accepté"),Data!L520,"")</f>
        <v/>
      </c>
      <c r="C508" s="329">
        <f>IF(D508&lt;&gt;"","S"&amp;TEXT(WEEKNUM(D508),"00"),"")</f>
        <v/>
      </c>
      <c r="D508" s="330">
        <f>IF(AND(Data!Q520&lt;&gt;"",Data!L520="Accepté"),Data!Q520,"")</f>
        <v/>
      </c>
      <c r="E508" s="106">
        <f>IF(AND(Data!R520&lt;&gt;"",Data!L520="Accepté"),Data!R520,"")</f>
        <v/>
      </c>
      <c r="F508" s="1037">
        <f>IF(AND(Data!R520&lt;&gt;"",Data!L520="Accepté"),Data!S520,"")</f>
        <v/>
      </c>
      <c r="G508" s="1038">
        <f>IF(Data!R520='Delivery Plan'!E508,Data!U520,"")</f>
        <v/>
      </c>
      <c r="H508" s="327" t="n"/>
      <c r="I508" s="329">
        <f>IF(J508&lt;&gt;"","S"&amp;TEXT(WEEKNUM(J508),"00"),"")</f>
        <v/>
      </c>
      <c r="J508" s="330">
        <f>IF(AND(E508=Data!R513,Data!AA513&lt;&gt;""),Data!AA513,"")</f>
        <v/>
      </c>
      <c r="K508" s="751">
        <f>IF(AND(E508=Data!R513,Data!AE513&lt;&gt;""),Data!AE513,"")</f>
        <v/>
      </c>
      <c r="L508" s="1039">
        <f>IF(E508=Data!R520,Data!AI520,"")</f>
        <v/>
      </c>
      <c r="M508" s="1039">
        <f>IF(E508=Data!R520,Data!AJ520,"")</f>
        <v/>
      </c>
      <c r="N508">
        <f>IF(AND(Data!R520&lt;&gt;"",Data!L520="Accepté"),Data!K520,"")</f>
        <v/>
      </c>
    </row>
    <row r="509" hidden="1" s="701">
      <c r="A509" s="164">
        <f>IF(AND(Data!R521&lt;&gt;"",Data!L521="Accepté"),Data!G521,"")</f>
        <v/>
      </c>
      <c r="B509" s="164">
        <f>IF(AND(Data!R521&lt;&gt;"",Data!L521="Accepté"),Data!L521,"")</f>
        <v/>
      </c>
      <c r="C509" s="329">
        <f>IF(D509&lt;&gt;"","S"&amp;TEXT(WEEKNUM(D509),"00"),"")</f>
        <v/>
      </c>
      <c r="D509" s="330">
        <f>IF(AND(Data!Q521&lt;&gt;"",Data!L521="Accepté"),Data!Q521,"")</f>
        <v/>
      </c>
      <c r="E509" s="106">
        <f>IF(AND(Data!R521&lt;&gt;"",Data!L521="Accepté"),Data!R521,"")</f>
        <v/>
      </c>
      <c r="F509" s="1037">
        <f>IF(AND(Data!R521&lt;&gt;"",Data!L521="Accepté"),Data!S521,"")</f>
        <v/>
      </c>
      <c r="G509" s="1038">
        <f>IF(Data!R521='Delivery Plan'!E509,Data!U521,"")</f>
        <v/>
      </c>
      <c r="H509" s="327" t="n"/>
      <c r="I509" s="329">
        <f>IF(J509&lt;&gt;"","S"&amp;TEXT(WEEKNUM(J509),"00"),"")</f>
        <v/>
      </c>
      <c r="J509" s="330">
        <f>IF(AND(E509=Data!R514,Data!AA514&lt;&gt;""),Data!AA514,"")</f>
        <v/>
      </c>
      <c r="K509" s="751">
        <f>IF(AND(E509=Data!R514,Data!AE514&lt;&gt;""),Data!AE514,"")</f>
        <v/>
      </c>
      <c r="L509" s="1039">
        <f>IF(E509=Data!R521,Data!AI521,"")</f>
        <v/>
      </c>
      <c r="M509" s="1039">
        <f>IF(E509=Data!R521,Data!AJ521,"")</f>
        <v/>
      </c>
      <c r="N509">
        <f>IF(AND(Data!R521&lt;&gt;"",Data!L521="Accepté"),Data!K521,"")</f>
        <v/>
      </c>
    </row>
    <row r="510" hidden="1" s="701">
      <c r="A510" s="164">
        <f>IF(AND(Data!R522&lt;&gt;"",Data!L522="Accepté"),Data!G522,"")</f>
        <v/>
      </c>
      <c r="B510" s="164">
        <f>IF(AND(Data!R522&lt;&gt;"",Data!L522="Accepté"),Data!L522,"")</f>
        <v/>
      </c>
      <c r="C510" s="329">
        <f>IF(D510&lt;&gt;"","S"&amp;TEXT(WEEKNUM(D510),"00"),"")</f>
        <v/>
      </c>
      <c r="D510" s="330">
        <f>IF(AND(Data!Q522&lt;&gt;"",Data!L522="Accepté"),Data!Q522,"")</f>
        <v/>
      </c>
      <c r="E510" s="106">
        <f>IF(AND(Data!R522&lt;&gt;"",Data!L522="Accepté"),Data!R522,"")</f>
        <v/>
      </c>
      <c r="F510" s="1037">
        <f>IF(AND(Data!R522&lt;&gt;"",Data!L522="Accepté"),Data!S522,"")</f>
        <v/>
      </c>
      <c r="G510" s="1038">
        <f>IF(Data!R522='Delivery Plan'!E510,Data!U522,"")</f>
        <v/>
      </c>
      <c r="H510" s="327" t="n"/>
      <c r="I510" s="329">
        <f>IF(J510&lt;&gt;"","S"&amp;TEXT(WEEKNUM(J510),"00"),"")</f>
        <v/>
      </c>
      <c r="J510" s="330">
        <f>IF(AND(E510=Data!R515,Data!AA515&lt;&gt;""),Data!AA515,"")</f>
        <v/>
      </c>
      <c r="K510" s="751">
        <f>IF(AND(E510=Data!R515,Data!AE515&lt;&gt;""),Data!AE515,"")</f>
        <v/>
      </c>
      <c r="L510" s="1039">
        <f>IF(E510=Data!R522,Data!AI522,"")</f>
        <v/>
      </c>
      <c r="M510" s="1039">
        <f>IF(E510=Data!R522,Data!AJ522,"")</f>
        <v/>
      </c>
      <c r="N510">
        <f>IF(AND(Data!R522&lt;&gt;"",Data!L522="Accepté"),Data!K522,"")</f>
        <v/>
      </c>
    </row>
    <row r="511" hidden="1" s="701">
      <c r="A511" s="164">
        <f>IF(AND(Data!R523&lt;&gt;"",Data!L523="Accepté"),Data!G523,"")</f>
        <v/>
      </c>
      <c r="B511" s="164">
        <f>IF(AND(Data!R523&lt;&gt;"",Data!L523="Accepté"),Data!L523,"")</f>
        <v/>
      </c>
      <c r="C511" s="329">
        <f>IF(D511&lt;&gt;"","S"&amp;TEXT(WEEKNUM(D511),"00"),"")</f>
        <v/>
      </c>
      <c r="D511" s="330">
        <f>IF(AND(Data!Q523&lt;&gt;"",Data!L523="Accepté"),Data!Q523,"")</f>
        <v/>
      </c>
      <c r="E511" s="106">
        <f>IF(AND(Data!R523&lt;&gt;"",Data!L523="Accepté"),Data!R523,"")</f>
        <v/>
      </c>
      <c r="F511" s="1037">
        <f>IF(AND(Data!R523&lt;&gt;"",Data!L523="Accepté"),Data!S523,"")</f>
        <v/>
      </c>
      <c r="G511" s="1038">
        <f>IF(Data!R523='Delivery Plan'!E511,Data!U523,"")</f>
        <v/>
      </c>
      <c r="H511" s="327" t="n"/>
      <c r="I511" s="329">
        <f>IF(J511&lt;&gt;"","S"&amp;TEXT(WEEKNUM(J511),"00"),"")</f>
        <v/>
      </c>
      <c r="J511" s="330">
        <f>IF(AND(E511=Data!R516,Data!AA516&lt;&gt;""),Data!AA516,"")</f>
        <v/>
      </c>
      <c r="K511" s="751">
        <f>IF(AND(E511=Data!R516,Data!AE516&lt;&gt;""),Data!AE516,"")</f>
        <v/>
      </c>
      <c r="L511" s="1039">
        <f>IF(E511=Data!R523,Data!AI523,"")</f>
        <v/>
      </c>
      <c r="M511" s="1039">
        <f>IF(E511=Data!R523,Data!AJ523,"")</f>
        <v/>
      </c>
      <c r="N511">
        <f>IF(AND(Data!R523&lt;&gt;"",Data!L523="Accepté"),Data!K523,"")</f>
        <v/>
      </c>
    </row>
    <row r="512" hidden="1" s="701">
      <c r="A512" s="164">
        <f>IF(AND(Data!R524&lt;&gt;"",Data!L524="Accepté"),Data!G524,"")</f>
        <v/>
      </c>
      <c r="B512" s="164">
        <f>IF(AND(Data!R524&lt;&gt;"",Data!L524="Accepté"),Data!L524,"")</f>
        <v/>
      </c>
      <c r="C512" s="329">
        <f>IF(D512&lt;&gt;"","S"&amp;TEXT(WEEKNUM(D512),"00"),"")</f>
        <v/>
      </c>
      <c r="D512" s="330">
        <f>IF(AND(Data!Q524&lt;&gt;"",Data!L524="Accepté"),Data!Q524,"")</f>
        <v/>
      </c>
      <c r="E512" s="106">
        <f>IF(AND(Data!R524&lt;&gt;"",Data!L524="Accepté"),Data!R524,"")</f>
        <v/>
      </c>
      <c r="F512" s="1037">
        <f>IF(AND(Data!R524&lt;&gt;"",Data!L524="Accepté"),Data!S524,"")</f>
        <v/>
      </c>
      <c r="G512" s="1038">
        <f>IF(Data!R524='Delivery Plan'!E512,Data!U524,"")</f>
        <v/>
      </c>
      <c r="H512" s="327" t="n"/>
      <c r="I512" s="329">
        <f>IF(J512&lt;&gt;"","S"&amp;TEXT(WEEKNUM(J512),"00"),"")</f>
        <v/>
      </c>
      <c r="J512" s="330">
        <f>IF(AND(E512=Data!R517,Data!AA517&lt;&gt;""),Data!AA517,"")</f>
        <v/>
      </c>
      <c r="K512" s="751">
        <f>IF(AND(E512=Data!R517,Data!AE517&lt;&gt;""),Data!AE517,"")</f>
        <v/>
      </c>
      <c r="L512" s="1039">
        <f>IF(E512=Data!R524,Data!AI524,"")</f>
        <v/>
      </c>
      <c r="M512" s="1039">
        <f>IF(E512=Data!R524,Data!AJ524,"")</f>
        <v/>
      </c>
      <c r="N512">
        <f>IF(AND(Data!R524&lt;&gt;"",Data!L524="Accepté"),Data!K524,"")</f>
        <v/>
      </c>
    </row>
    <row r="513" hidden="1" s="701">
      <c r="A513" s="164">
        <f>IF(AND(Data!R525&lt;&gt;"",Data!L525="Accepté"),Data!G525,"")</f>
        <v/>
      </c>
      <c r="B513" s="164">
        <f>IF(AND(Data!R525&lt;&gt;"",Data!L525="Accepté"),Data!L525,"")</f>
        <v/>
      </c>
      <c r="C513" s="329">
        <f>IF(D513&lt;&gt;"","S"&amp;TEXT(WEEKNUM(D513),"00"),"")</f>
        <v/>
      </c>
      <c r="D513" s="330">
        <f>IF(AND(Data!Q525&lt;&gt;"",Data!L525="Accepté"),Data!Q525,"")</f>
        <v/>
      </c>
      <c r="E513" s="106">
        <f>IF(AND(Data!R525&lt;&gt;"",Data!L525="Accepté"),Data!R525,"")</f>
        <v/>
      </c>
      <c r="F513" s="1037">
        <f>IF(AND(Data!R525&lt;&gt;"",Data!L525="Accepté"),Data!S525,"")</f>
        <v/>
      </c>
      <c r="G513" s="1038">
        <f>IF(Data!R525='Delivery Plan'!E513,Data!U525,"")</f>
        <v/>
      </c>
      <c r="H513" s="327" t="n"/>
      <c r="I513" s="329">
        <f>IF(J513&lt;&gt;"","S"&amp;TEXT(WEEKNUM(J513),"00"),"")</f>
        <v/>
      </c>
      <c r="J513" s="330">
        <f>IF(AND(E513=Data!R518,Data!AA518&lt;&gt;""),Data!AA518,"")</f>
        <v/>
      </c>
      <c r="K513" s="751">
        <f>IF(AND(E513=Data!R518,Data!AE518&lt;&gt;""),Data!AE518,"")</f>
        <v/>
      </c>
      <c r="L513" s="1039">
        <f>IF(E513=Data!R525,Data!AI525,"")</f>
        <v/>
      </c>
      <c r="M513" s="1039">
        <f>IF(E513=Data!R525,Data!AJ525,"")</f>
        <v/>
      </c>
      <c r="N513">
        <f>IF(AND(Data!R525&lt;&gt;"",Data!L525="Accepté"),Data!K525,"")</f>
        <v/>
      </c>
    </row>
    <row r="514" hidden="1" s="701">
      <c r="A514" s="164">
        <f>IF(AND(Data!R526&lt;&gt;"",Data!L526="Accepté"),Data!G526,"")</f>
        <v/>
      </c>
      <c r="B514" s="164">
        <f>IF(AND(Data!R526&lt;&gt;"",Data!L526="Accepté"),Data!L526,"")</f>
        <v/>
      </c>
      <c r="C514" s="329">
        <f>IF(D514&lt;&gt;"","S"&amp;TEXT(WEEKNUM(D514),"00"),"")</f>
        <v/>
      </c>
      <c r="D514" s="330">
        <f>IF(AND(Data!Q526&lt;&gt;"",Data!L526="Accepté"),Data!Q526,"")</f>
        <v/>
      </c>
      <c r="E514" s="106">
        <f>IF(AND(Data!R526&lt;&gt;"",Data!L526="Accepté"),Data!R526,"")</f>
        <v/>
      </c>
      <c r="F514" s="1037">
        <f>IF(AND(Data!R526&lt;&gt;"",Data!L526="Accepté"),Data!S526,"")</f>
        <v/>
      </c>
      <c r="G514" s="1038">
        <f>IF(Data!R526='Delivery Plan'!E514,Data!U526,"")</f>
        <v/>
      </c>
      <c r="H514" s="327" t="n"/>
      <c r="I514" s="329">
        <f>IF(J514&lt;&gt;"","S"&amp;TEXT(WEEKNUM(J514),"00"),"")</f>
        <v/>
      </c>
      <c r="J514" s="330">
        <f>IF(AND(E514=Data!R519,Data!AA519&lt;&gt;""),Data!AA519,"")</f>
        <v/>
      </c>
      <c r="K514" s="751">
        <f>IF(AND(E514=Data!R519,Data!AE519&lt;&gt;""),Data!AE519,"")</f>
        <v/>
      </c>
      <c r="L514" s="1039">
        <f>IF(E514=Data!R526,Data!AI526,"")</f>
        <v/>
      </c>
      <c r="M514" s="1039">
        <f>IF(E514=Data!R526,Data!AJ526,"")</f>
        <v/>
      </c>
      <c r="N514">
        <f>IF(AND(Data!R526&lt;&gt;"",Data!L526="Accepté"),Data!K526,"")</f>
        <v/>
      </c>
    </row>
    <row r="515" hidden="1" s="701">
      <c r="A515" s="164">
        <f>IF(AND(Data!R527&lt;&gt;"",Data!L527="Accepté"),Data!G527,"")</f>
        <v/>
      </c>
      <c r="B515" s="164">
        <f>IF(AND(Data!R527&lt;&gt;"",Data!L527="Accepté"),Data!L527,"")</f>
        <v/>
      </c>
      <c r="C515" s="329">
        <f>IF(D515&lt;&gt;"","S"&amp;TEXT(WEEKNUM(D515),"00"),"")</f>
        <v/>
      </c>
      <c r="D515" s="330">
        <f>IF(AND(Data!Q527&lt;&gt;"",Data!L527="Accepté"),Data!Q527,"")</f>
        <v/>
      </c>
      <c r="E515" s="106">
        <f>IF(AND(Data!R527&lt;&gt;"",Data!L527="Accepté"),Data!R527,"")</f>
        <v/>
      </c>
      <c r="F515" s="1037">
        <f>IF(AND(Data!R527&lt;&gt;"",Data!L527="Accepté"),Data!S527,"")</f>
        <v/>
      </c>
      <c r="G515" s="1038">
        <f>IF(Data!R527='Delivery Plan'!E515,Data!U527,"")</f>
        <v/>
      </c>
      <c r="H515" s="327" t="n"/>
      <c r="I515" s="329">
        <f>IF(J515&lt;&gt;"","S"&amp;TEXT(WEEKNUM(J515),"00"),"")</f>
        <v/>
      </c>
      <c r="J515" s="330">
        <f>IF(AND(E515=Data!R520,Data!AA520&lt;&gt;""),Data!AA520,"")</f>
        <v/>
      </c>
      <c r="K515" s="751">
        <f>IF(AND(E515=Data!R520,Data!AE520&lt;&gt;""),Data!AE520,"")</f>
        <v/>
      </c>
      <c r="L515" s="1039">
        <f>IF(E515=Data!R527,Data!AI527,"")</f>
        <v/>
      </c>
      <c r="M515" s="1039">
        <f>IF(E515=Data!R527,Data!AJ527,"")</f>
        <v/>
      </c>
      <c r="N515">
        <f>IF(AND(Data!R527&lt;&gt;"",Data!L527="Accepté"),Data!K527,"")</f>
        <v/>
      </c>
    </row>
    <row r="516" hidden="1" s="701">
      <c r="A516" s="164">
        <f>IF(AND(Data!R528&lt;&gt;"",Data!L528="Accepté"),Data!G528,"")</f>
        <v/>
      </c>
      <c r="B516" s="164">
        <f>IF(AND(Data!R528&lt;&gt;"",Data!L528="Accepté"),Data!L528,"")</f>
        <v/>
      </c>
      <c r="C516" s="329">
        <f>IF(D516&lt;&gt;"","S"&amp;TEXT(WEEKNUM(D516),"00"),"")</f>
        <v/>
      </c>
      <c r="D516" s="330">
        <f>IF(AND(Data!Q528&lt;&gt;"",Data!L528="Accepté"),Data!Q528,"")</f>
        <v/>
      </c>
      <c r="E516" s="106">
        <f>IF(AND(Data!R528&lt;&gt;"",Data!L528="Accepté"),Data!R528,"")</f>
        <v/>
      </c>
      <c r="F516" s="1037">
        <f>IF(AND(Data!R528&lt;&gt;"",Data!L528="Accepté"),Data!S528,"")</f>
        <v/>
      </c>
      <c r="G516" s="1038">
        <f>IF(Data!R528='Delivery Plan'!E516,Data!U528,"")</f>
        <v/>
      </c>
      <c r="H516" s="327" t="n"/>
      <c r="I516" s="329">
        <f>IF(J516&lt;&gt;"","S"&amp;TEXT(WEEKNUM(J516),"00"),"")</f>
        <v/>
      </c>
      <c r="J516" s="330">
        <f>IF(AND(E516=Data!R521,Data!AA521&lt;&gt;""),Data!AA521,"")</f>
        <v/>
      </c>
      <c r="K516" s="751">
        <f>IF(AND(E516=Data!R521,Data!AE521&lt;&gt;""),Data!AE521,"")</f>
        <v/>
      </c>
      <c r="L516" s="1039">
        <f>IF(E516=Data!R528,Data!AI528,"")</f>
        <v/>
      </c>
      <c r="M516" s="1039">
        <f>IF(E516=Data!R528,Data!AJ528,"")</f>
        <v/>
      </c>
      <c r="N516">
        <f>IF(AND(Data!R528&lt;&gt;"",Data!L528="Accepté"),Data!K528,"")</f>
        <v/>
      </c>
    </row>
    <row r="517" hidden="1" s="701">
      <c r="A517" s="164">
        <f>IF(AND(Data!R529&lt;&gt;"",Data!L529="Accepté"),Data!G529,"")</f>
        <v/>
      </c>
      <c r="B517" s="164">
        <f>IF(AND(Data!R529&lt;&gt;"",Data!L529="Accepté"),Data!L529,"")</f>
        <v/>
      </c>
      <c r="C517" s="329">
        <f>IF(D517&lt;&gt;"","S"&amp;TEXT(WEEKNUM(D517),"00"),"")</f>
        <v/>
      </c>
      <c r="D517" s="330">
        <f>IF(AND(Data!Q529&lt;&gt;"",Data!L529="Accepté"),Data!Q529,"")</f>
        <v/>
      </c>
      <c r="E517" s="106">
        <f>IF(AND(Data!R529&lt;&gt;"",Data!L529="Accepté"),Data!R529,"")</f>
        <v/>
      </c>
      <c r="F517" s="1037">
        <f>IF(AND(Data!R529&lt;&gt;"",Data!L529="Accepté"),Data!S529,"")</f>
        <v/>
      </c>
      <c r="G517" s="1038">
        <f>IF(Data!R529='Delivery Plan'!E517,Data!U529,"")</f>
        <v/>
      </c>
      <c r="H517" s="327" t="n"/>
      <c r="I517" s="329">
        <f>IF(J517&lt;&gt;"","S"&amp;TEXT(WEEKNUM(J517),"00"),"")</f>
        <v/>
      </c>
      <c r="J517" s="330">
        <f>IF(AND(E517=Data!R522,Data!AA522&lt;&gt;""),Data!AA522,"")</f>
        <v/>
      </c>
      <c r="K517" s="751">
        <f>IF(AND(E517=Data!R522,Data!AE522&lt;&gt;""),Data!AE522,"")</f>
        <v/>
      </c>
      <c r="L517" s="1039">
        <f>IF(E517=Data!R529,Data!AI529,"")</f>
        <v/>
      </c>
      <c r="M517" s="1039">
        <f>IF(E517=Data!R529,Data!AJ529,"")</f>
        <v/>
      </c>
      <c r="N517">
        <f>IF(AND(Data!R529&lt;&gt;"",Data!L529="Accepté"),Data!K529,"")</f>
        <v/>
      </c>
    </row>
    <row r="518" hidden="1" s="701">
      <c r="A518" s="164">
        <f>IF(AND(Data!R530&lt;&gt;"",Data!L530="Accepté"),Data!G530,"")</f>
        <v/>
      </c>
      <c r="B518" s="164">
        <f>IF(AND(Data!R530&lt;&gt;"",Data!L530="Accepté"),Data!L530,"")</f>
        <v/>
      </c>
      <c r="C518" s="329">
        <f>IF(D518&lt;&gt;"","S"&amp;TEXT(WEEKNUM(D518),"00"),"")</f>
        <v/>
      </c>
      <c r="D518" s="330">
        <f>IF(AND(Data!Q530&lt;&gt;"",Data!L530="Accepté"),Data!Q530,"")</f>
        <v/>
      </c>
      <c r="E518" s="106">
        <f>IF(AND(Data!R530&lt;&gt;"",Data!L530="Accepté"),Data!R530,"")</f>
        <v/>
      </c>
      <c r="F518" s="1037">
        <f>IF(AND(Data!R530&lt;&gt;"",Data!L530="Accepté"),Data!S530,"")</f>
        <v/>
      </c>
      <c r="G518" s="1038">
        <f>IF(Data!R530='Delivery Plan'!E518,Data!U530,"")</f>
        <v/>
      </c>
      <c r="H518" s="327" t="n"/>
      <c r="I518" s="329">
        <f>IF(J518&lt;&gt;"","S"&amp;TEXT(WEEKNUM(J518),"00"),"")</f>
        <v/>
      </c>
      <c r="J518" s="330">
        <f>IF(AND(E518=Data!R523,Data!AA523&lt;&gt;""),Data!AA523,"")</f>
        <v/>
      </c>
      <c r="K518" s="751">
        <f>IF(AND(E518=Data!R523,Data!AE523&lt;&gt;""),Data!AE523,"")</f>
        <v/>
      </c>
      <c r="L518" s="1039">
        <f>IF(E518=Data!R530,Data!AI530,"")</f>
        <v/>
      </c>
      <c r="M518" s="1039">
        <f>IF(E518=Data!R530,Data!AJ530,"")</f>
        <v/>
      </c>
      <c r="N518">
        <f>IF(AND(Data!R530&lt;&gt;"",Data!L530="Accepté"),Data!K530,"")</f>
        <v/>
      </c>
    </row>
    <row r="519" hidden="1" s="701">
      <c r="A519" s="164">
        <f>IF(AND(Data!R531&lt;&gt;"",Data!L531="Accepté"),Data!G531,"")</f>
        <v/>
      </c>
      <c r="B519" s="164">
        <f>IF(AND(Data!R531&lt;&gt;"",Data!L531="Accepté"),Data!L531,"")</f>
        <v/>
      </c>
      <c r="C519" s="329">
        <f>IF(D519&lt;&gt;"","S"&amp;TEXT(WEEKNUM(D519),"00"),"")</f>
        <v/>
      </c>
      <c r="D519" s="330">
        <f>IF(AND(Data!Q531&lt;&gt;"",Data!L531="Accepté"),Data!Q531,"")</f>
        <v/>
      </c>
      <c r="E519" s="106">
        <f>IF(AND(Data!R531&lt;&gt;"",Data!L531="Accepté"),Data!R531,"")</f>
        <v/>
      </c>
      <c r="F519" s="1037">
        <f>IF(AND(Data!R531&lt;&gt;"",Data!L531="Accepté"),Data!S531,"")</f>
        <v/>
      </c>
      <c r="G519" s="1038">
        <f>IF(Data!R531='Delivery Plan'!E519,Data!U531,"")</f>
        <v/>
      </c>
      <c r="H519" s="327" t="n"/>
      <c r="I519" s="329">
        <f>IF(J519&lt;&gt;"","S"&amp;TEXT(WEEKNUM(J519),"00"),"")</f>
        <v/>
      </c>
      <c r="J519" s="330">
        <f>IF(AND(E519=Data!R524,Data!AA524&lt;&gt;""),Data!AA524,"")</f>
        <v/>
      </c>
      <c r="K519" s="751">
        <f>IF(AND(E519=Data!R524,Data!AE524&lt;&gt;""),Data!AE524,"")</f>
        <v/>
      </c>
      <c r="L519" s="1039">
        <f>IF(E519=Data!R531,Data!AI531,"")</f>
        <v/>
      </c>
      <c r="M519" s="1039">
        <f>IF(E519=Data!R531,Data!AJ531,"")</f>
        <v/>
      </c>
      <c r="N519">
        <f>IF(AND(Data!R531&lt;&gt;"",Data!L531="Accepté"),Data!K531,"")</f>
        <v/>
      </c>
    </row>
    <row r="520" hidden="1" s="701">
      <c r="A520" s="164">
        <f>IF(AND(Data!R532&lt;&gt;"",Data!L532="Accepté"),Data!G532,"")</f>
        <v/>
      </c>
      <c r="B520" s="164">
        <f>IF(AND(Data!R532&lt;&gt;"",Data!L532="Accepté"),Data!L532,"")</f>
        <v/>
      </c>
      <c r="C520" s="329">
        <f>IF(D520&lt;&gt;"","S"&amp;TEXT(WEEKNUM(D520),"00"),"")</f>
        <v/>
      </c>
      <c r="D520" s="330">
        <f>IF(AND(Data!Q532&lt;&gt;"",Data!L532="Accepté"),Data!Q532,"")</f>
        <v/>
      </c>
      <c r="E520" s="106">
        <f>IF(AND(Data!R532&lt;&gt;"",Data!L532="Accepté"),Data!R532,"")</f>
        <v/>
      </c>
      <c r="F520" s="1037">
        <f>IF(AND(Data!R532&lt;&gt;"",Data!L532="Accepté"),Data!S532,"")</f>
        <v/>
      </c>
      <c r="G520" s="1038">
        <f>IF(Data!R532='Delivery Plan'!E520,Data!U532,"")</f>
        <v/>
      </c>
      <c r="H520" s="327" t="n"/>
      <c r="I520" s="329">
        <f>IF(J520&lt;&gt;"","S"&amp;TEXT(WEEKNUM(J520),"00"),"")</f>
        <v/>
      </c>
      <c r="J520" s="330">
        <f>IF(AND(E520=Data!R525,Data!AA525&lt;&gt;""),Data!AA525,"")</f>
        <v/>
      </c>
      <c r="K520" s="751">
        <f>IF(AND(E520=Data!R525,Data!AE525&lt;&gt;""),Data!AE525,"")</f>
        <v/>
      </c>
      <c r="L520" s="1039">
        <f>IF(E520=Data!R532,Data!AI532,"")</f>
        <v/>
      </c>
      <c r="M520" s="1039">
        <f>IF(E520=Data!R532,Data!AJ532,"")</f>
        <v/>
      </c>
      <c r="N520">
        <f>IF(AND(Data!R532&lt;&gt;"",Data!L532="Accepté"),Data!K532,"")</f>
        <v/>
      </c>
    </row>
    <row r="521" hidden="1" s="701">
      <c r="A521" s="164">
        <f>IF(AND(Data!R533&lt;&gt;"",Data!L533="Accepté"),Data!G533,"")</f>
        <v/>
      </c>
      <c r="B521" s="164">
        <f>IF(AND(Data!R533&lt;&gt;"",Data!L533="Accepté"),Data!L533,"")</f>
        <v/>
      </c>
      <c r="C521" s="329">
        <f>IF(D521&lt;&gt;"","S"&amp;TEXT(WEEKNUM(D521),"00"),"")</f>
        <v/>
      </c>
      <c r="D521" s="330">
        <f>IF(AND(Data!Q533&lt;&gt;"",Data!L533="Accepté"),Data!Q533,"")</f>
        <v/>
      </c>
      <c r="E521" s="106">
        <f>IF(AND(Data!R533&lt;&gt;"",Data!L533="Accepté"),Data!R533,"")</f>
        <v/>
      </c>
      <c r="F521" s="1037">
        <f>IF(AND(Data!R533&lt;&gt;"",Data!L533="Accepté"),Data!S533,"")</f>
        <v/>
      </c>
      <c r="G521" s="1038">
        <f>IF(Data!R533='Delivery Plan'!E521,Data!U533,"")</f>
        <v/>
      </c>
      <c r="H521" s="327" t="n"/>
      <c r="I521" s="329">
        <f>IF(J521&lt;&gt;"","S"&amp;TEXT(WEEKNUM(J521),"00"),"")</f>
        <v/>
      </c>
      <c r="J521" s="330">
        <f>IF(AND(E521=Data!R526,Data!AA526&lt;&gt;""),Data!AA526,"")</f>
        <v/>
      </c>
      <c r="K521" s="751">
        <f>IF(AND(E521=Data!R526,Data!AE526&lt;&gt;""),Data!AE526,"")</f>
        <v/>
      </c>
      <c r="L521" s="1039">
        <f>IF(E521=Data!R533,Data!AI533,"")</f>
        <v/>
      </c>
      <c r="M521" s="1039">
        <f>IF(E521=Data!R533,Data!AJ533,"")</f>
        <v/>
      </c>
      <c r="N521">
        <f>IF(AND(Data!R533&lt;&gt;"",Data!L533="Accepté"),Data!K533,"")</f>
        <v/>
      </c>
    </row>
    <row r="522" hidden="1" s="701">
      <c r="A522" s="164">
        <f>IF(AND(Data!R534&lt;&gt;"",Data!L534="Accepté"),Data!G534,"")</f>
        <v/>
      </c>
      <c r="B522" s="164">
        <f>IF(AND(Data!R534&lt;&gt;"",Data!L534="Accepté"),Data!L534,"")</f>
        <v/>
      </c>
      <c r="C522" s="329">
        <f>IF(D522&lt;&gt;"","S"&amp;TEXT(WEEKNUM(D522),"00"),"")</f>
        <v/>
      </c>
      <c r="D522" s="330">
        <f>IF(AND(Data!Q534&lt;&gt;"",Data!L534="Accepté"),Data!Q534,"")</f>
        <v/>
      </c>
      <c r="E522" s="106">
        <f>IF(AND(Data!R534&lt;&gt;"",Data!L534="Accepté"),Data!R534,"")</f>
        <v/>
      </c>
      <c r="F522" s="1037">
        <f>IF(AND(Data!R534&lt;&gt;"",Data!L534="Accepté"),Data!S534,"")</f>
        <v/>
      </c>
      <c r="G522" s="1038">
        <f>IF(Data!R534='Delivery Plan'!E522,Data!U534,"")</f>
        <v/>
      </c>
      <c r="H522" s="327" t="n"/>
      <c r="I522" s="329">
        <f>IF(J522&lt;&gt;"","S"&amp;TEXT(WEEKNUM(J522),"00"),"")</f>
        <v/>
      </c>
      <c r="J522" s="330">
        <f>IF(AND(E522=Data!R527,Data!AA527&lt;&gt;""),Data!AA527,"")</f>
        <v/>
      </c>
      <c r="K522" s="751">
        <f>IF(AND(E522=Data!R527,Data!AE527&lt;&gt;""),Data!AE527,"")</f>
        <v/>
      </c>
      <c r="L522" s="1039">
        <f>IF(E522=Data!R534,Data!AI534,"")</f>
        <v/>
      </c>
      <c r="M522" s="1039">
        <f>IF(E522=Data!R534,Data!AJ534,"")</f>
        <v/>
      </c>
      <c r="N522">
        <f>IF(AND(Data!R534&lt;&gt;"",Data!L534="Accepté"),Data!K534,"")</f>
        <v/>
      </c>
    </row>
    <row r="523" hidden="1" s="701">
      <c r="A523" s="164">
        <f>IF(AND(Data!R535&lt;&gt;"",Data!L535="Accepté"),Data!G535,"")</f>
        <v/>
      </c>
      <c r="B523" s="164">
        <f>IF(AND(Data!R535&lt;&gt;"",Data!L535="Accepté"),Data!L535,"")</f>
        <v/>
      </c>
      <c r="C523" s="329">
        <f>IF(D523&lt;&gt;"","S"&amp;TEXT(WEEKNUM(D523),"00"),"")</f>
        <v/>
      </c>
      <c r="D523" s="330">
        <f>IF(AND(Data!Q535&lt;&gt;"",Data!L535="Accepté"),Data!Q535,"")</f>
        <v/>
      </c>
      <c r="E523" s="106">
        <f>IF(AND(Data!R535&lt;&gt;"",Data!L535="Accepté"),Data!R535,"")</f>
        <v/>
      </c>
      <c r="F523" s="1037">
        <f>IF(AND(Data!R535&lt;&gt;"",Data!L535="Accepté"),Data!S535,"")</f>
        <v/>
      </c>
      <c r="G523" s="1038">
        <f>IF(Data!R535='Delivery Plan'!E523,Data!U535,"")</f>
        <v/>
      </c>
      <c r="H523" s="327" t="n"/>
      <c r="I523" s="329">
        <f>IF(J523&lt;&gt;"","S"&amp;TEXT(WEEKNUM(J523),"00"),"")</f>
        <v/>
      </c>
      <c r="J523" s="330">
        <f>IF(AND(E523=Data!R528,Data!AA528&lt;&gt;""),Data!AA528,"")</f>
        <v/>
      </c>
      <c r="K523" s="751">
        <f>IF(AND(E523=Data!R528,Data!AE528&lt;&gt;""),Data!AE528,"")</f>
        <v/>
      </c>
      <c r="L523" s="1039">
        <f>IF(E523=Data!R535,Data!AI535,"")</f>
        <v/>
      </c>
      <c r="M523" s="1039">
        <f>IF(E523=Data!R535,Data!AJ535,"")</f>
        <v/>
      </c>
      <c r="N523">
        <f>IF(AND(Data!R535&lt;&gt;"",Data!L535="Accepté"),Data!K535,"")</f>
        <v/>
      </c>
    </row>
    <row r="524" hidden="1" s="701">
      <c r="A524" s="164">
        <f>IF(AND(Data!R536&lt;&gt;"",Data!L536="Accepté"),Data!G536,"")</f>
        <v/>
      </c>
      <c r="B524" s="164">
        <f>IF(AND(Data!R536&lt;&gt;"",Data!L536="Accepté"),Data!L536,"")</f>
        <v/>
      </c>
      <c r="C524" s="329">
        <f>IF(D524&lt;&gt;"","S"&amp;TEXT(WEEKNUM(D524),"00"),"")</f>
        <v/>
      </c>
      <c r="D524" s="330">
        <f>IF(AND(Data!Q536&lt;&gt;"",Data!L536="Accepté"),Data!Q536,"")</f>
        <v/>
      </c>
      <c r="E524" s="106">
        <f>IF(AND(Data!R536&lt;&gt;"",Data!L536="Accepté"),Data!R536,"")</f>
        <v/>
      </c>
      <c r="F524" s="1037">
        <f>IF(AND(Data!R536&lt;&gt;"",Data!L536="Accepté"),Data!S536,"")</f>
        <v/>
      </c>
      <c r="G524" s="1038">
        <f>IF(Data!R536='Delivery Plan'!E524,Data!U536,"")</f>
        <v/>
      </c>
      <c r="H524" s="327" t="n"/>
      <c r="I524" s="329">
        <f>IF(J524&lt;&gt;"","S"&amp;TEXT(WEEKNUM(J524),"00"),"")</f>
        <v/>
      </c>
      <c r="J524" s="330">
        <f>IF(AND(E524=Data!R529,Data!AA529&lt;&gt;""),Data!AA529,"")</f>
        <v/>
      </c>
      <c r="K524" s="751">
        <f>IF(AND(E524=Data!R529,Data!AE529&lt;&gt;""),Data!AE529,"")</f>
        <v/>
      </c>
      <c r="L524" s="1039">
        <f>IF(E524=Data!R536,Data!AI536,"")</f>
        <v/>
      </c>
      <c r="M524" s="1039">
        <f>IF(E524=Data!R536,Data!AJ536,"")</f>
        <v/>
      </c>
      <c r="N524">
        <f>IF(AND(Data!R536&lt;&gt;"",Data!L536="Accepté"),Data!K536,"")</f>
        <v/>
      </c>
    </row>
    <row r="525" hidden="1" s="701">
      <c r="A525" s="164">
        <f>IF(AND(Data!R537&lt;&gt;"",Data!L537="Accepté"),Data!G537,"")</f>
        <v/>
      </c>
      <c r="B525" s="164">
        <f>IF(AND(Data!R537&lt;&gt;"",Data!L537="Accepté"),Data!L537,"")</f>
        <v/>
      </c>
      <c r="C525" s="329">
        <f>IF(D525&lt;&gt;"","S"&amp;TEXT(WEEKNUM(D525),"00"),"")</f>
        <v/>
      </c>
      <c r="D525" s="330">
        <f>IF(AND(Data!Q537&lt;&gt;"",Data!L537="Accepté"),Data!Q537,"")</f>
        <v/>
      </c>
      <c r="E525" s="106">
        <f>IF(AND(Data!R537&lt;&gt;"",Data!L537="Accepté"),Data!R537,"")</f>
        <v/>
      </c>
      <c r="F525" s="1037">
        <f>IF(AND(Data!R537&lt;&gt;"",Data!L537="Accepté"),Data!S537,"")</f>
        <v/>
      </c>
      <c r="G525" s="1038">
        <f>IF(Data!R537='Delivery Plan'!E525,Data!U537,"")</f>
        <v/>
      </c>
      <c r="H525" s="327" t="n"/>
      <c r="I525" s="329">
        <f>IF(J525&lt;&gt;"","S"&amp;TEXT(WEEKNUM(J525),"00"),"")</f>
        <v/>
      </c>
      <c r="J525" s="330">
        <f>IF(AND(E525=Data!R530,Data!AA530&lt;&gt;""),Data!AA530,"")</f>
        <v/>
      </c>
      <c r="K525" s="751">
        <f>IF(AND(E525=Data!R530,Data!AE530&lt;&gt;""),Data!AE530,"")</f>
        <v/>
      </c>
      <c r="L525" s="1039">
        <f>IF(E525=Data!R537,Data!AI537,"")</f>
        <v/>
      </c>
      <c r="M525" s="1039">
        <f>IF(E525=Data!R537,Data!AJ537,"")</f>
        <v/>
      </c>
      <c r="N525">
        <f>IF(AND(Data!R537&lt;&gt;"",Data!L537="Accepté"),Data!K537,"")</f>
        <v/>
      </c>
    </row>
    <row r="526" hidden="1" s="701">
      <c r="A526" s="164">
        <f>IF(AND(Data!R538&lt;&gt;"",Data!L538="Accepté"),Data!G538,"")</f>
        <v/>
      </c>
      <c r="B526" s="164">
        <f>IF(AND(Data!R538&lt;&gt;"",Data!L538="Accepté"),Data!L538,"")</f>
        <v/>
      </c>
      <c r="C526" s="329">
        <f>IF(D526&lt;&gt;"","S"&amp;TEXT(WEEKNUM(D526),"00"),"")</f>
        <v/>
      </c>
      <c r="D526" s="330">
        <f>IF(AND(Data!Q538&lt;&gt;"",Data!L538="Accepté"),Data!Q538,"")</f>
        <v/>
      </c>
      <c r="E526" s="106">
        <f>IF(AND(Data!R538&lt;&gt;"",Data!L538="Accepté"),Data!R538,"")</f>
        <v/>
      </c>
      <c r="F526" s="1037">
        <f>IF(AND(Data!R538&lt;&gt;"",Data!L538="Accepté"),Data!S538,"")</f>
        <v/>
      </c>
      <c r="G526" s="1038">
        <f>IF(Data!R538='Delivery Plan'!E526,Data!U538,"")</f>
        <v/>
      </c>
      <c r="H526" s="327" t="n"/>
      <c r="I526" s="329">
        <f>IF(J526&lt;&gt;"","S"&amp;TEXT(WEEKNUM(J526),"00"),"")</f>
        <v/>
      </c>
      <c r="J526" s="330">
        <f>IF(AND(E526=Data!R531,Data!AA531&lt;&gt;""),Data!AA531,"")</f>
        <v/>
      </c>
      <c r="K526" s="751">
        <f>IF(AND(E526=Data!R531,Data!AE531&lt;&gt;""),Data!AE531,"")</f>
        <v/>
      </c>
      <c r="L526" s="1039">
        <f>IF(E526=Data!R538,Data!AI538,"")</f>
        <v/>
      </c>
      <c r="M526" s="1039">
        <f>IF(E526=Data!R538,Data!AJ538,"")</f>
        <v/>
      </c>
      <c r="N526">
        <f>IF(AND(Data!R538&lt;&gt;"",Data!L538="Accepté"),Data!K538,"")</f>
        <v/>
      </c>
    </row>
    <row r="527" hidden="1" s="701">
      <c r="A527" s="164">
        <f>IF(AND(Data!R539&lt;&gt;"",Data!L539="Accepté"),Data!G539,"")</f>
        <v/>
      </c>
      <c r="B527" s="164">
        <f>IF(AND(Data!R539&lt;&gt;"",Data!L539="Accepté"),Data!L539,"")</f>
        <v/>
      </c>
      <c r="C527" s="329">
        <f>IF(D527&lt;&gt;"","S"&amp;TEXT(WEEKNUM(D527),"00"),"")</f>
        <v/>
      </c>
      <c r="D527" s="330">
        <f>IF(AND(Data!Q539&lt;&gt;"",Data!L539="Accepté"),Data!Q539,"")</f>
        <v/>
      </c>
      <c r="E527" s="106">
        <f>IF(AND(Data!R539&lt;&gt;"",Data!L539="Accepté"),Data!R539,"")</f>
        <v/>
      </c>
      <c r="F527" s="1037">
        <f>IF(AND(Data!R539&lt;&gt;"",Data!L539="Accepté"),Data!S539,"")</f>
        <v/>
      </c>
      <c r="G527" s="1038">
        <f>IF(Data!R539='Delivery Plan'!E527,Data!U539,"")</f>
        <v/>
      </c>
      <c r="H527" s="327" t="n"/>
      <c r="I527" s="329">
        <f>IF(J527&lt;&gt;"","S"&amp;TEXT(WEEKNUM(J527),"00"),"")</f>
        <v/>
      </c>
      <c r="J527" s="330">
        <f>IF(AND(E527=Data!R532,Data!AA532&lt;&gt;""),Data!AA532,"")</f>
        <v/>
      </c>
      <c r="K527" s="751">
        <f>IF(AND(E527=Data!R532,Data!AE532&lt;&gt;""),Data!AE532,"")</f>
        <v/>
      </c>
      <c r="L527" s="1039">
        <f>IF(E527=Data!R539,Data!AI539,"")</f>
        <v/>
      </c>
      <c r="M527" s="1039">
        <f>IF(E527=Data!R539,Data!AJ539,"")</f>
        <v/>
      </c>
      <c r="N527">
        <f>IF(AND(Data!R539&lt;&gt;"",Data!L539="Accepté"),Data!K539,"")</f>
        <v/>
      </c>
    </row>
    <row r="528" hidden="1" s="701">
      <c r="A528" s="164">
        <f>IF(AND(Data!R540&lt;&gt;"",Data!L540="Accepté"),Data!G540,"")</f>
        <v/>
      </c>
      <c r="B528" s="164">
        <f>IF(AND(Data!R540&lt;&gt;"",Data!L540="Accepté"),Data!L540,"")</f>
        <v/>
      </c>
      <c r="C528" s="329">
        <f>IF(D528&lt;&gt;"","S"&amp;TEXT(WEEKNUM(D528),"00"),"")</f>
        <v/>
      </c>
      <c r="D528" s="330">
        <f>IF(AND(Data!Q540&lt;&gt;"",Data!L540="Accepté"),Data!Q540,"")</f>
        <v/>
      </c>
      <c r="E528" s="106">
        <f>IF(AND(Data!R540&lt;&gt;"",Data!L540="Accepté"),Data!R540,"")</f>
        <v/>
      </c>
      <c r="F528" s="1037">
        <f>IF(AND(Data!R540&lt;&gt;"",Data!L540="Accepté"),Data!S540,"")</f>
        <v/>
      </c>
      <c r="G528" s="1038">
        <f>IF(Data!R540='Delivery Plan'!E528,Data!U540,"")</f>
        <v/>
      </c>
      <c r="H528" s="327" t="n"/>
      <c r="I528" s="329">
        <f>IF(J528&lt;&gt;"","S"&amp;TEXT(WEEKNUM(J528),"00"),"")</f>
        <v/>
      </c>
      <c r="J528" s="330">
        <f>IF(AND(E528=Data!R533,Data!AA533&lt;&gt;""),Data!AA533,"")</f>
        <v/>
      </c>
      <c r="K528" s="751">
        <f>IF(AND(E528=Data!R533,Data!AE533&lt;&gt;""),Data!AE533,"")</f>
        <v/>
      </c>
      <c r="L528" s="1039">
        <f>IF(E528=Data!R540,Data!AI540,"")</f>
        <v/>
      </c>
      <c r="M528" s="1039">
        <f>IF(E528=Data!R540,Data!AJ540,"")</f>
        <v/>
      </c>
      <c r="N528">
        <f>IF(AND(Data!R540&lt;&gt;"",Data!L540="Accepté"),Data!K540,"")</f>
        <v/>
      </c>
    </row>
    <row r="529" hidden="1" s="701">
      <c r="A529" s="164">
        <f>IF(AND(Data!R541&lt;&gt;"",Data!L541="Accepté"),Data!G541,"")</f>
        <v/>
      </c>
      <c r="B529" s="164">
        <f>IF(AND(Data!R541&lt;&gt;"",Data!L541="Accepté"),Data!L541,"")</f>
        <v/>
      </c>
      <c r="C529" s="329">
        <f>IF(D529&lt;&gt;"","S"&amp;TEXT(WEEKNUM(D529),"00"),"")</f>
        <v/>
      </c>
      <c r="D529" s="330">
        <f>IF(AND(Data!Q541&lt;&gt;"",Data!L541="Accepté"),Data!Q541,"")</f>
        <v/>
      </c>
      <c r="E529" s="106">
        <f>IF(AND(Data!R541&lt;&gt;"",Data!L541="Accepté"),Data!R541,"")</f>
        <v/>
      </c>
      <c r="F529" s="1037">
        <f>IF(AND(Data!R541&lt;&gt;"",Data!L541="Accepté"),Data!S541,"")</f>
        <v/>
      </c>
      <c r="G529" s="1038">
        <f>IF(Data!R541='Delivery Plan'!E529,Data!U541,"")</f>
        <v/>
      </c>
      <c r="H529" s="327" t="n"/>
      <c r="I529" s="329">
        <f>IF(J529&lt;&gt;"","S"&amp;TEXT(WEEKNUM(J529),"00"),"")</f>
        <v/>
      </c>
      <c r="J529" s="330">
        <f>IF(AND(E529=Data!R534,Data!AA534&lt;&gt;""),Data!AA534,"")</f>
        <v/>
      </c>
      <c r="K529" s="751">
        <f>IF(AND(E529=Data!R534,Data!AE534&lt;&gt;""),Data!AE534,"")</f>
        <v/>
      </c>
      <c r="L529" s="1039">
        <f>IF(E529=Data!R541,Data!AI541,"")</f>
        <v/>
      </c>
      <c r="M529" s="1039">
        <f>IF(E529=Data!R541,Data!AJ541,"")</f>
        <v/>
      </c>
      <c r="N529">
        <f>IF(AND(Data!R541&lt;&gt;"",Data!L541="Accepté"),Data!K541,"")</f>
        <v/>
      </c>
    </row>
    <row r="530" hidden="1" s="701">
      <c r="A530" s="164">
        <f>IF(AND(Data!R542&lt;&gt;"",Data!L542="Accepté"),Data!G542,"")</f>
        <v/>
      </c>
      <c r="B530" s="164">
        <f>IF(AND(Data!R542&lt;&gt;"",Data!L542="Accepté"),Data!L542,"")</f>
        <v/>
      </c>
      <c r="C530" s="329">
        <f>IF(D530&lt;&gt;"","S"&amp;TEXT(WEEKNUM(D530),"00"),"")</f>
        <v/>
      </c>
      <c r="D530" s="330">
        <f>IF(AND(Data!Q542&lt;&gt;"",Data!L542="Accepté"),Data!Q542,"")</f>
        <v/>
      </c>
      <c r="E530" s="106">
        <f>IF(AND(Data!R542&lt;&gt;"",Data!L542="Accepté"),Data!R542,"")</f>
        <v/>
      </c>
      <c r="F530" s="1037">
        <f>IF(AND(Data!R542&lt;&gt;"",Data!L542="Accepté"),Data!S542,"")</f>
        <v/>
      </c>
      <c r="G530" s="1038">
        <f>IF(Data!R542='Delivery Plan'!E530,Data!U542,"")</f>
        <v/>
      </c>
      <c r="H530" s="327" t="n"/>
      <c r="I530" s="329">
        <f>IF(J530&lt;&gt;"","S"&amp;TEXT(WEEKNUM(J530),"00"),"")</f>
        <v/>
      </c>
      <c r="J530" s="330">
        <f>IF(AND(E530=Data!R535,Data!AA535&lt;&gt;""),Data!AA535,"")</f>
        <v/>
      </c>
      <c r="K530" s="751">
        <f>IF(AND(E530=Data!R535,Data!AE535&lt;&gt;""),Data!AE535,"")</f>
        <v/>
      </c>
      <c r="L530" s="1039">
        <f>IF(E530=Data!R542,Data!AI542,"")</f>
        <v/>
      </c>
      <c r="M530" s="1039">
        <f>IF(E530=Data!R542,Data!AJ542,"")</f>
        <v/>
      </c>
      <c r="N530">
        <f>IF(AND(Data!R542&lt;&gt;"",Data!L542="Accepté"),Data!K542,"")</f>
        <v/>
      </c>
    </row>
    <row r="531" hidden="1" s="701">
      <c r="A531" s="164">
        <f>IF(AND(Data!R543&lt;&gt;"",Data!L543="Accepté"),Data!G543,"")</f>
        <v/>
      </c>
      <c r="B531" s="164">
        <f>IF(AND(Data!R543&lt;&gt;"",Data!L543="Accepté"),Data!L543,"")</f>
        <v/>
      </c>
      <c r="C531" s="329">
        <f>IF(D531&lt;&gt;"","S"&amp;TEXT(WEEKNUM(D531),"00"),"")</f>
        <v/>
      </c>
      <c r="D531" s="330">
        <f>IF(AND(Data!Q543&lt;&gt;"",Data!L543="Accepté"),Data!Q543,"")</f>
        <v/>
      </c>
      <c r="E531" s="106">
        <f>IF(AND(Data!R543&lt;&gt;"",Data!L543="Accepté"),Data!R543,"")</f>
        <v/>
      </c>
      <c r="F531" s="1037">
        <f>IF(AND(Data!R543&lt;&gt;"",Data!L543="Accepté"),Data!S543,"")</f>
        <v/>
      </c>
      <c r="G531" s="1038">
        <f>IF(Data!R543='Delivery Plan'!E531,Data!U543,"")</f>
        <v/>
      </c>
      <c r="H531" s="327" t="n"/>
      <c r="I531" s="329">
        <f>IF(J531&lt;&gt;"","S"&amp;TEXT(WEEKNUM(J531),"00"),"")</f>
        <v/>
      </c>
      <c r="J531" s="330">
        <f>IF(AND(E531=Data!R536,Data!AA536&lt;&gt;""),Data!AA536,"")</f>
        <v/>
      </c>
      <c r="K531" s="751">
        <f>IF(AND(E531=Data!R536,Data!AE536&lt;&gt;""),Data!AE536,"")</f>
        <v/>
      </c>
      <c r="L531" s="1039">
        <f>IF(E531=Data!R543,Data!AI543,"")</f>
        <v/>
      </c>
      <c r="M531" s="1039">
        <f>IF(E531=Data!R543,Data!AJ543,"")</f>
        <v/>
      </c>
      <c r="N531">
        <f>IF(AND(Data!R543&lt;&gt;"",Data!L543="Accepté"),Data!K543,"")</f>
        <v/>
      </c>
    </row>
    <row r="532" hidden="1" s="701">
      <c r="A532" s="164">
        <f>IF(AND(Data!R544&lt;&gt;"",Data!L544="Accepté"),Data!G544,"")</f>
        <v/>
      </c>
      <c r="B532" s="164">
        <f>IF(AND(Data!R544&lt;&gt;"",Data!L544="Accepté"),Data!L544,"")</f>
        <v/>
      </c>
      <c r="C532" s="329">
        <f>IF(D532&lt;&gt;"","S"&amp;TEXT(WEEKNUM(D532),"00"),"")</f>
        <v/>
      </c>
      <c r="D532" s="330">
        <f>IF(AND(Data!Q544&lt;&gt;"",Data!L544="Accepté"),Data!Q544,"")</f>
        <v/>
      </c>
      <c r="E532" s="106">
        <f>IF(AND(Data!R544&lt;&gt;"",Data!L544="Accepté"),Data!R544,"")</f>
        <v/>
      </c>
      <c r="F532" s="1037">
        <f>IF(AND(Data!R544&lt;&gt;"",Data!L544="Accepté"),Data!S544,"")</f>
        <v/>
      </c>
      <c r="G532" s="1038">
        <f>IF(Data!R544='Delivery Plan'!E532,Data!U544,"")</f>
        <v/>
      </c>
      <c r="H532" s="327" t="n"/>
      <c r="I532" s="329">
        <f>IF(J532&lt;&gt;"","S"&amp;TEXT(WEEKNUM(J532),"00"),"")</f>
        <v/>
      </c>
      <c r="J532" s="330">
        <f>IF(AND(E532=Data!R537,Data!AA537&lt;&gt;""),Data!AA537,"")</f>
        <v/>
      </c>
      <c r="K532" s="751">
        <f>IF(AND(E532=Data!R537,Data!AE537&lt;&gt;""),Data!AE537,"")</f>
        <v/>
      </c>
      <c r="L532" s="1039">
        <f>IF(E532=Data!R544,Data!AI544,"")</f>
        <v/>
      </c>
      <c r="M532" s="1039">
        <f>IF(E532=Data!R544,Data!AJ544,"")</f>
        <v/>
      </c>
      <c r="N532">
        <f>IF(AND(Data!R544&lt;&gt;"",Data!L544="Accepté"),Data!K544,"")</f>
        <v/>
      </c>
    </row>
    <row r="533" hidden="1" s="701">
      <c r="A533" s="164">
        <f>IF(AND(Data!R545&lt;&gt;"",Data!L545="Accepté"),Data!G545,"")</f>
        <v/>
      </c>
      <c r="B533" s="164">
        <f>IF(AND(Data!R545&lt;&gt;"",Data!L545="Accepté"),Data!L545,"")</f>
        <v/>
      </c>
      <c r="C533" s="329">
        <f>IF(D533&lt;&gt;"","S"&amp;TEXT(WEEKNUM(D533),"00"),"")</f>
        <v/>
      </c>
      <c r="D533" s="330">
        <f>IF(AND(Data!Q545&lt;&gt;"",Data!L545="Accepté"),Data!Q545,"")</f>
        <v/>
      </c>
      <c r="E533" s="106">
        <f>IF(AND(Data!R545&lt;&gt;"",Data!L545="Accepté"),Data!R545,"")</f>
        <v/>
      </c>
      <c r="F533" s="1037">
        <f>IF(AND(Data!R545&lt;&gt;"",Data!L545="Accepté"),Data!S545,"")</f>
        <v/>
      </c>
      <c r="G533" s="1038">
        <f>IF(Data!R545='Delivery Plan'!E533,Data!U545,"")</f>
        <v/>
      </c>
      <c r="H533" s="327" t="n"/>
      <c r="I533" s="329">
        <f>IF(J533&lt;&gt;"","S"&amp;TEXT(WEEKNUM(J533),"00"),"")</f>
        <v/>
      </c>
      <c r="J533" s="330">
        <f>IF(AND(E533=Data!R538,Data!AA538&lt;&gt;""),Data!AA538,"")</f>
        <v/>
      </c>
      <c r="K533" s="751">
        <f>IF(AND(E533=Data!R538,Data!AE538&lt;&gt;""),Data!AE538,"")</f>
        <v/>
      </c>
      <c r="L533" s="1039">
        <f>IF(E533=Data!R545,Data!AI545,"")</f>
        <v/>
      </c>
      <c r="M533" s="1039">
        <f>IF(E533=Data!R545,Data!AJ545,"")</f>
        <v/>
      </c>
      <c r="N533">
        <f>IF(AND(Data!R545&lt;&gt;"",Data!L545="Accepté"),Data!K545,"")</f>
        <v/>
      </c>
    </row>
    <row r="534" hidden="1" s="701">
      <c r="A534" s="164">
        <f>IF(AND(Data!R546&lt;&gt;"",Data!L546="Accepté"),Data!G546,"")</f>
        <v/>
      </c>
      <c r="B534" s="164">
        <f>IF(AND(Data!R546&lt;&gt;"",Data!L546="Accepté"),Data!L546,"")</f>
        <v/>
      </c>
      <c r="C534" s="329">
        <f>IF(D534&lt;&gt;"","S"&amp;TEXT(WEEKNUM(D534),"00"),"")</f>
        <v/>
      </c>
      <c r="D534" s="330">
        <f>IF(AND(Data!Q546&lt;&gt;"",Data!L546="Accepté"),Data!Q546,"")</f>
        <v/>
      </c>
      <c r="E534" s="106">
        <f>IF(AND(Data!R546&lt;&gt;"",Data!L546="Accepté"),Data!R546,"")</f>
        <v/>
      </c>
      <c r="F534" s="1037">
        <f>IF(AND(Data!R546&lt;&gt;"",Data!L546="Accepté"),Data!S546,"")</f>
        <v/>
      </c>
      <c r="G534" s="1038">
        <f>IF(Data!R546='Delivery Plan'!E534,Data!U546,"")</f>
        <v/>
      </c>
      <c r="H534" s="327" t="n"/>
      <c r="I534" s="329">
        <f>IF(J534&lt;&gt;"","S"&amp;TEXT(WEEKNUM(J534),"00"),"")</f>
        <v/>
      </c>
      <c r="J534" s="330">
        <f>IF(AND(E534=Data!R539,Data!AA539&lt;&gt;""),Data!AA539,"")</f>
        <v/>
      </c>
      <c r="K534" s="751">
        <f>IF(AND(E534=Data!R539,Data!AE539&lt;&gt;""),Data!AE539,"")</f>
        <v/>
      </c>
      <c r="L534" s="1039">
        <f>IF(E534=Data!R546,Data!AI546,"")</f>
        <v/>
      </c>
      <c r="M534" s="1039">
        <f>IF(E534=Data!R546,Data!AJ546,"")</f>
        <v/>
      </c>
      <c r="N534">
        <f>IF(AND(Data!R546&lt;&gt;"",Data!L546="Accepté"),Data!K546,"")</f>
        <v/>
      </c>
    </row>
    <row r="535" hidden="1" s="701">
      <c r="A535" s="164">
        <f>IF(AND(Data!R547&lt;&gt;"",Data!L547="Accepté"),Data!G547,"")</f>
        <v/>
      </c>
      <c r="B535" s="164">
        <f>IF(AND(Data!R547&lt;&gt;"",Data!L547="Accepté"),Data!L547,"")</f>
        <v/>
      </c>
      <c r="C535" s="329">
        <f>IF(D535&lt;&gt;"","S"&amp;TEXT(WEEKNUM(D535),"00"),"")</f>
        <v/>
      </c>
      <c r="D535" s="330">
        <f>IF(AND(Data!Q547&lt;&gt;"",Data!L547="Accepté"),Data!Q547,"")</f>
        <v/>
      </c>
      <c r="E535" s="106">
        <f>IF(AND(Data!R547&lt;&gt;"",Data!L547="Accepté"),Data!R547,"")</f>
        <v/>
      </c>
      <c r="F535" s="1037">
        <f>IF(AND(Data!R547&lt;&gt;"",Data!L547="Accepté"),Data!S547,"")</f>
        <v/>
      </c>
      <c r="G535" s="1038">
        <f>IF(Data!R547='Delivery Plan'!E535,Data!U547,"")</f>
        <v/>
      </c>
      <c r="H535" s="327" t="n"/>
      <c r="I535" s="329">
        <f>IF(J535&lt;&gt;"","S"&amp;TEXT(WEEKNUM(J535),"00"),"")</f>
        <v/>
      </c>
      <c r="J535" s="330">
        <f>IF(AND(E535=Data!R540,Data!AA540&lt;&gt;""),Data!AA540,"")</f>
        <v/>
      </c>
      <c r="K535" s="751">
        <f>IF(AND(E535=Data!R540,Data!AE540&lt;&gt;""),Data!AE540,"")</f>
        <v/>
      </c>
      <c r="L535" s="1039">
        <f>IF(E535=Data!R547,Data!AI547,"")</f>
        <v/>
      </c>
      <c r="M535" s="1039">
        <f>IF(E535=Data!R547,Data!AJ547,"")</f>
        <v/>
      </c>
      <c r="N535">
        <f>IF(AND(Data!R547&lt;&gt;"",Data!L547="Accepté"),Data!K547,"")</f>
        <v/>
      </c>
    </row>
    <row r="536" hidden="1" s="701">
      <c r="A536" s="164">
        <f>IF(AND(Data!R548&lt;&gt;"",Data!L548="Accepté"),Data!G548,"")</f>
        <v/>
      </c>
      <c r="B536" s="164">
        <f>IF(AND(Data!R548&lt;&gt;"",Data!L548="Accepté"),Data!L548,"")</f>
        <v/>
      </c>
      <c r="C536" s="329">
        <f>IF(D536&lt;&gt;"","S"&amp;TEXT(WEEKNUM(D536),"00"),"")</f>
        <v/>
      </c>
      <c r="D536" s="330">
        <f>IF(AND(Data!Q548&lt;&gt;"",Data!L548="Accepté"),Data!Q548,"")</f>
        <v/>
      </c>
      <c r="E536" s="106">
        <f>IF(AND(Data!R548&lt;&gt;"",Data!L548="Accepté"),Data!R548,"")</f>
        <v/>
      </c>
      <c r="F536" s="1037">
        <f>IF(AND(Data!R548&lt;&gt;"",Data!L548="Accepté"),Data!S548,"")</f>
        <v/>
      </c>
      <c r="G536" s="1038">
        <f>IF(Data!R548='Delivery Plan'!E536,Data!U548,"")</f>
        <v/>
      </c>
      <c r="H536" s="327" t="n"/>
      <c r="I536" s="329">
        <f>IF(J536&lt;&gt;"","S"&amp;TEXT(WEEKNUM(J536),"00"),"")</f>
        <v/>
      </c>
      <c r="J536" s="330">
        <f>IF(AND(E536=Data!R541,Data!AA541&lt;&gt;""),Data!AA541,"")</f>
        <v/>
      </c>
      <c r="K536" s="751">
        <f>IF(AND(E536=Data!R541,Data!AE541&lt;&gt;""),Data!AE541,"")</f>
        <v/>
      </c>
      <c r="L536" s="1039">
        <f>IF(E536=Data!R548,Data!AI548,"")</f>
        <v/>
      </c>
      <c r="M536" s="1039">
        <f>IF(E536=Data!R548,Data!AJ548,"")</f>
        <v/>
      </c>
      <c r="N536">
        <f>IF(AND(Data!R548&lt;&gt;"",Data!L548="Accepté"),Data!K548,"")</f>
        <v/>
      </c>
    </row>
    <row r="537" hidden="1" s="701">
      <c r="A537" s="164">
        <f>IF(AND(Data!R549&lt;&gt;"",Data!L549="Accepté"),Data!G549,"")</f>
        <v/>
      </c>
      <c r="B537" s="164">
        <f>IF(AND(Data!R549&lt;&gt;"",Data!L549="Accepté"),Data!L549,"")</f>
        <v/>
      </c>
      <c r="C537" s="329">
        <f>IF(D537&lt;&gt;"","S"&amp;TEXT(WEEKNUM(D537),"00"),"")</f>
        <v/>
      </c>
      <c r="D537" s="330">
        <f>IF(AND(Data!Q549&lt;&gt;"",Data!L549="Accepté"),Data!Q549,"")</f>
        <v/>
      </c>
      <c r="E537" s="106">
        <f>IF(AND(Data!R549&lt;&gt;"",Data!L549="Accepté"),Data!R549,"")</f>
        <v/>
      </c>
      <c r="F537" s="1037">
        <f>IF(AND(Data!R549&lt;&gt;"",Data!L549="Accepté"),Data!S549,"")</f>
        <v/>
      </c>
      <c r="G537" s="1038">
        <f>IF(Data!R549='Delivery Plan'!E537,Data!U549,"")</f>
        <v/>
      </c>
      <c r="H537" s="327" t="n"/>
      <c r="I537" s="329">
        <f>IF(J537&lt;&gt;"","S"&amp;TEXT(WEEKNUM(J537),"00"),"")</f>
        <v/>
      </c>
      <c r="J537" s="330">
        <f>IF(AND(E537=Data!R542,Data!AA542&lt;&gt;""),Data!AA542,"")</f>
        <v/>
      </c>
      <c r="K537" s="751">
        <f>IF(AND(E537=Data!R542,Data!AE542&lt;&gt;""),Data!AE542,"")</f>
        <v/>
      </c>
      <c r="L537" s="1039">
        <f>IF(E537=Data!R549,Data!AI549,"")</f>
        <v/>
      </c>
      <c r="M537" s="1039">
        <f>IF(E537=Data!R549,Data!AJ549,"")</f>
        <v/>
      </c>
      <c r="N537">
        <f>IF(AND(Data!R549&lt;&gt;"",Data!L549="Accepté"),Data!K549,"")</f>
        <v/>
      </c>
    </row>
    <row r="538" hidden="1" s="701">
      <c r="A538" s="164">
        <f>IF(AND(Data!R550&lt;&gt;"",Data!L550="Accepté"),Data!G550,"")</f>
        <v/>
      </c>
      <c r="B538" s="164">
        <f>IF(AND(Data!R550&lt;&gt;"",Data!L550="Accepté"),Data!L550,"")</f>
        <v/>
      </c>
      <c r="C538" s="329">
        <f>IF(D538&lt;&gt;"","S"&amp;TEXT(WEEKNUM(D538),"00"),"")</f>
        <v/>
      </c>
      <c r="D538" s="330">
        <f>IF(AND(Data!Q550&lt;&gt;"",Data!L550="Accepté"),Data!Q550,"")</f>
        <v/>
      </c>
      <c r="E538" s="106">
        <f>IF(AND(Data!R550&lt;&gt;"",Data!L550="Accepté"),Data!R550,"")</f>
        <v/>
      </c>
      <c r="F538" s="1037">
        <f>IF(AND(Data!R550&lt;&gt;"",Data!L550="Accepté"),Data!S550,"")</f>
        <v/>
      </c>
      <c r="G538" s="1038">
        <f>IF(Data!R550='Delivery Plan'!E538,Data!U550,"")</f>
        <v/>
      </c>
      <c r="H538" s="327" t="n"/>
      <c r="I538" s="329">
        <f>IF(J538&lt;&gt;"","S"&amp;TEXT(WEEKNUM(J538),"00"),"")</f>
        <v/>
      </c>
      <c r="J538" s="330">
        <f>IF(AND(E538=Data!R543,Data!AA543&lt;&gt;""),Data!AA543,"")</f>
        <v/>
      </c>
      <c r="K538" s="751">
        <f>IF(AND(E538=Data!R543,Data!AE543&lt;&gt;""),Data!AE543,"")</f>
        <v/>
      </c>
      <c r="L538" s="1039">
        <f>IF(E538=Data!R550,Data!AI550,"")</f>
        <v/>
      </c>
      <c r="M538" s="1039">
        <f>IF(E538=Data!R550,Data!AJ550,"")</f>
        <v/>
      </c>
      <c r="N538">
        <f>IF(AND(Data!R550&lt;&gt;"",Data!L550="Accepté"),Data!K550,"")</f>
        <v/>
      </c>
    </row>
    <row r="539" hidden="1" s="701">
      <c r="A539" s="164">
        <f>IF(AND(Data!R551&lt;&gt;"",Data!L551="Accepté"),Data!G551,"")</f>
        <v/>
      </c>
      <c r="B539" s="164">
        <f>IF(AND(Data!R551&lt;&gt;"",Data!L551="Accepté"),Data!L551,"")</f>
        <v/>
      </c>
      <c r="C539" s="329">
        <f>IF(D539&lt;&gt;"","S"&amp;TEXT(WEEKNUM(D539),"00"),"")</f>
        <v/>
      </c>
      <c r="D539" s="330">
        <f>IF(AND(Data!Q551&lt;&gt;"",Data!L551="Accepté"),Data!Q551,"")</f>
        <v/>
      </c>
      <c r="E539" s="106">
        <f>IF(AND(Data!R551&lt;&gt;"",Data!L551="Accepté"),Data!R551,"")</f>
        <v/>
      </c>
      <c r="F539" s="1037">
        <f>IF(AND(Data!R551&lt;&gt;"",Data!L551="Accepté"),Data!S551,"")</f>
        <v/>
      </c>
      <c r="G539" s="1038">
        <f>IF(Data!R551='Delivery Plan'!E539,Data!U551,"")</f>
        <v/>
      </c>
      <c r="H539" s="327" t="n"/>
      <c r="I539" s="329">
        <f>IF(J539&lt;&gt;"","S"&amp;TEXT(WEEKNUM(J539),"00"),"")</f>
        <v/>
      </c>
      <c r="J539" s="330">
        <f>IF(AND(E539=Data!R544,Data!AA544&lt;&gt;""),Data!AA544,"")</f>
        <v/>
      </c>
      <c r="K539" s="751">
        <f>IF(AND(E539=Data!R544,Data!AE544&lt;&gt;""),Data!AE544,"")</f>
        <v/>
      </c>
      <c r="L539" s="1039">
        <f>IF(E539=Data!R551,Data!AI551,"")</f>
        <v/>
      </c>
      <c r="M539" s="1039">
        <f>IF(E539=Data!R551,Data!AJ551,"")</f>
        <v/>
      </c>
      <c r="N539">
        <f>IF(AND(Data!R551&lt;&gt;"",Data!L551="Accepté"),Data!K551,"")</f>
        <v/>
      </c>
    </row>
    <row r="540" hidden="1" s="701">
      <c r="A540" s="164">
        <f>IF(AND(Data!R552&lt;&gt;"",Data!L552="Accepté"),Data!G552,"")</f>
        <v/>
      </c>
      <c r="B540" s="164">
        <f>IF(AND(Data!R552&lt;&gt;"",Data!L552="Accepté"),Data!L552,"")</f>
        <v/>
      </c>
      <c r="C540" s="329">
        <f>IF(D540&lt;&gt;"","S"&amp;TEXT(WEEKNUM(D540),"00"),"")</f>
        <v/>
      </c>
      <c r="D540" s="330">
        <f>IF(AND(Data!Q552&lt;&gt;"",Data!L552="Accepté"),Data!Q552,"")</f>
        <v/>
      </c>
      <c r="E540" s="106">
        <f>IF(AND(Data!R552&lt;&gt;"",Data!L552="Accepté"),Data!R552,"")</f>
        <v/>
      </c>
      <c r="F540" s="1037">
        <f>IF(AND(Data!R552&lt;&gt;"",Data!L552="Accepté"),Data!S552,"")</f>
        <v/>
      </c>
      <c r="G540" s="1038">
        <f>IF(Data!R552='Delivery Plan'!E540,Data!U552,"")</f>
        <v/>
      </c>
      <c r="H540" s="327" t="n"/>
      <c r="I540" s="329">
        <f>IF(J540&lt;&gt;"","S"&amp;TEXT(WEEKNUM(J540),"00"),"")</f>
        <v/>
      </c>
      <c r="J540" s="330">
        <f>IF(AND(E540=Data!R545,Data!AA545&lt;&gt;""),Data!AA545,"")</f>
        <v/>
      </c>
      <c r="K540" s="751">
        <f>IF(AND(E540=Data!R545,Data!AE545&lt;&gt;""),Data!AE545,"")</f>
        <v/>
      </c>
      <c r="L540" s="1039">
        <f>IF(E540=Data!R552,Data!AI552,"")</f>
        <v/>
      </c>
      <c r="M540" s="1039">
        <f>IF(E540=Data!R552,Data!AJ552,"")</f>
        <v/>
      </c>
      <c r="N540">
        <f>IF(AND(Data!R552&lt;&gt;"",Data!L552="Accepté"),Data!K552,"")</f>
        <v/>
      </c>
    </row>
    <row r="541" hidden="1" s="701">
      <c r="A541" s="164">
        <f>IF(AND(Data!R553&lt;&gt;"",Data!L553="Accepté"),Data!G553,"")</f>
        <v/>
      </c>
      <c r="B541" s="164">
        <f>IF(AND(Data!R553&lt;&gt;"",Data!L553="Accepté"),Data!L553,"")</f>
        <v/>
      </c>
      <c r="C541" s="329">
        <f>IF(D541&lt;&gt;"","S"&amp;TEXT(WEEKNUM(D541),"00"),"")</f>
        <v/>
      </c>
      <c r="D541" s="330">
        <f>IF(AND(Data!Q553&lt;&gt;"",Data!L553="Accepté"),Data!Q553,"")</f>
        <v/>
      </c>
      <c r="E541" s="106">
        <f>IF(AND(Data!R553&lt;&gt;"",Data!L553="Accepté"),Data!R553,"")</f>
        <v/>
      </c>
      <c r="F541" s="1037">
        <f>IF(AND(Data!R553&lt;&gt;"",Data!L553="Accepté"),Data!S553,"")</f>
        <v/>
      </c>
      <c r="G541" s="1038">
        <f>IF(Data!R553='Delivery Plan'!E541,Data!U553,"")</f>
        <v/>
      </c>
      <c r="H541" s="327" t="n"/>
      <c r="I541" s="329">
        <f>IF(J541&lt;&gt;"","S"&amp;TEXT(WEEKNUM(J541),"00"),"")</f>
        <v/>
      </c>
      <c r="J541" s="330">
        <f>IF(AND(E541=Data!R546,Data!AA546&lt;&gt;""),Data!AA546,"")</f>
        <v/>
      </c>
      <c r="K541" s="751">
        <f>IF(AND(E541=Data!R546,Data!AE546&lt;&gt;""),Data!AE546,"")</f>
        <v/>
      </c>
      <c r="L541" s="1039">
        <f>IF(E541=Data!R553,Data!AI553,"")</f>
        <v/>
      </c>
      <c r="M541" s="1039">
        <f>IF(E541=Data!R553,Data!AJ553,"")</f>
        <v/>
      </c>
      <c r="N541">
        <f>IF(AND(Data!R553&lt;&gt;"",Data!L553="Accepté"),Data!K553,"")</f>
        <v/>
      </c>
    </row>
    <row r="542" hidden="1" s="701">
      <c r="A542" s="164">
        <f>IF(AND(Data!R554&lt;&gt;"",Data!L554="Accepté"),Data!G554,"")</f>
        <v/>
      </c>
      <c r="B542" s="164">
        <f>IF(AND(Data!R554&lt;&gt;"",Data!L554="Accepté"),Data!L554,"")</f>
        <v/>
      </c>
      <c r="C542" s="329">
        <f>IF(D542&lt;&gt;"","S"&amp;TEXT(WEEKNUM(D542),"00"),"")</f>
        <v/>
      </c>
      <c r="D542" s="330">
        <f>IF(AND(Data!Q554&lt;&gt;"",Data!L554="Accepté"),Data!Q554,"")</f>
        <v/>
      </c>
      <c r="E542" s="106">
        <f>IF(AND(Data!R554&lt;&gt;"",Data!L554="Accepté"),Data!R554,"")</f>
        <v/>
      </c>
      <c r="F542" s="1037">
        <f>IF(AND(Data!R554&lt;&gt;"",Data!L554="Accepté"),Data!S554,"")</f>
        <v/>
      </c>
      <c r="G542" s="1038">
        <f>IF(Data!R554='Delivery Plan'!E542,Data!U554,"")</f>
        <v/>
      </c>
      <c r="H542" s="327" t="n"/>
      <c r="I542" s="329">
        <f>IF(J542&lt;&gt;"","S"&amp;TEXT(WEEKNUM(J542),"00"),"")</f>
        <v/>
      </c>
      <c r="J542" s="330">
        <f>IF(AND(E542=Data!R547,Data!AA547&lt;&gt;""),Data!AA547,"")</f>
        <v/>
      </c>
      <c r="K542" s="751">
        <f>IF(AND(E542=Data!R547,Data!AE547&lt;&gt;""),Data!AE547,"")</f>
        <v/>
      </c>
      <c r="L542" s="1039">
        <f>IF(E542=Data!R554,Data!AI554,"")</f>
        <v/>
      </c>
      <c r="M542" s="1039">
        <f>IF(E542=Data!R554,Data!AJ554,"")</f>
        <v/>
      </c>
      <c r="N542">
        <f>IF(AND(Data!R554&lt;&gt;"",Data!L554="Accepté"),Data!K554,"")</f>
        <v/>
      </c>
    </row>
    <row r="543" hidden="1" s="701">
      <c r="A543" s="164">
        <f>IF(AND(Data!R555&lt;&gt;"",Data!L555="Accepté"),Data!G555,"")</f>
        <v/>
      </c>
      <c r="B543" s="164">
        <f>IF(AND(Data!R555&lt;&gt;"",Data!L555="Accepté"),Data!L555,"")</f>
        <v/>
      </c>
      <c r="C543" s="329">
        <f>IF(D543&lt;&gt;"","S"&amp;TEXT(WEEKNUM(D543),"00"),"")</f>
        <v/>
      </c>
      <c r="D543" s="330">
        <f>IF(AND(Data!Q555&lt;&gt;"",Data!L555="Accepté"),Data!Q555,"")</f>
        <v/>
      </c>
      <c r="E543" s="106">
        <f>IF(AND(Data!R555&lt;&gt;"",Data!L555="Accepté"),Data!R555,"")</f>
        <v/>
      </c>
      <c r="F543" s="1037">
        <f>IF(AND(Data!R555&lt;&gt;"",Data!L555="Accepté"),Data!S555,"")</f>
        <v/>
      </c>
      <c r="G543" s="1038">
        <f>IF(Data!R555='Delivery Plan'!E543,Data!U555,"")</f>
        <v/>
      </c>
      <c r="H543" s="327" t="n"/>
      <c r="I543" s="329">
        <f>IF(J543&lt;&gt;"","S"&amp;TEXT(WEEKNUM(J543),"00"),"")</f>
        <v/>
      </c>
      <c r="J543" s="330">
        <f>IF(AND(E543=Data!R548,Data!AA548&lt;&gt;""),Data!AA548,"")</f>
        <v/>
      </c>
      <c r="K543" s="751">
        <f>IF(AND(E543=Data!R548,Data!AE548&lt;&gt;""),Data!AE548,"")</f>
        <v/>
      </c>
      <c r="L543" s="1039">
        <f>IF(E543=Data!R555,Data!AI555,"")</f>
        <v/>
      </c>
      <c r="M543" s="1039">
        <f>IF(E543=Data!R555,Data!AJ555,"")</f>
        <v/>
      </c>
      <c r="N543">
        <f>IF(AND(Data!R555&lt;&gt;"",Data!L555="Accepté"),Data!K555,"")</f>
        <v/>
      </c>
    </row>
    <row r="544" hidden="1" s="701">
      <c r="A544" s="164">
        <f>IF(AND(Data!R556&lt;&gt;"",Data!L556="Accepté"),Data!G556,"")</f>
        <v/>
      </c>
      <c r="B544" s="164">
        <f>IF(AND(Data!R556&lt;&gt;"",Data!L556="Accepté"),Data!L556,"")</f>
        <v/>
      </c>
      <c r="C544" s="329">
        <f>IF(D544&lt;&gt;"","S"&amp;TEXT(WEEKNUM(D544),"00"),"")</f>
        <v/>
      </c>
      <c r="D544" s="330">
        <f>IF(AND(Data!Q556&lt;&gt;"",Data!L556="Accepté"),Data!Q556,"")</f>
        <v/>
      </c>
      <c r="E544" s="106">
        <f>IF(AND(Data!R556&lt;&gt;"",Data!L556="Accepté"),Data!R556,"")</f>
        <v/>
      </c>
      <c r="F544" s="1037">
        <f>IF(AND(Data!R556&lt;&gt;"",Data!L556="Accepté"),Data!S556,"")</f>
        <v/>
      </c>
      <c r="G544" s="1038">
        <f>IF(Data!R556='Delivery Plan'!E544,Data!U556,"")</f>
        <v/>
      </c>
      <c r="H544" s="327" t="n"/>
      <c r="I544" s="329">
        <f>IF(J544&lt;&gt;"","S"&amp;TEXT(WEEKNUM(J544),"00"),"")</f>
        <v/>
      </c>
      <c r="J544" s="330">
        <f>IF(AND(E544=Data!R549,Data!AA549&lt;&gt;""),Data!AA549,"")</f>
        <v/>
      </c>
      <c r="K544" s="751">
        <f>IF(AND(E544=Data!R549,Data!AE549&lt;&gt;""),Data!AE549,"")</f>
        <v/>
      </c>
      <c r="L544" s="1039">
        <f>IF(E544=Data!R556,Data!AI556,"")</f>
        <v/>
      </c>
      <c r="M544" s="1039">
        <f>IF(E544=Data!R556,Data!AJ556,"")</f>
        <v/>
      </c>
      <c r="N544">
        <f>IF(AND(Data!R556&lt;&gt;"",Data!L556="Accepté"),Data!K556,"")</f>
        <v/>
      </c>
    </row>
    <row r="545" hidden="1" s="701">
      <c r="A545" s="164">
        <f>IF(AND(Data!R557&lt;&gt;"",Data!L557="Accepté"),Data!G557,"")</f>
        <v/>
      </c>
      <c r="B545" s="164">
        <f>IF(AND(Data!R557&lt;&gt;"",Data!L557="Accepté"),Data!L557,"")</f>
        <v/>
      </c>
      <c r="C545" s="329">
        <f>IF(D545&lt;&gt;"","S"&amp;TEXT(WEEKNUM(D545),"00"),"")</f>
        <v/>
      </c>
      <c r="D545" s="330">
        <f>IF(AND(Data!Q557&lt;&gt;"",Data!L557="Accepté"),Data!Q557,"")</f>
        <v/>
      </c>
      <c r="E545" s="106">
        <f>IF(AND(Data!R557&lt;&gt;"",Data!L557="Accepté"),Data!R557,"")</f>
        <v/>
      </c>
      <c r="F545" s="1037">
        <f>IF(AND(Data!R557&lt;&gt;"",Data!L557="Accepté"),Data!S557,"")</f>
        <v/>
      </c>
      <c r="G545" s="1038">
        <f>IF(Data!R557='Delivery Plan'!E545,Data!U557,"")</f>
        <v/>
      </c>
      <c r="H545" s="327" t="n"/>
      <c r="I545" s="329">
        <f>IF(J545&lt;&gt;"","S"&amp;TEXT(WEEKNUM(J545),"00"),"")</f>
        <v/>
      </c>
      <c r="J545" s="330">
        <f>IF(AND(E545=Data!R550,Data!AA550&lt;&gt;""),Data!AA550,"")</f>
        <v/>
      </c>
      <c r="K545" s="751">
        <f>IF(AND(E545=Data!R550,Data!AE550&lt;&gt;""),Data!AE550,"")</f>
        <v/>
      </c>
      <c r="L545" s="1039">
        <f>IF(E545=Data!R557,Data!AI557,"")</f>
        <v/>
      </c>
      <c r="M545" s="1039">
        <f>IF(E545=Data!R557,Data!AJ557,"")</f>
        <v/>
      </c>
      <c r="N545">
        <f>IF(AND(Data!R557&lt;&gt;"",Data!L557="Accepté"),Data!K557,"")</f>
        <v/>
      </c>
    </row>
    <row r="546" hidden="1" s="701">
      <c r="A546" s="164">
        <f>IF(AND(Data!R558&lt;&gt;"",Data!L558="Accepté"),Data!G558,"")</f>
        <v/>
      </c>
      <c r="B546" s="164">
        <f>IF(AND(Data!R558&lt;&gt;"",Data!L558="Accepté"),Data!L558,"")</f>
        <v/>
      </c>
      <c r="C546" s="329">
        <f>IF(D546&lt;&gt;"","S"&amp;TEXT(WEEKNUM(D546),"00"),"")</f>
        <v/>
      </c>
      <c r="D546" s="330">
        <f>IF(AND(Data!Q558&lt;&gt;"",Data!L558="Accepté"),Data!Q558,"")</f>
        <v/>
      </c>
      <c r="E546" s="106">
        <f>IF(AND(Data!R558&lt;&gt;"",Data!L558="Accepté"),Data!R558,"")</f>
        <v/>
      </c>
      <c r="F546" s="1037">
        <f>IF(AND(Data!R558&lt;&gt;"",Data!L558="Accepté"),Data!S558,"")</f>
        <v/>
      </c>
      <c r="G546" s="1038">
        <f>IF(Data!R558='Delivery Plan'!E546,Data!U558,"")</f>
        <v/>
      </c>
      <c r="H546" s="327" t="n"/>
      <c r="I546" s="329">
        <f>IF(J546&lt;&gt;"","S"&amp;TEXT(WEEKNUM(J546),"00"),"")</f>
        <v/>
      </c>
      <c r="J546" s="330">
        <f>IF(AND(E546=Data!R551,Data!AA551&lt;&gt;""),Data!AA551,"")</f>
        <v/>
      </c>
      <c r="K546" s="751">
        <f>IF(AND(E546=Data!R551,Data!AE551&lt;&gt;""),Data!AE551,"")</f>
        <v/>
      </c>
      <c r="L546" s="1039">
        <f>IF(E546=Data!R558,Data!AI558,"")</f>
        <v/>
      </c>
      <c r="M546" s="1039">
        <f>IF(E546=Data!R558,Data!AJ558,"")</f>
        <v/>
      </c>
      <c r="N546">
        <f>IF(AND(Data!R558&lt;&gt;"",Data!L558="Accepté"),Data!K558,"")</f>
        <v/>
      </c>
    </row>
    <row r="547" hidden="1" s="701">
      <c r="A547" s="164">
        <f>IF(AND(Data!R559&lt;&gt;"",Data!L559="Accepté"),Data!G559,"")</f>
        <v/>
      </c>
      <c r="B547" s="164">
        <f>IF(AND(Data!R559&lt;&gt;"",Data!L559="Accepté"),Data!L559,"")</f>
        <v/>
      </c>
      <c r="C547" s="329">
        <f>IF(D547&lt;&gt;"","S"&amp;TEXT(WEEKNUM(D547),"00"),"")</f>
        <v/>
      </c>
      <c r="D547" s="330">
        <f>IF(AND(Data!Q559&lt;&gt;"",Data!L559="Accepté"),Data!Q559,"")</f>
        <v/>
      </c>
      <c r="E547" s="106">
        <f>IF(AND(Data!R559&lt;&gt;"",Data!L559="Accepté"),Data!R559,"")</f>
        <v/>
      </c>
      <c r="F547" s="1037">
        <f>IF(AND(Data!R559&lt;&gt;"",Data!L559="Accepté"),Data!S559,"")</f>
        <v/>
      </c>
      <c r="G547" s="1038">
        <f>IF(Data!R559='Delivery Plan'!E547,Data!U559,"")</f>
        <v/>
      </c>
      <c r="H547" s="327" t="n"/>
      <c r="I547" s="329">
        <f>IF(J547&lt;&gt;"","S"&amp;TEXT(WEEKNUM(J547),"00"),"")</f>
        <v/>
      </c>
      <c r="J547" s="330">
        <f>IF(AND(E547=Data!R552,Data!AA552&lt;&gt;""),Data!AA552,"")</f>
        <v/>
      </c>
      <c r="K547" s="751">
        <f>IF(AND(E547=Data!R552,Data!AE552&lt;&gt;""),Data!AE552,"")</f>
        <v/>
      </c>
      <c r="L547" s="1039">
        <f>IF(E547=Data!R559,Data!AI559,"")</f>
        <v/>
      </c>
      <c r="M547" s="1039">
        <f>IF(E547=Data!R559,Data!AJ559,"")</f>
        <v/>
      </c>
      <c r="N547">
        <f>IF(AND(Data!R559&lt;&gt;"",Data!L559="Accepté"),Data!K559,"")</f>
        <v/>
      </c>
    </row>
    <row r="548" hidden="1" s="701">
      <c r="A548" s="164">
        <f>IF(AND(Data!R560&lt;&gt;"",Data!L560="Accepté"),Data!G560,"")</f>
        <v/>
      </c>
      <c r="B548" s="164">
        <f>IF(AND(Data!R560&lt;&gt;"",Data!L560="Accepté"),Data!L560,"")</f>
        <v/>
      </c>
      <c r="C548" s="329">
        <f>IF(D548&lt;&gt;"","S"&amp;TEXT(WEEKNUM(D548),"00"),"")</f>
        <v/>
      </c>
      <c r="D548" s="330">
        <f>IF(AND(Data!Q560&lt;&gt;"",Data!L560="Accepté"),Data!Q560,"")</f>
        <v/>
      </c>
      <c r="E548" s="106">
        <f>IF(AND(Data!R560&lt;&gt;"",Data!L560="Accepté"),Data!R560,"")</f>
        <v/>
      </c>
      <c r="F548" s="1037">
        <f>IF(AND(Data!R560&lt;&gt;"",Data!L560="Accepté"),Data!S560,"")</f>
        <v/>
      </c>
      <c r="G548" s="1038">
        <f>IF(Data!R560='Delivery Plan'!E548,Data!U560,"")</f>
        <v/>
      </c>
      <c r="H548" s="327" t="n"/>
      <c r="I548" s="329">
        <f>IF(J548&lt;&gt;"","S"&amp;TEXT(WEEKNUM(J548),"00"),"")</f>
        <v/>
      </c>
      <c r="J548" s="330">
        <f>IF(AND(E548=Data!R553,Data!AA553&lt;&gt;""),Data!AA553,"")</f>
        <v/>
      </c>
      <c r="K548" s="751">
        <f>IF(AND(E548=Data!R553,Data!AE553&lt;&gt;""),Data!AE553,"")</f>
        <v/>
      </c>
      <c r="L548" s="1039">
        <f>IF(E548=Data!R560,Data!AI560,"")</f>
        <v/>
      </c>
      <c r="M548" s="1039">
        <f>IF(E548=Data!R560,Data!AJ560,"")</f>
        <v/>
      </c>
      <c r="N548">
        <f>IF(AND(Data!R560&lt;&gt;"",Data!L560="Accepté"),Data!K560,"")</f>
        <v/>
      </c>
    </row>
    <row r="549" hidden="1" s="701">
      <c r="A549" s="164">
        <f>IF(AND(Data!R561&lt;&gt;"",Data!L561="Accepté"),Data!G561,"")</f>
        <v/>
      </c>
      <c r="B549" s="164">
        <f>IF(AND(Data!R561&lt;&gt;"",Data!L561="Accepté"),Data!L561,"")</f>
        <v/>
      </c>
      <c r="C549" s="329">
        <f>IF(D549&lt;&gt;"","S"&amp;TEXT(WEEKNUM(D549),"00"),"")</f>
        <v/>
      </c>
      <c r="D549" s="330">
        <f>IF(AND(Data!Q561&lt;&gt;"",Data!L561="Accepté"),Data!Q561,"")</f>
        <v/>
      </c>
      <c r="E549" s="106">
        <f>IF(AND(Data!R561&lt;&gt;"",Data!L561="Accepté"),Data!R561,"")</f>
        <v/>
      </c>
      <c r="F549" s="1037">
        <f>IF(AND(Data!R561&lt;&gt;"",Data!L561="Accepté"),Data!S561,"")</f>
        <v/>
      </c>
      <c r="G549" s="1038">
        <f>IF(Data!R561='Delivery Plan'!E549,Data!U561,"")</f>
        <v/>
      </c>
      <c r="H549" s="327" t="n"/>
      <c r="I549" s="329">
        <f>IF(J549&lt;&gt;"","S"&amp;TEXT(WEEKNUM(J549),"00"),"")</f>
        <v/>
      </c>
      <c r="J549" s="330">
        <f>IF(AND(E549=Data!R554,Data!AA554&lt;&gt;""),Data!AA554,"")</f>
        <v/>
      </c>
      <c r="K549" s="751">
        <f>IF(AND(E549=Data!R554,Data!AE554&lt;&gt;""),Data!AE554,"")</f>
        <v/>
      </c>
      <c r="L549" s="1039">
        <f>IF(E549=Data!R561,Data!AI561,"")</f>
        <v/>
      </c>
      <c r="M549" s="1039">
        <f>IF(E549=Data!R561,Data!AJ561,"")</f>
        <v/>
      </c>
      <c r="N549">
        <f>IF(AND(Data!R561&lt;&gt;"",Data!L561="Accepté"),Data!K561,"")</f>
        <v/>
      </c>
    </row>
    <row r="550" hidden="1" s="701">
      <c r="A550" s="164">
        <f>IF(AND(Data!R562&lt;&gt;"",Data!L562="Accepté"),Data!G562,"")</f>
        <v/>
      </c>
      <c r="B550" s="164">
        <f>IF(AND(Data!R562&lt;&gt;"",Data!L562="Accepté"),Data!L562,"")</f>
        <v/>
      </c>
      <c r="C550" s="329">
        <f>IF(D550&lt;&gt;"","S"&amp;TEXT(WEEKNUM(D550),"00"),"")</f>
        <v/>
      </c>
      <c r="D550" s="330">
        <f>IF(AND(Data!Q562&lt;&gt;"",Data!L562="Accepté"),Data!Q562,"")</f>
        <v/>
      </c>
      <c r="E550" s="106">
        <f>IF(AND(Data!R562&lt;&gt;"",Data!L562="Accepté"),Data!R562,"")</f>
        <v/>
      </c>
      <c r="F550" s="1037">
        <f>IF(AND(Data!R562&lt;&gt;"",Data!L562="Accepté"),Data!S562,"")</f>
        <v/>
      </c>
      <c r="G550" s="1038">
        <f>IF(Data!R562='Delivery Plan'!E550,Data!U562,"")</f>
        <v/>
      </c>
      <c r="H550" s="327" t="n"/>
      <c r="I550" s="329">
        <f>IF(J550&lt;&gt;"","S"&amp;TEXT(WEEKNUM(J550),"00"),"")</f>
        <v/>
      </c>
      <c r="J550" s="330">
        <f>IF(AND(E550=Data!R555,Data!AA555&lt;&gt;""),Data!AA555,"")</f>
        <v/>
      </c>
      <c r="K550" s="751">
        <f>IF(AND(E550=Data!R555,Data!AE555&lt;&gt;""),Data!AE555,"")</f>
        <v/>
      </c>
      <c r="L550" s="1039">
        <f>IF(E550=Data!R562,Data!AI562,"")</f>
        <v/>
      </c>
      <c r="M550" s="1039">
        <f>IF(E550=Data!R562,Data!AJ562,"")</f>
        <v/>
      </c>
      <c r="N550">
        <f>IF(AND(Data!R562&lt;&gt;"",Data!L562="Accepté"),Data!K562,"")</f>
        <v/>
      </c>
    </row>
    <row r="551" hidden="1" s="701">
      <c r="A551" s="164">
        <f>IF(AND(Data!R563&lt;&gt;"",Data!L563="Accepté"),Data!G563,"")</f>
        <v/>
      </c>
      <c r="B551" s="164">
        <f>IF(AND(Data!R563&lt;&gt;"",Data!L563="Accepté"),Data!L563,"")</f>
        <v/>
      </c>
      <c r="C551" s="329">
        <f>IF(D551&lt;&gt;"","S"&amp;TEXT(WEEKNUM(D551),"00"),"")</f>
        <v/>
      </c>
      <c r="D551" s="330">
        <f>IF(AND(Data!Q563&lt;&gt;"",Data!L563="Accepté"),Data!Q563,"")</f>
        <v/>
      </c>
      <c r="E551" s="106">
        <f>IF(AND(Data!R563&lt;&gt;"",Data!L563="Accepté"),Data!R563,"")</f>
        <v/>
      </c>
      <c r="F551" s="1037">
        <f>IF(AND(Data!R563&lt;&gt;"",Data!L563="Accepté"),Data!S563,"")</f>
        <v/>
      </c>
      <c r="G551" s="1038">
        <f>IF(Data!R563='Delivery Plan'!E551,Data!U563,"")</f>
        <v/>
      </c>
      <c r="H551" s="327" t="n"/>
      <c r="I551" s="329">
        <f>IF(J551&lt;&gt;"","S"&amp;TEXT(WEEKNUM(J551),"00"),"")</f>
        <v/>
      </c>
      <c r="J551" s="330">
        <f>IF(AND(E551=Data!R556,Data!AA556&lt;&gt;""),Data!AA556,"")</f>
        <v/>
      </c>
      <c r="K551" s="751">
        <f>IF(AND(E551=Data!R556,Data!AE556&lt;&gt;""),Data!AE556,"")</f>
        <v/>
      </c>
      <c r="L551" s="1039">
        <f>IF(E551=Data!R563,Data!AI563,"")</f>
        <v/>
      </c>
      <c r="M551" s="1039">
        <f>IF(E551=Data!R563,Data!AJ563,"")</f>
        <v/>
      </c>
      <c r="N551">
        <f>IF(AND(Data!R563&lt;&gt;"",Data!L563="Accepté"),Data!K563,"")</f>
        <v/>
      </c>
    </row>
    <row r="552" hidden="1" s="701">
      <c r="A552" s="164">
        <f>IF(AND(Data!R564&lt;&gt;"",Data!L564="Accepté"),Data!G564,"")</f>
        <v/>
      </c>
      <c r="B552" s="164">
        <f>IF(AND(Data!R564&lt;&gt;"",Data!L564="Accepté"),Data!L564,"")</f>
        <v/>
      </c>
      <c r="C552" s="329">
        <f>IF(D552&lt;&gt;"","S"&amp;TEXT(WEEKNUM(D552),"00"),"")</f>
        <v/>
      </c>
      <c r="D552" s="330">
        <f>IF(AND(Data!Q564&lt;&gt;"",Data!L564="Accepté"),Data!Q564,"")</f>
        <v/>
      </c>
      <c r="E552" s="106">
        <f>IF(AND(Data!R564&lt;&gt;"",Data!L564="Accepté"),Data!R564,"")</f>
        <v/>
      </c>
      <c r="F552" s="1037">
        <f>IF(AND(Data!R564&lt;&gt;"",Data!L564="Accepté"),Data!S564,"")</f>
        <v/>
      </c>
      <c r="G552" s="1038">
        <f>IF(Data!R564='Delivery Plan'!E552,Data!U564,"")</f>
        <v/>
      </c>
      <c r="H552" s="327" t="n"/>
      <c r="I552" s="329">
        <f>IF(J552&lt;&gt;"","S"&amp;TEXT(WEEKNUM(J552),"00"),"")</f>
        <v/>
      </c>
      <c r="J552" s="330">
        <f>IF(AND(E552=Data!R557,Data!AA557&lt;&gt;""),Data!AA557,"")</f>
        <v/>
      </c>
      <c r="K552" s="751">
        <f>IF(AND(E552=Data!R557,Data!AE557&lt;&gt;""),Data!AE557,"")</f>
        <v/>
      </c>
      <c r="L552" s="1039">
        <f>IF(E552=Data!R564,Data!AI564,"")</f>
        <v/>
      </c>
      <c r="M552" s="1039">
        <f>IF(E552=Data!R564,Data!AJ564,"")</f>
        <v/>
      </c>
      <c r="N552">
        <f>IF(AND(Data!R564&lt;&gt;"",Data!L564="Accepté"),Data!K564,"")</f>
        <v/>
      </c>
    </row>
    <row r="553" hidden="1" s="701">
      <c r="A553" s="164">
        <f>IF(AND(Data!R565&lt;&gt;"",Data!L565="Accepté"),Data!G565,"")</f>
        <v/>
      </c>
      <c r="B553" s="164">
        <f>IF(AND(Data!R565&lt;&gt;"",Data!L565="Accepté"),Data!L565,"")</f>
        <v/>
      </c>
      <c r="C553" s="329">
        <f>IF(D553&lt;&gt;"","S"&amp;TEXT(WEEKNUM(D553),"00"),"")</f>
        <v/>
      </c>
      <c r="D553" s="330">
        <f>IF(AND(Data!Q565&lt;&gt;"",Data!L565="Accepté"),Data!Q565,"")</f>
        <v/>
      </c>
      <c r="E553" s="106">
        <f>IF(AND(Data!R565&lt;&gt;"",Data!L565="Accepté"),Data!R565,"")</f>
        <v/>
      </c>
      <c r="F553" s="1037">
        <f>IF(AND(Data!R565&lt;&gt;"",Data!L565="Accepté"),Data!S565,"")</f>
        <v/>
      </c>
      <c r="G553" s="1038">
        <f>IF(Data!R565='Delivery Plan'!E553,Data!U565,"")</f>
        <v/>
      </c>
      <c r="H553" s="327" t="n"/>
      <c r="I553" s="329">
        <f>IF(J553&lt;&gt;"","S"&amp;TEXT(WEEKNUM(J553),"00"),"")</f>
        <v/>
      </c>
      <c r="J553" s="330">
        <f>IF(AND(E553=Data!R558,Data!AA558&lt;&gt;""),Data!AA558,"")</f>
        <v/>
      </c>
      <c r="K553" s="751">
        <f>IF(AND(E553=Data!R558,Data!AE558&lt;&gt;""),Data!AE558,"")</f>
        <v/>
      </c>
      <c r="L553" s="1039">
        <f>IF(E553=Data!R565,Data!AI565,"")</f>
        <v/>
      </c>
      <c r="M553" s="1039">
        <f>IF(E553=Data!R565,Data!AJ565,"")</f>
        <v/>
      </c>
      <c r="N553">
        <f>IF(AND(Data!R565&lt;&gt;"",Data!L565="Accepté"),Data!K565,"")</f>
        <v/>
      </c>
    </row>
    <row r="554" hidden="1" s="701">
      <c r="A554" s="164">
        <f>IF(AND(Data!R566&lt;&gt;"",Data!L566="Accepté"),Data!G566,"")</f>
        <v/>
      </c>
      <c r="B554" s="164">
        <f>IF(AND(Data!R566&lt;&gt;"",Data!L566="Accepté"),Data!L566,"")</f>
        <v/>
      </c>
      <c r="C554" s="329">
        <f>IF(D554&lt;&gt;"","S"&amp;TEXT(WEEKNUM(D554),"00"),"")</f>
        <v/>
      </c>
      <c r="D554" s="330">
        <f>IF(AND(Data!Q566&lt;&gt;"",Data!L566="Accepté"),Data!Q566,"")</f>
        <v/>
      </c>
      <c r="E554" s="106">
        <f>IF(AND(Data!R566&lt;&gt;"",Data!L566="Accepté"),Data!R566,"")</f>
        <v/>
      </c>
      <c r="F554" s="1037">
        <f>IF(AND(Data!R566&lt;&gt;"",Data!L566="Accepté"),Data!S566,"")</f>
        <v/>
      </c>
      <c r="G554" s="1038">
        <f>IF(Data!R566='Delivery Plan'!E554,Data!U566,"")</f>
        <v/>
      </c>
      <c r="H554" s="327" t="n"/>
      <c r="I554" s="329">
        <f>IF(J554&lt;&gt;"","S"&amp;TEXT(WEEKNUM(J554),"00"),"")</f>
        <v/>
      </c>
      <c r="J554" s="330">
        <f>IF(AND(E554=Data!R559,Data!AA559&lt;&gt;""),Data!AA559,"")</f>
        <v/>
      </c>
      <c r="K554" s="751">
        <f>IF(AND(E554=Data!R559,Data!AE559&lt;&gt;""),Data!AE559,"")</f>
        <v/>
      </c>
      <c r="L554" s="1039">
        <f>IF(E554=Data!R566,Data!AI566,"")</f>
        <v/>
      </c>
      <c r="M554" s="1039">
        <f>IF(E554=Data!R566,Data!AJ566,"")</f>
        <v/>
      </c>
      <c r="N554">
        <f>IF(AND(Data!R566&lt;&gt;"",Data!L566="Accepté"),Data!K566,"")</f>
        <v/>
      </c>
    </row>
    <row r="555" hidden="1" s="701">
      <c r="A555" s="164">
        <f>IF(AND(Data!R567&lt;&gt;"",Data!L567="Accepté"),Data!G567,"")</f>
        <v/>
      </c>
      <c r="B555" s="164">
        <f>IF(AND(Data!R567&lt;&gt;"",Data!L567="Accepté"),Data!L567,"")</f>
        <v/>
      </c>
      <c r="C555" s="329">
        <f>IF(D555&lt;&gt;"","S"&amp;TEXT(WEEKNUM(D555),"00"),"")</f>
        <v/>
      </c>
      <c r="D555" s="330">
        <f>IF(AND(Data!Q567&lt;&gt;"",Data!L567="Accepté"),Data!Q567,"")</f>
        <v/>
      </c>
      <c r="E555" s="106">
        <f>IF(AND(Data!R567&lt;&gt;"",Data!L567="Accepté"),Data!R567,"")</f>
        <v/>
      </c>
      <c r="F555" s="1037">
        <f>IF(AND(Data!R567&lt;&gt;"",Data!L567="Accepté"),Data!S567,"")</f>
        <v/>
      </c>
      <c r="G555" s="1038">
        <f>IF(Data!R567='Delivery Plan'!E555,Data!U567,"")</f>
        <v/>
      </c>
      <c r="H555" s="327" t="n"/>
      <c r="I555" s="329">
        <f>IF(J555&lt;&gt;"","S"&amp;TEXT(WEEKNUM(J555),"00"),"")</f>
        <v/>
      </c>
      <c r="J555" s="330">
        <f>IF(AND(E555=Data!R560,Data!AA560&lt;&gt;""),Data!AA560,"")</f>
        <v/>
      </c>
      <c r="K555" s="751">
        <f>IF(AND(E555=Data!R560,Data!AE560&lt;&gt;""),Data!AE560,"")</f>
        <v/>
      </c>
      <c r="L555" s="1039">
        <f>IF(E555=Data!R567,Data!AI567,"")</f>
        <v/>
      </c>
      <c r="M555" s="1039">
        <f>IF(E555=Data!R567,Data!AJ567,"")</f>
        <v/>
      </c>
      <c r="N555">
        <f>IF(AND(Data!R567&lt;&gt;"",Data!L567="Accepté"),Data!K567,"")</f>
        <v/>
      </c>
    </row>
    <row r="556" hidden="1" s="701">
      <c r="A556" s="164">
        <f>IF(AND(Data!R568&lt;&gt;"",Data!L568="Accepté"),Data!G568,"")</f>
        <v/>
      </c>
      <c r="B556" s="164">
        <f>IF(AND(Data!R568&lt;&gt;"",Data!L568="Accepté"),Data!L568,"")</f>
        <v/>
      </c>
      <c r="C556" s="329">
        <f>IF(D556&lt;&gt;"","S"&amp;TEXT(WEEKNUM(D556),"00"),"")</f>
        <v/>
      </c>
      <c r="D556" s="330">
        <f>IF(AND(Data!Q568&lt;&gt;"",Data!L568="Accepté"),Data!Q568,"")</f>
        <v/>
      </c>
      <c r="E556" s="106">
        <f>IF(AND(Data!R568&lt;&gt;"",Data!L568="Accepté"),Data!R568,"")</f>
        <v/>
      </c>
      <c r="F556" s="1037">
        <f>IF(AND(Data!R568&lt;&gt;"",Data!L568="Accepté"),Data!S568,"")</f>
        <v/>
      </c>
      <c r="G556" s="1038">
        <f>IF(Data!R568='Delivery Plan'!E556,Data!U568,"")</f>
        <v/>
      </c>
      <c r="H556" s="327" t="n"/>
      <c r="I556" s="329">
        <f>IF(J556&lt;&gt;"","S"&amp;TEXT(WEEKNUM(J556),"00"),"")</f>
        <v/>
      </c>
      <c r="J556" s="330">
        <f>IF(AND(E556=Data!R561,Data!AA561&lt;&gt;""),Data!AA561,"")</f>
        <v/>
      </c>
      <c r="K556" s="751">
        <f>IF(AND(E556=Data!R561,Data!AE561&lt;&gt;""),Data!AE561,"")</f>
        <v/>
      </c>
      <c r="L556" s="1039">
        <f>IF(E556=Data!R568,Data!AI568,"")</f>
        <v/>
      </c>
      <c r="M556" s="1039">
        <f>IF(E556=Data!R568,Data!AJ568,"")</f>
        <v/>
      </c>
      <c r="N556">
        <f>IF(AND(Data!R568&lt;&gt;"",Data!L568="Accepté"),Data!K568,"")</f>
        <v/>
      </c>
    </row>
    <row r="557" hidden="1" s="701">
      <c r="A557" s="164">
        <f>IF(AND(Data!R569&lt;&gt;"",Data!L569="Accepté"),Data!G569,"")</f>
        <v/>
      </c>
      <c r="B557" s="164">
        <f>IF(AND(Data!R569&lt;&gt;"",Data!L569="Accepté"),Data!L569,"")</f>
        <v/>
      </c>
      <c r="C557" s="329">
        <f>IF(D557&lt;&gt;"","S"&amp;TEXT(WEEKNUM(D557),"00"),"")</f>
        <v/>
      </c>
      <c r="D557" s="330">
        <f>IF(AND(Data!Q569&lt;&gt;"",Data!L569="Accepté"),Data!Q569,"")</f>
        <v/>
      </c>
      <c r="E557" s="106">
        <f>IF(AND(Data!R569&lt;&gt;"",Data!L569="Accepté"),Data!R569,"")</f>
        <v/>
      </c>
      <c r="F557" s="1037">
        <f>IF(AND(Data!R569&lt;&gt;"",Data!L569="Accepté"),Data!S569,"")</f>
        <v/>
      </c>
      <c r="G557" s="1038">
        <f>IF(Data!R569='Delivery Plan'!E557,Data!U569,"")</f>
        <v/>
      </c>
      <c r="H557" s="327" t="n"/>
      <c r="I557" s="329">
        <f>IF(J557&lt;&gt;"","S"&amp;TEXT(WEEKNUM(J557),"00"),"")</f>
        <v/>
      </c>
      <c r="J557" s="330">
        <f>IF(AND(E557=Data!R562,Data!AA562&lt;&gt;""),Data!AA562,"")</f>
        <v/>
      </c>
      <c r="K557" s="751">
        <f>IF(AND(E557=Data!R562,Data!AE562&lt;&gt;""),Data!AE562,"")</f>
        <v/>
      </c>
      <c r="L557" s="1039">
        <f>IF(E557=Data!R569,Data!AI569,"")</f>
        <v/>
      </c>
      <c r="M557" s="1039">
        <f>IF(E557=Data!R569,Data!AJ569,"")</f>
        <v/>
      </c>
      <c r="N557">
        <f>IF(AND(Data!R569&lt;&gt;"",Data!L569="Accepté"),Data!K569,"")</f>
        <v/>
      </c>
    </row>
    <row r="558" hidden="1" s="701">
      <c r="A558" s="164">
        <f>IF(AND(Data!R570&lt;&gt;"",Data!L570="Accepté"),Data!G570,"")</f>
        <v/>
      </c>
      <c r="B558" s="164">
        <f>IF(AND(Data!R570&lt;&gt;"",Data!L570="Accepté"),Data!L570,"")</f>
        <v/>
      </c>
      <c r="C558" s="329">
        <f>IF(D558&lt;&gt;"","S"&amp;TEXT(WEEKNUM(D558),"00"),"")</f>
        <v/>
      </c>
      <c r="D558" s="330">
        <f>IF(AND(Data!Q570&lt;&gt;"",Data!L570="Accepté"),Data!Q570,"")</f>
        <v/>
      </c>
      <c r="E558" s="106">
        <f>IF(AND(Data!R570&lt;&gt;"",Data!L570="Accepté"),Data!R570,"")</f>
        <v/>
      </c>
      <c r="F558" s="1037">
        <f>IF(AND(Data!R570&lt;&gt;"",Data!L570="Accepté"),Data!S570,"")</f>
        <v/>
      </c>
      <c r="G558" s="1038">
        <f>IF(Data!R570='Delivery Plan'!E558,Data!U570,"")</f>
        <v/>
      </c>
      <c r="H558" s="327" t="n"/>
      <c r="I558" s="329">
        <f>IF(J558&lt;&gt;"","S"&amp;TEXT(WEEKNUM(J558),"00"),"")</f>
        <v/>
      </c>
      <c r="J558" s="330">
        <f>IF(AND(E558=Data!R563,Data!AA563&lt;&gt;""),Data!AA563,"")</f>
        <v/>
      </c>
      <c r="K558" s="751">
        <f>IF(AND(E558=Data!R563,Data!AE563&lt;&gt;""),Data!AE563,"")</f>
        <v/>
      </c>
      <c r="L558" s="1039">
        <f>IF(E558=Data!R570,Data!AI570,"")</f>
        <v/>
      </c>
      <c r="M558" s="1039">
        <f>IF(E558=Data!R570,Data!AJ570,"")</f>
        <v/>
      </c>
      <c r="N558">
        <f>IF(AND(Data!R570&lt;&gt;"",Data!L570="Accepté"),Data!K570,"")</f>
        <v/>
      </c>
    </row>
    <row r="559" hidden="1" s="701">
      <c r="A559" s="164">
        <f>IF(AND(Data!R571&lt;&gt;"",Data!L571="Accepté"),Data!G571,"")</f>
        <v/>
      </c>
      <c r="B559" s="164">
        <f>IF(AND(Data!R571&lt;&gt;"",Data!L571="Accepté"),Data!L571,"")</f>
        <v/>
      </c>
      <c r="C559" s="329">
        <f>IF(D559&lt;&gt;"","S"&amp;TEXT(WEEKNUM(D559),"00"),"")</f>
        <v/>
      </c>
      <c r="D559" s="330">
        <f>IF(AND(Data!Q571&lt;&gt;"",Data!L571="Accepté"),Data!Q571,"")</f>
        <v/>
      </c>
      <c r="E559" s="106">
        <f>IF(AND(Data!R571&lt;&gt;"",Data!L571="Accepté"),Data!R571,"")</f>
        <v/>
      </c>
      <c r="F559" s="1037">
        <f>IF(AND(Data!R571&lt;&gt;"",Data!L571="Accepté"),Data!S571,"")</f>
        <v/>
      </c>
      <c r="G559" s="1038">
        <f>IF(Data!R571='Delivery Plan'!E559,Data!U571,"")</f>
        <v/>
      </c>
      <c r="H559" s="327" t="n"/>
      <c r="I559" s="329">
        <f>IF(J559&lt;&gt;"","S"&amp;TEXT(WEEKNUM(J559),"00"),"")</f>
        <v/>
      </c>
      <c r="J559" s="330">
        <f>IF(AND(E559=Data!R564,Data!AA564&lt;&gt;""),Data!AA564,"")</f>
        <v/>
      </c>
      <c r="K559" s="751">
        <f>IF(AND(E559=Data!R564,Data!AE564&lt;&gt;""),Data!AE564,"")</f>
        <v/>
      </c>
      <c r="L559" s="1039">
        <f>IF(E559=Data!R571,Data!AI571,"")</f>
        <v/>
      </c>
      <c r="M559" s="1039">
        <f>IF(E559=Data!R571,Data!AJ571,"")</f>
        <v/>
      </c>
      <c r="N559">
        <f>IF(AND(Data!R571&lt;&gt;"",Data!L571="Accepté"),Data!K571,"")</f>
        <v/>
      </c>
    </row>
    <row r="560" hidden="1" s="701">
      <c r="A560" s="164">
        <f>IF(AND(Data!R572&lt;&gt;"",Data!L572="Accepté"),Data!G572,"")</f>
        <v/>
      </c>
      <c r="B560" s="164">
        <f>IF(AND(Data!R572&lt;&gt;"",Data!L572="Accepté"),Data!L572,"")</f>
        <v/>
      </c>
      <c r="C560" s="329">
        <f>IF(D560&lt;&gt;"","S"&amp;TEXT(WEEKNUM(D560),"00"),"")</f>
        <v/>
      </c>
      <c r="D560" s="330">
        <f>IF(AND(Data!Q572&lt;&gt;"",Data!L572="Accepté"),Data!Q572,"")</f>
        <v/>
      </c>
      <c r="E560" s="106">
        <f>IF(AND(Data!R572&lt;&gt;"",Data!L572="Accepté"),Data!R572,"")</f>
        <v/>
      </c>
      <c r="F560" s="1037">
        <f>IF(AND(Data!R572&lt;&gt;"",Data!L572="Accepté"),Data!S572,"")</f>
        <v/>
      </c>
      <c r="G560" s="1038">
        <f>IF(Data!R572='Delivery Plan'!E560,Data!U572,"")</f>
        <v/>
      </c>
      <c r="H560" s="327" t="n"/>
      <c r="I560" s="329">
        <f>IF(J560&lt;&gt;"","S"&amp;TEXT(WEEKNUM(J560),"00"),"")</f>
        <v/>
      </c>
      <c r="J560" s="330">
        <f>IF(AND(E560=Data!R565,Data!AA565&lt;&gt;""),Data!AA565,"")</f>
        <v/>
      </c>
      <c r="K560" s="751">
        <f>IF(AND(E560=Data!R565,Data!AE565&lt;&gt;""),Data!AE565,"")</f>
        <v/>
      </c>
      <c r="L560" s="1039">
        <f>IF(E560=Data!R572,Data!AI572,"")</f>
        <v/>
      </c>
      <c r="M560" s="1039">
        <f>IF(E560=Data!R572,Data!AJ572,"")</f>
        <v/>
      </c>
      <c r="N560">
        <f>IF(AND(Data!R572&lt;&gt;"",Data!L572="Accepté"),Data!K572,"")</f>
        <v/>
      </c>
    </row>
    <row r="561" hidden="1" s="701">
      <c r="A561" s="164">
        <f>IF(AND(Data!R573&lt;&gt;"",Data!L573="Accepté"),Data!G573,"")</f>
        <v/>
      </c>
      <c r="B561" s="164">
        <f>IF(AND(Data!R573&lt;&gt;"",Data!L573="Accepté"),Data!L573,"")</f>
        <v/>
      </c>
      <c r="C561" s="329">
        <f>IF(D561&lt;&gt;"","S"&amp;TEXT(WEEKNUM(D561),"00"),"")</f>
        <v/>
      </c>
      <c r="D561" s="330">
        <f>IF(AND(Data!Q573&lt;&gt;"",Data!L573="Accepté"),Data!Q573,"")</f>
        <v/>
      </c>
      <c r="E561" s="106">
        <f>IF(AND(Data!R573&lt;&gt;"",Data!L573="Accepté"),Data!R573,"")</f>
        <v/>
      </c>
      <c r="F561" s="1037">
        <f>IF(AND(Data!R573&lt;&gt;"",Data!L573="Accepté"),Data!S573,"")</f>
        <v/>
      </c>
      <c r="G561" s="1038">
        <f>IF(Data!R573='Delivery Plan'!E561,Data!U573,"")</f>
        <v/>
      </c>
      <c r="H561" s="327" t="n"/>
      <c r="I561" s="329">
        <f>IF(J561&lt;&gt;"","S"&amp;TEXT(WEEKNUM(J561),"00"),"")</f>
        <v/>
      </c>
      <c r="J561" s="330">
        <f>IF(AND(E561=Data!R566,Data!AA566&lt;&gt;""),Data!AA566,"")</f>
        <v/>
      </c>
      <c r="K561" s="751">
        <f>IF(AND(E561=Data!R566,Data!AE566&lt;&gt;""),Data!AE566,"")</f>
        <v/>
      </c>
      <c r="L561" s="1039">
        <f>IF(E561=Data!R573,Data!AI573,"")</f>
        <v/>
      </c>
      <c r="M561" s="1039">
        <f>IF(E561=Data!R573,Data!AJ573,"")</f>
        <v/>
      </c>
      <c r="N561">
        <f>IF(AND(Data!R573&lt;&gt;"",Data!L573="Accepté"),Data!K573,"")</f>
        <v/>
      </c>
    </row>
  </sheetData>
  <autoFilter ref="A3:N561">
    <filterColumn colId="4">
      <customFilters>
        <customFilter operator="notEqual" val=" "/>
      </customFilters>
    </filterColumn>
    <filterColumn colId="9">
      <filters blank="1"/>
    </filterColumn>
  </autoFilter>
  <mergeCells count="2">
    <mergeCell ref="C2:G2"/>
    <mergeCell ref="I2:K2"/>
  </mergeCells>
  <conditionalFormatting sqref="C4:K561">
    <cfRule type="expression" priority="150" dxfId="82">
      <formula>OR(#REF!="Annulé",#REF!="Rejeté")</formula>
    </cfRule>
  </conditionalFormatting>
  <conditionalFormatting sqref="C4:G561">
    <cfRule type="expression" priority="78" dxfId="81">
      <formula>AND(YEAR($D4)=YEAR(TODAY()),MONTH($D4)=MONTH(336))</formula>
    </cfRule>
    <cfRule type="expression" priority="81" dxfId="80">
      <formula>AND(YEAR($D4)=YEAR(TODAY()),MONTH($D4)=MONTH(306))</formula>
    </cfRule>
    <cfRule type="expression" priority="84" dxfId="79">
      <formula>AND(YEAR($D4)=YEAR(TODAY()),MONTH($D4)=MONTH(275))</formula>
    </cfRule>
    <cfRule type="expression" priority="87" dxfId="78">
      <formula>AND(YEAR($D4)=YEAR(TODAY()),MONTH($D4)=MONTH(245))</formula>
    </cfRule>
    <cfRule type="expression" priority="90" dxfId="77">
      <formula>AND(YEAR($D4)=YEAR(TODAY()),MONTH($D4)=MONTH(214))</formula>
    </cfRule>
    <cfRule type="expression" priority="93" dxfId="76">
      <formula>AND(YEAR($D4)=YEAR(TODAY()),MONTH($D4)=MONTH(183))</formula>
    </cfRule>
    <cfRule type="expression" priority="101" dxfId="73">
      <formula>AND(YEAR($D4)=YEAR(TODAY()),MONTH($D4)=MONTH(92))</formula>
    </cfRule>
    <cfRule type="expression" priority="102" dxfId="74">
      <formula>AND(YEAR($D4)=YEAR(TODAY()),MONTH($D4)=MONTH(122))</formula>
    </cfRule>
    <cfRule type="expression" priority="103" dxfId="71">
      <formula>AND(YEAR($D4)=YEAR(TODAY()),MONTH($D4)=MONTH(32))</formula>
    </cfRule>
    <cfRule type="expression" priority="104" dxfId="72">
      <formula>AND(YEAR($D4)=YEAR(TODAY()),MONTH($D4)=MONTH(61))</formula>
    </cfRule>
    <cfRule type="expression" priority="105" dxfId="70">
      <formula>AND(YEAR($D4)=YEAR(TODAY()),MONTH($D4)=MONTH(31))</formula>
    </cfRule>
    <cfRule type="expression" priority="106" dxfId="75">
      <formula>AND(YEAR($D4)=YEAR(TODAY()),MONTH($D4)=MONTH(153))</formula>
    </cfRule>
    <cfRule type="expression" priority="115" dxfId="81">
      <formula>AND(YEAR($D4)=YEAR(TODAY()),MONTH($D4)=MONTH(335))</formula>
    </cfRule>
    <cfRule type="expression" priority="118" dxfId="80">
      <formula>AND(YEAR($D4)=YEAR(TODAY()),MONTH($D4)=MONTH(305))</formula>
    </cfRule>
    <cfRule type="expression" priority="121" dxfId="79">
      <formula>AND(YEAR($D4)=YEAR(TODAY()),MONTH($D4)=MONTH(274))</formula>
    </cfRule>
    <cfRule type="expression" priority="124" dxfId="78">
      <formula>AND(YEAR($D4)=YEAR(TODAY()),MONTH($D4)=MONTH(244))</formula>
    </cfRule>
    <cfRule type="expression" priority="127" dxfId="77">
      <formula>AND(YEAR($D4)=YEAR(TODAY()),MONTH($D4)=MONTH(213))</formula>
    </cfRule>
    <cfRule type="expression" priority="130" dxfId="76">
      <formula>AND(YEAR($D4)=YEAR(TODAY()),MONTH($D4)=MONTH(182))</formula>
    </cfRule>
    <cfRule type="expression" priority="138" dxfId="73">
      <formula>AND(YEAR($D4)=YEAR(TODAY()),MONTH($D4)=MONTH(91))</formula>
    </cfRule>
    <cfRule type="expression" priority="139" dxfId="74">
      <formula>AND(YEAR($D4)=YEAR(TODAY()),MONTH($D4)=MONTH(121))</formula>
    </cfRule>
    <cfRule type="expression" priority="140" dxfId="71">
      <formula>AND(YEAR($D4)=YEAR(TODAY()),MONTH($D4)=MONTH(60))</formula>
    </cfRule>
    <cfRule type="expression" priority="141" dxfId="72">
      <formula>AND(YEAR($D4)=YEAR(TODAY()),MONTH($D4)=MONTH(91))</formula>
    </cfRule>
    <cfRule type="expression" priority="142" dxfId="70">
      <formula>AND(YEAR($D4)=YEAR(TODAY()),MONTH($D4)=MONTH(31))</formula>
    </cfRule>
    <cfRule type="expression" priority="143" dxfId="75">
      <formula>AND(YEAR($D4)=YEAR(TODAY()),MONTH($D4)=MONTH(182))</formula>
    </cfRule>
  </conditionalFormatting>
  <conditionalFormatting sqref="A4:A561">
    <cfRule type="expression" priority="799" dxfId="81">
      <formula>AND(YEAR(#REF!)=YEAR(TODAY()),MONTH(#REF!)=MONTH(335))</formula>
    </cfRule>
    <cfRule type="expression" priority="800" dxfId="80">
      <formula>AND(YEAR(#REF!)=YEAR(TODAY()),MONTH(#REF!)=MONTH(305))</formula>
    </cfRule>
    <cfRule type="expression" priority="801" dxfId="79">
      <formula>AND(YEAR(#REF!)=YEAR(TODAY()),MONTH(#REF!)=MONTH(274))</formula>
    </cfRule>
    <cfRule type="expression" priority="802" dxfId="81">
      <formula>AND(YEAR(#REF!)=YEAR(TODAY()),MONTH(#REF!)=MONTH(336))</formula>
    </cfRule>
    <cfRule type="expression" priority="803" dxfId="80">
      <formula>AND(YEAR(#REF!)=YEAR(TODAY()),MONTH(#REF!)=MONTH(306))</formula>
    </cfRule>
    <cfRule type="expression" priority="804" dxfId="79">
      <formula>AND(YEAR(#REF!)=YEAR(TODAY()),MONTH(#REF!)=MONTH(276))</formula>
    </cfRule>
    <cfRule type="expression" priority="805" dxfId="78">
      <formula>AND(YEAR(#REF!)=YEAR(TODAY()),MONTH(#REF!)=MONTH(245))</formula>
    </cfRule>
    <cfRule type="expression" priority="806" dxfId="77">
      <formula>AND(YEAR(#REF!)=YEAR(TODAY()),MONTH(#REF!)=MONTH(214))</formula>
    </cfRule>
    <cfRule type="expression" priority="807" dxfId="76">
      <formula>AND(YEAR(#REF!)=YEAR(TODAY()),MONTH(#REF!)=MONTH(183))</formula>
    </cfRule>
    <cfRule type="expression" priority="808" dxfId="75">
      <formula>AND(YEAR(#REF!)=YEAR(TODAY()),MONTH(#REF!)=MONTH(153))</formula>
    </cfRule>
    <cfRule type="expression" priority="809" dxfId="73">
      <formula>AND(YEAR(#REF!)=YEAR(TODAY()),MONTH(#REF!)=MONTH(92))</formula>
    </cfRule>
    <cfRule type="expression" priority="810" dxfId="74">
      <formula>AND(YEAR(#REF!)=YEAR(TODAY()),MONTH(#REF!)=MONTH(122))</formula>
    </cfRule>
    <cfRule type="expression" priority="811" dxfId="70">
      <formula>AND(YEAR(#REF!)=YEAR(TODAY()),MONTH(#REF!)=MONTH(1))</formula>
    </cfRule>
    <cfRule type="expression" priority="812" dxfId="71">
      <formula>AND(YEAR(#REF!)=YEAR(TODAY()),MONTH(#REF!)=MONTH(32))</formula>
    </cfRule>
    <cfRule type="expression" priority="813" dxfId="72">
      <formula>AND(YEAR(#REF!)=YEAR(TODAY()),MONTH(#REF!)=MONTH(61))</formula>
    </cfRule>
    <cfRule type="expression" priority="814" dxfId="78">
      <formula>AND(YEAR(#REF!)=YEAR(TODAY()),MONTH(#REF!)=MONTH(244))</formula>
    </cfRule>
    <cfRule type="expression" priority="815" dxfId="77">
      <formula>AND(YEAR(#REF!)=YEAR(TODAY()),MONTH(#REF!)=MONTH(213))</formula>
    </cfRule>
    <cfRule type="expression" priority="816" dxfId="76">
      <formula>AND(YEAR(#REF!)=YEAR(TODAY()),MONTH(#REF!)=MONTH(182))</formula>
    </cfRule>
    <cfRule type="expression" priority="817" dxfId="75">
      <formula>AND(YEAR(#REF!)=YEAR(TODAY()),MONTH(#REF!)=MONTH(182))</formula>
    </cfRule>
    <cfRule type="expression" priority="818" dxfId="73">
      <formula>AND(YEAR(#REF!)=YEAR(TODAY()),MONTH(#REF!)=MONTH(91))</formula>
    </cfRule>
    <cfRule type="expression" priority="819" dxfId="74">
      <formula>AND(YEAR(#REF!)=YEAR(TODAY()),MONTH(#REF!)=MONTH(152))</formula>
    </cfRule>
    <cfRule type="expression" priority="820" dxfId="70">
      <formula>AND(YEAR(#REF!)=YEAR(TODAY()),MONTH(#REF!)=MONTH(1))</formula>
    </cfRule>
    <cfRule type="expression" priority="821" dxfId="71">
      <formula>AND(YEAR(#REF!)=YEAR(TODAY()),MONTH(#REF!)=MONTH(43145))</formula>
    </cfRule>
    <cfRule type="expression" priority="822" dxfId="72">
      <formula>AND(YEAR(#REF!)=YEAR(TODAY()),MONTH(#REF!)=MONTH(60))</formula>
    </cfRule>
  </conditionalFormatting>
  <conditionalFormatting sqref="I4:K561">
    <cfRule type="expression" priority="825" dxfId="81">
      <formula>AND(YEAR(#REF!)=YEAR(TODAY()),MONTH(#REF!)=MONTH(336))</formula>
    </cfRule>
    <cfRule type="expression" priority="826" dxfId="80">
      <formula>AND(YEAR(#REF!)=YEAR(TODAY()),MONTH(#REF!)=MONTH(306))</formula>
    </cfRule>
    <cfRule type="expression" priority="827" dxfId="79">
      <formula>AND(YEAR(#REF!)=YEAR(TODAY()),MONTH(#REF!)=MONTH(275))</formula>
    </cfRule>
    <cfRule type="expression" priority="828" dxfId="78">
      <formula>AND(YEAR(#REF!)=YEAR(TODAY()),MONTH(#REF!)=MONTH(245))</formula>
    </cfRule>
    <cfRule type="expression" priority="829" dxfId="77">
      <formula>AND(YEAR(#REF!)=YEAR(TODAY()),MONTH(#REF!)=MONTH(214))</formula>
    </cfRule>
    <cfRule type="expression" priority="830" dxfId="76">
      <formula>AND(YEAR(#REF!)=YEAR(TODAY()),MONTH(#REF!)=MONTH(183))</formula>
    </cfRule>
    <cfRule type="expression" priority="831" dxfId="75">
      <formula>AND(YEAR(#REF!)=YEAR(TODAY()),MONTH(#REF!)=MONTH(153))</formula>
    </cfRule>
    <cfRule type="expression" priority="832" dxfId="74">
      <formula>AND(YEAR(#REF!)=YEAR(TODAY()),MONTH(#REF!)=MONTH(122))</formula>
    </cfRule>
    <cfRule type="expression" priority="833" dxfId="73">
      <formula>AND(YEAR(#REF!)=YEAR(TODAY()),MONTH(#REF!)=MONTH(92))</formula>
    </cfRule>
    <cfRule type="expression" priority="834" dxfId="72">
      <formula>AND(YEAR(#REF!)=YEAR(TODAY()),MONTH(#REF!)=MONTH(61))</formula>
    </cfRule>
    <cfRule type="expression" priority="835" dxfId="71">
      <formula>AND(YEAR(#REF!)=YEAR(TODAY()),MONTH(#REF!)=MONTH(32))</formula>
    </cfRule>
    <cfRule type="expression" priority="836" dxfId="70">
      <formula>AND(YEAR(#REF!)=YEAR(TODAY()),MONTH(#REF!)=MONTH(31))</formula>
    </cfRule>
    <cfRule type="expression" priority="837" dxfId="81">
      <formula>AND(YEAR(#REF!)=YEAR(TODAY()),MONTH(#REF!)=MONTH(335))</formula>
    </cfRule>
    <cfRule type="expression" priority="838" dxfId="80">
      <formula>AND(YEAR(#REF!)=YEAR(TODAY()),MONTH(#REF!)=MONTH(305))</formula>
    </cfRule>
    <cfRule type="expression" priority="839" dxfId="79">
      <formula>AND(YEAR(#REF!)=YEAR(TODAY()),MONTH(#REF!)=MONTH(274))</formula>
    </cfRule>
    <cfRule type="expression" priority="840" dxfId="78">
      <formula>AND(YEAR(#REF!)=YEAR(TODAY()),MONTH(#REF!)=MONTH(244))</formula>
    </cfRule>
    <cfRule type="expression" priority="841" dxfId="77">
      <formula>AND(YEAR(#REF!)=YEAR(TODAY()),MONTH(#REF!)=MONTH(213))</formula>
    </cfRule>
    <cfRule type="expression" priority="842" dxfId="76">
      <formula>AND(YEAR(#REF!)=YEAR(TODAY()),MONTH(#REF!)=MONTH(182))</formula>
    </cfRule>
    <cfRule type="expression" priority="843" dxfId="75">
      <formula>AND(YEAR(#REF!)=YEAR(TODAY()),MONTH(#REF!)=MONTH(152))</formula>
    </cfRule>
    <cfRule type="expression" priority="844" dxfId="74">
      <formula>AND(YEAR(#REF!)=YEAR(TODAY()),MONTH(#REF!)=MONTH(152))</formula>
    </cfRule>
    <cfRule type="expression" priority="845" dxfId="73">
      <formula>AND(YEAR(#REF!)=YEAR(TODAY()),MONTH(#REF!)=MONTH(121))</formula>
    </cfRule>
    <cfRule type="expression" priority="846" dxfId="72">
      <formula>AND(YEAR(#REF!)=YEAR(TODAY()),MONTH(#REF!)=MONTH(91))</formula>
    </cfRule>
    <cfRule type="expression" priority="847" dxfId="71">
      <formula>AND(YEAR(#REF!)=YEAR(TODAY()),MONTH(#REF!)=MONTH(60))</formula>
    </cfRule>
    <cfRule type="expression" priority="848" dxfId="70">
      <formula>AND(YEAR(#REF!)=YEAR(TODAY()),MONTH(#REF!)=MONTH(32))</formula>
    </cfRule>
  </conditionalFormatting>
  <conditionalFormatting sqref="B4:B561">
    <cfRule type="containsText" priority="64" operator="containsText" dxfId="187" text="Rejeté">
      <formula>NOT(ISERROR(SEARCH("Rejeté",B4)))</formula>
    </cfRule>
    <cfRule type="expression" priority="65" dxfId="81">
      <formula>AND(YEAR($D4)=YEAR(TODAY()),MONTH($D4)=MONTH(335))</formula>
    </cfRule>
    <cfRule type="expression" priority="66" dxfId="80">
      <formula>AND(YEAR($D4)=YEAR(TODAY()),MONTH($D4)=MONTH(305))</formula>
    </cfRule>
    <cfRule type="expression" priority="67" dxfId="79">
      <formula>AND(YEAR($D4)=YEAR(TODAY()),MONTH($D4)=MONTH(274))</formula>
    </cfRule>
    <cfRule type="expression" priority="52" dxfId="81">
      <formula>AND(YEAR($D4)=YEAR(TODAY()),MONTH($D4)=MONTH(336))</formula>
    </cfRule>
    <cfRule type="expression" priority="53" dxfId="80">
      <formula>AND(YEAR($D4)=YEAR(TODAY()),MONTH($D4)=MONTH(306))</formula>
    </cfRule>
    <cfRule type="expression" priority="54" dxfId="79">
      <formula>AND(YEAR($D4)=YEAR(TODAY()),MONTH($D4)=MONTH(276))</formula>
    </cfRule>
    <cfRule type="expression" priority="55" dxfId="78">
      <formula>AND(YEAR($D4)=YEAR(TODAY()),MONTH($D4)=MONTH(245))</formula>
    </cfRule>
    <cfRule type="expression" priority="56" dxfId="77">
      <formula>AND(YEAR($D4)=YEAR(TODAY()),MONTH($D4)=MONTH(214))</formula>
    </cfRule>
    <cfRule type="expression" priority="57" dxfId="76">
      <formula>AND(YEAR($D4)=YEAR(TODAY()),MONTH($D4)=MONTH(183))</formula>
    </cfRule>
    <cfRule type="expression" priority="58" dxfId="75">
      <formula>AND(YEAR($D4)=YEAR(TODAY()),MONTH($D4)=MONTH(153))</formula>
    </cfRule>
    <cfRule type="expression" priority="59" dxfId="73">
      <formula>AND(YEAR($D4)=YEAR(TODAY()),MONTH($D4)=MONTH(92))</formula>
    </cfRule>
    <cfRule type="expression" priority="60" dxfId="74">
      <formula>AND(YEAR($D4)=YEAR(TODAY()),MONTH($D4)=MONTH(122))</formula>
    </cfRule>
    <cfRule type="expression" priority="61" dxfId="70">
      <formula>AND(YEAR($D4)=YEAR(TODAY()),MONTH($D4)=MONTH(1))</formula>
    </cfRule>
    <cfRule type="expression" priority="62" dxfId="71">
      <formula>AND(YEAR($D4)=YEAR(TODAY()),MONTH($D4)=MONTH(32))</formula>
    </cfRule>
    <cfRule type="expression" priority="63" dxfId="72">
      <formula>AND(YEAR($D4)=YEAR(TODAY()),MONTH($D4)=MONTH(61))</formula>
    </cfRule>
    <cfRule type="expression" priority="68" dxfId="78">
      <formula>AND(YEAR($D4)=YEAR(TODAY()),MONTH($D4)=MONTH(244))</formula>
    </cfRule>
    <cfRule type="expression" priority="69" dxfId="77">
      <formula>AND(YEAR($D4)=YEAR(TODAY()),MONTH($D4)=MONTH(213))</formula>
    </cfRule>
    <cfRule type="expression" priority="70" dxfId="76">
      <formula>AND(YEAR($D4)=YEAR(TODAY()),MONTH($D4)=MONTH(182))</formula>
    </cfRule>
    <cfRule type="expression" priority="71" dxfId="75">
      <formula>AND(YEAR($D4)=YEAR(TODAY()),MONTH($D4)=MONTH(182))</formula>
    </cfRule>
    <cfRule type="expression" priority="72" dxfId="73">
      <formula>AND(YEAR($D4)=YEAR(TODAY()),MONTH($D4)=MONTH(91))</formula>
    </cfRule>
    <cfRule type="expression" priority="73" dxfId="74">
      <formula>AND(YEAR($D4)=YEAR(TODAY()),MONTH($D4)=MONTH(152))</formula>
    </cfRule>
    <cfRule type="expression" priority="74" dxfId="70">
      <formula>AND(YEAR($D4)=YEAR(TODAY()),MONTH($D4)=MONTH(1))</formula>
    </cfRule>
    <cfRule type="expression" priority="75" dxfId="71">
      <formula>AND(YEAR($D4)=YEAR(TODAY()),MONTH($D4)=MONTH(43145))</formula>
    </cfRule>
    <cfRule type="expression" priority="76" dxfId="72">
      <formula>AND(YEAR($D4)=YEAR(TODAY()),MONTH($D4)=MONTH(60))</formula>
    </cfRule>
  </conditionalFormatting>
  <conditionalFormatting sqref="K1:K1048576">
    <cfRule type="expression" priority="1" dxfId="162">
      <formula>"&lt;Today()"</formula>
    </cfRule>
    <cfRule type="expression" priority="2" dxfId="161">
      <formula>VALUE(WEEKNUM(K1))=VALUE(WEEKNUM(TODAY()))</formula>
    </cfRule>
  </conditionalFormatting>
  <pageMargins left="0.25" right="0.25" top="0.75" bottom="0.75" header="0.3" footer="0.3"/>
  <pageSetup orientation="landscape" paperSize="9" scale="59" fitToHeight="0"/>
</worksheet>
</file>

<file path=xl/worksheets/sheet14.xml><?xml version="1.0" encoding="utf-8"?>
<worksheet xmlns:r="http://schemas.openxmlformats.org/officeDocument/2006/relationships" xmlns="http://schemas.openxmlformats.org/spreadsheetml/2006/main">
  <sheetPr codeName="Sheet12">
    <outlinePr summaryBelow="1" summaryRight="1"/>
    <pageSetUpPr/>
  </sheetPr>
  <dimension ref="A1:Y146"/>
  <sheetViews>
    <sheetView workbookViewId="0">
      <pane ySplit="6" topLeftCell="A7" activePane="bottomLeft" state="frozen"/>
      <selection pane="bottomLeft" activeCell="J19" sqref="J19"/>
    </sheetView>
  </sheetViews>
  <sheetFormatPr baseColWidth="10" defaultColWidth="11.44140625" defaultRowHeight="14.4"/>
  <cols>
    <col width="11.44140625" customWidth="1" style="143" min="3" max="3"/>
    <col width="14.44140625" bestFit="1" customWidth="1" style="701" min="4" max="4"/>
    <col width="14.109375" customWidth="1" style="701" min="5" max="5"/>
    <col width="35" bestFit="1" customWidth="1" style="701" min="6" max="6"/>
    <col width="11.44140625" customWidth="1" style="701" min="7" max="7"/>
    <col width="39.109375" bestFit="1" customWidth="1" style="701" min="10" max="10"/>
    <col width="32.109375" customWidth="1" style="701" min="12" max="12"/>
    <col width="12.44140625" bestFit="1" customWidth="1" style="701" min="25" max="25"/>
  </cols>
  <sheetData>
    <row r="1" ht="23.25" customHeight="1" s="701">
      <c r="A1" s="32" t="inlineStr">
        <is>
          <t>Revenue reconciliation SOLUNE vs SAP</t>
        </is>
      </c>
      <c r="B1" s="32" t="n"/>
      <c r="C1" s="33" t="n"/>
      <c r="D1" s="34" t="n"/>
      <c r="E1" s="34" t="n"/>
      <c r="F1" s="34" t="n"/>
      <c r="G1" s="34" t="n"/>
      <c r="H1" s="34" t="n"/>
      <c r="I1" s="34" t="n"/>
      <c r="J1" s="34" t="n"/>
      <c r="M1" s="1040">
        <f>DATE(2018,1,1)</f>
        <v/>
      </c>
      <c r="N1" s="1040">
        <f>DATE(2018,2,1)</f>
        <v/>
      </c>
      <c r="O1" s="1040">
        <f>DATE(2018,3,1)</f>
        <v/>
      </c>
      <c r="P1" s="1040">
        <f>DATE(2018,4,1)</f>
        <v/>
      </c>
      <c r="Q1" s="1040">
        <f>DATE(2018,5,1)</f>
        <v/>
      </c>
      <c r="R1" s="1040">
        <f>DATE(2018,6,1)</f>
        <v/>
      </c>
      <c r="S1" s="1040">
        <f>DATE(2018,7,1)</f>
        <v/>
      </c>
      <c r="T1" s="1040">
        <f>DATE(2018,8,1)</f>
        <v/>
      </c>
      <c r="U1" s="1040">
        <f>DATE(2018,9,1)</f>
        <v/>
      </c>
      <c r="V1" s="1040">
        <f>DATE(2018,10,1)</f>
        <v/>
      </c>
      <c r="W1" s="1040">
        <f>DATE(2018,11,1)</f>
        <v/>
      </c>
      <c r="X1" s="1040">
        <f>DATE(2018,12,1)</f>
        <v/>
      </c>
      <c r="Y1" s="1040" t="inlineStr">
        <is>
          <t>Sum</t>
        </is>
      </c>
    </row>
    <row r="2">
      <c r="L2" s="35" t="inlineStr">
        <is>
          <t>Revenue SOLUNE</t>
        </is>
      </c>
      <c r="M2" s="143">
        <f>SUMIFS($C:$C,$B:$B,"&gt;="&amp;M$1,$B:$B,"&lt;="&amp;EOMONTH(M$1,0))</f>
        <v/>
      </c>
      <c r="N2" s="143">
        <f>SUMIFS($C:$C,$B:$B,"&gt;="&amp;N$1,$B:$B,"&lt;="&amp;EOMONTH(N$1,0))</f>
        <v/>
      </c>
      <c r="O2" s="143">
        <f>SUMIFS($C:$C,$B:$B,"&gt;="&amp;O$1,$B:$B,"&lt;="&amp;EOMONTH(O$1,0))</f>
        <v/>
      </c>
      <c r="P2" s="143">
        <f>SUMIFS($C:$C,$B:$B,"&gt;="&amp;P$1,$B:$B,"&lt;="&amp;EOMONTH(P$1,0))</f>
        <v/>
      </c>
      <c r="Q2" s="143">
        <f>SUMIFS($C:$C,$B:$B,"&gt;="&amp;Q$1,$B:$B,"&lt;="&amp;EOMONTH(Q$1,0))</f>
        <v/>
      </c>
      <c r="R2" s="143">
        <f>SUMIFS($C:$C,$B:$B,"&gt;="&amp;R$1,$B:$B,"&lt;="&amp;EOMONTH(R$1,0))</f>
        <v/>
      </c>
      <c r="S2" s="143">
        <f>SUMIFS($C:$C,$B:$B,"&gt;="&amp;S$1,$B:$B,"&lt;="&amp;EOMONTH(S$1,0))</f>
        <v/>
      </c>
      <c r="T2" s="143">
        <f>SUMIFS($C:$C,$B:$B,"&gt;="&amp;T$1,$B:$B,"&lt;="&amp;EOMONTH(T$1,0))</f>
        <v/>
      </c>
      <c r="U2" s="143">
        <f>SUMIFS($C:$C,$B:$B,"&gt;="&amp;U$1,$B:$B,"&lt;="&amp;EOMONTH(U$1,0))</f>
        <v/>
      </c>
      <c r="V2" s="143">
        <f>SUMIFS($C:$C,$B:$B,"&gt;="&amp;V$1,$B:$B,"&lt;="&amp;EOMONTH(V$1,0))</f>
        <v/>
      </c>
      <c r="W2" s="143">
        <f>SUMIFS($C:$C,$B:$B,"&gt;="&amp;W$1,$B:$B,"&lt;="&amp;EOMONTH(W$1,0))</f>
        <v/>
      </c>
      <c r="X2" s="143">
        <f>SUMIFS($C:$C,$B:$B,"&gt;="&amp;X$1,$B:$B,"&lt;="&amp;EOMONTH(X$1,0))</f>
        <v/>
      </c>
      <c r="Y2" s="143">
        <f>SUM(M2:X2)</f>
        <v/>
      </c>
    </row>
    <row r="3">
      <c r="L3" s="36" t="inlineStr">
        <is>
          <t>-Booked in SOLUNE but not in SAP</t>
        </is>
      </c>
      <c r="M3" s="143">
        <f>-SUMIFS($C:$C,$B:$B,"&gt;="&amp;M$1,$B:$B,"&lt;="&amp;EOMONTH(M$1,0),$D:$D,"&lt;&gt;X")</f>
        <v/>
      </c>
      <c r="N3" s="143">
        <f>-SUMIFS($C:$C,$B:$B,"&gt;="&amp;N$1,$B:$B,"&lt;="&amp;EOMONTH(N$1,0),$D:$D,"&lt;&gt;X")</f>
        <v/>
      </c>
      <c r="O3" s="143">
        <f>-SUMIFS($C:$C,$B:$B,"&gt;="&amp;O$1,$B:$B,"&lt;="&amp;EOMONTH(O$1,0),$D:$D,"&lt;&gt;X")</f>
        <v/>
      </c>
      <c r="P3" s="143">
        <f>-SUMIFS($C:$C,$B:$B,"&gt;="&amp;P$1,$B:$B,"&lt;="&amp;EOMONTH(P$1,0),$D:$D,"&lt;&gt;X")</f>
        <v/>
      </c>
      <c r="Q3" s="143">
        <f>-SUMIFS($C:$C,$B:$B,"&gt;="&amp;Q$1,$B:$B,"&lt;="&amp;EOMONTH(Q$1,0),$D:$D,"&lt;&gt;X")</f>
        <v/>
      </c>
      <c r="R3" s="143">
        <f>-SUMIFS($C:$C,$B:$B,"&gt;="&amp;R$1,$B:$B,"&lt;="&amp;EOMONTH(R$1,0),$D:$D,"&lt;&gt;X")</f>
        <v/>
      </c>
      <c r="S3" s="143">
        <f>-SUMIFS($C:$C,$B:$B,"&gt;="&amp;S$1,$B:$B,"&lt;="&amp;EOMONTH(S$1,0),$D:$D,"&lt;&gt;X")</f>
        <v/>
      </c>
      <c r="T3" s="143">
        <f>-SUMIFS($C:$C,$B:$B,"&gt;="&amp;T$1,$B:$B,"&lt;="&amp;EOMONTH(T$1,0),$D:$D,"&lt;&gt;X")</f>
        <v/>
      </c>
      <c r="U3" s="143">
        <f>-SUMIFS($C:$C,$B:$B,"&gt;="&amp;U$1,$B:$B,"&lt;="&amp;EOMONTH(U$1,0),$D:$D,"&lt;&gt;X")</f>
        <v/>
      </c>
      <c r="V3" s="143">
        <f>-SUMIFS($C:$C,$B:$B,"&gt;="&amp;V$1,$B:$B,"&lt;="&amp;EOMONTH(V$1,0),$D:$D,"&lt;&gt;X")</f>
        <v/>
      </c>
      <c r="W3" s="143">
        <f>-SUMIFS($C:$C,$B:$B,"&gt;="&amp;W$1,$B:$B,"&lt;="&amp;EOMONTH(W$1,0),$D:$D,"&lt;&gt;X")</f>
        <v/>
      </c>
      <c r="X3" s="143">
        <f>-SUMIFS($C:$C,$B:$B,"&gt;="&amp;X$1,$B:$B,"&lt;="&amp;EOMONTH(X$1,0),$D:$D,"&lt;&gt;X")</f>
        <v/>
      </c>
      <c r="Y3" s="143">
        <f>SUM(M3:X3)</f>
        <v/>
      </c>
    </row>
    <row r="4">
      <c r="A4" s="37" t="inlineStr">
        <is>
          <t>Revenue in SOLUNE</t>
        </is>
      </c>
      <c r="B4" s="37" t="n"/>
      <c r="C4" s="38" t="n"/>
      <c r="D4" s="37" t="n"/>
      <c r="E4" s="39" t="inlineStr">
        <is>
          <t>Revenue in SAP</t>
        </is>
      </c>
      <c r="F4" s="39" t="n"/>
      <c r="G4" s="39" t="n"/>
      <c r="H4" s="39" t="n"/>
      <c r="I4" s="39" t="n"/>
      <c r="J4" s="39" t="n"/>
      <c r="L4" s="40" t="inlineStr">
        <is>
          <t xml:space="preserve">+Booked in SAP but not in SOLUNE </t>
        </is>
      </c>
      <c r="M4" s="143">
        <f>-SUMIFS($H:$H,$G:$G,"&gt;="&amp;M$1,$G:$G,"&lt;="&amp;EOMONTH(M$1,0),$I:$I,"&lt;&gt;X")</f>
        <v/>
      </c>
      <c r="N4" s="143">
        <f>-SUMIFS($H:$H,$G:$G,"&gt;="&amp;N$1,$G:$G,"&lt;="&amp;EOMONTH(N$1,0),$I:$I,"&lt;&gt;X")</f>
        <v/>
      </c>
      <c r="O4" s="143">
        <f>-SUMIFS($H:$H,$G:$G,"&gt;="&amp;O$1,$G:$G,"&lt;="&amp;EOMONTH(O$1,0),$I:$I,"&lt;&gt;X")</f>
        <v/>
      </c>
      <c r="P4" s="143">
        <f>-SUMIFS($H:$H,$G:$G,"&gt;="&amp;P$1,$G:$G,"&lt;="&amp;EOMONTH(P$1,0),$I:$I,"&lt;&gt;X")</f>
        <v/>
      </c>
      <c r="Q4" s="143">
        <f>-SUMIFS($H:$H,$G:$G,"&gt;="&amp;Q$1,$G:$G,"&lt;="&amp;EOMONTH(Q$1,0),$I:$I,"&lt;&gt;X")</f>
        <v/>
      </c>
      <c r="R4" s="143">
        <f>-SUMIFS($H:$H,$G:$G,"&gt;="&amp;R$1,$G:$G,"&lt;="&amp;EOMONTH(R$1,0),$I:$I,"&lt;&gt;X")</f>
        <v/>
      </c>
      <c r="S4" s="143">
        <f>-SUMIFS($H:$H,$G:$G,"&gt;="&amp;S$1,$G:$G,"&lt;="&amp;EOMONTH(S$1,0),$I:$I,"&lt;&gt;X")</f>
        <v/>
      </c>
      <c r="T4" s="143">
        <f>-SUMIFS($H:$H,$G:$G,"&gt;="&amp;T$1,$G:$G,"&lt;="&amp;EOMONTH(T$1,0),$I:$I,"&lt;&gt;X")</f>
        <v/>
      </c>
      <c r="U4" s="143">
        <f>-SUMIFS($H:$H,$G:$G,"&gt;="&amp;U$1,$G:$G,"&lt;="&amp;EOMONTH(U$1,0),$I:$I,"&lt;&gt;X")</f>
        <v/>
      </c>
      <c r="V4" s="143">
        <f>-SUMIFS($H:$H,$G:$G,"&gt;="&amp;V$1,$G:$G,"&lt;="&amp;EOMONTH(V$1,0),$I:$I,"&lt;&gt;X")</f>
        <v/>
      </c>
      <c r="W4" s="143">
        <f>-SUMIFS($H:$H,$G:$G,"&gt;="&amp;W$1,$G:$G,"&lt;="&amp;EOMONTH(W$1,0),$I:$I,"&lt;&gt;X")</f>
        <v/>
      </c>
      <c r="X4" s="143">
        <f>-SUMIFS($H:$H,$G:$G,"&gt;="&amp;X$1,$G:$G,"&lt;="&amp;EOMONTH(X$1,0),$I:$I,"&lt;&gt;X")</f>
        <v/>
      </c>
      <c r="Y4" s="143">
        <f>SUM(M4:X4)</f>
        <v/>
      </c>
    </row>
    <row r="5">
      <c r="A5" s="38">
        <f>SUM(C:C)</f>
        <v/>
      </c>
      <c r="B5" s="37" t="n"/>
      <c r="C5" s="38" t="n"/>
      <c r="D5" s="37" t="n"/>
      <c r="E5" s="41">
        <f>-SUM(H:H)</f>
        <v/>
      </c>
      <c r="F5" s="41" t="n"/>
      <c r="G5" s="41" t="n"/>
      <c r="H5" s="41" t="n"/>
      <c r="I5" s="41" t="n"/>
      <c r="J5" s="41" t="n"/>
      <c r="L5" s="42" t="inlineStr">
        <is>
          <t>Revenue SAP</t>
        </is>
      </c>
      <c r="M5" s="143">
        <f>-SUMIFS($H:$H,$G:$G,"&gt;="&amp;M$1,$G:$G,"&lt;="&amp;EOMONTH(M$1,0))</f>
        <v/>
      </c>
      <c r="N5" s="143">
        <f>-SUMIFS($H:$H,$G:$G,"&gt;="&amp;N$1,$G:$G,"&lt;="&amp;EOMONTH(N$1,0))</f>
        <v/>
      </c>
      <c r="O5" s="143">
        <f>-SUMIFS($H:$H,$G:$G,"&gt;="&amp;O$1,$G:$G,"&lt;="&amp;EOMONTH(O$1,0))</f>
        <v/>
      </c>
      <c r="P5" s="143">
        <f>-SUMIFS($H:$H,$G:$G,"&gt;="&amp;P$1,$G:$G,"&lt;="&amp;EOMONTH(P$1,0))</f>
        <v/>
      </c>
      <c r="Q5" s="143">
        <f>-SUMIFS($H:$H,$G:$G,"&gt;="&amp;Q$1,$G:$G,"&lt;="&amp;EOMONTH(Q$1,0))</f>
        <v/>
      </c>
      <c r="R5" s="143">
        <f>-SUMIFS($H:$H,$G:$G,"&gt;="&amp;R$1,$G:$G,"&lt;="&amp;EOMONTH(R$1,0))</f>
        <v/>
      </c>
      <c r="S5" s="143">
        <f>-SUMIFS($H:$H,$G:$G,"&gt;="&amp;S$1,$G:$G,"&lt;="&amp;EOMONTH(S$1,0))</f>
        <v/>
      </c>
      <c r="T5" s="143">
        <f>-SUMIFS($H:$H,$G:$G,"&gt;="&amp;T$1,$G:$G,"&lt;="&amp;EOMONTH(T$1,0))</f>
        <v/>
      </c>
      <c r="U5" s="143">
        <f>-SUMIFS($H:$H,$G:$G,"&gt;="&amp;U$1,$G:$G,"&lt;="&amp;EOMONTH(U$1,0))</f>
        <v/>
      </c>
      <c r="V5" s="143">
        <f>-SUMIFS($H:$H,$G:$G,"&gt;="&amp;V$1,$G:$G,"&lt;="&amp;EOMONTH(V$1,0))</f>
        <v/>
      </c>
      <c r="W5" s="143">
        <f>-SUMIFS($H:$H,$G:$G,"&gt;="&amp;W$1,$G:$G,"&lt;="&amp;EOMONTH(W$1,0))</f>
        <v/>
      </c>
      <c r="X5" s="143">
        <f>-SUMIFS($H:$H,$G:$G,"&gt;="&amp;X$1,$G:$G,"&lt;="&amp;EOMONTH(X$1,0))</f>
        <v/>
      </c>
      <c r="Y5" s="143">
        <f>SUM(M5:X5)</f>
        <v/>
      </c>
    </row>
    <row r="6">
      <c r="A6" s="35" t="inlineStr">
        <is>
          <t>Document</t>
        </is>
      </c>
      <c r="B6" s="35" t="inlineStr">
        <is>
          <t>Date</t>
        </is>
      </c>
      <c r="C6" s="43" t="inlineStr">
        <is>
          <t>Amount</t>
        </is>
      </c>
      <c r="D6" s="35" t="inlineStr">
        <is>
          <t>Reconciled</t>
        </is>
      </c>
      <c r="E6" s="42" t="inlineStr">
        <is>
          <t>Document</t>
        </is>
      </c>
      <c r="F6" s="42" t="inlineStr">
        <is>
          <t>Bezeichnung</t>
        </is>
      </c>
      <c r="G6" s="42" t="inlineStr">
        <is>
          <t>Date</t>
        </is>
      </c>
      <c r="H6" s="42" t="inlineStr">
        <is>
          <t>Amount</t>
        </is>
      </c>
      <c r="I6" s="42" t="inlineStr">
        <is>
          <t>Reconciled</t>
        </is>
      </c>
      <c r="J6" s="42" t="inlineStr">
        <is>
          <t>Customer</t>
        </is>
      </c>
      <c r="L6" s="700" t="inlineStr">
        <is>
          <t>Control</t>
        </is>
      </c>
      <c r="M6" s="143">
        <f>SUM(M2:M4)-M5</f>
        <v/>
      </c>
      <c r="N6" s="143">
        <f>SUM(N2:N4)-N5</f>
        <v/>
      </c>
      <c r="O6" s="143">
        <f>SUM(O2:O4)-O5</f>
        <v/>
      </c>
      <c r="P6" s="143">
        <f>SUM(P2:P4)-P5</f>
        <v/>
      </c>
      <c r="Q6" s="143">
        <f>SUM(Q2:Q4)-Q5</f>
        <v/>
      </c>
      <c r="R6" s="143">
        <f>SUM(R2:R4)-R5</f>
        <v/>
      </c>
      <c r="S6" s="143">
        <f>SUM(S2:S4)-S5</f>
        <v/>
      </c>
      <c r="T6" s="143">
        <f>SUM(T2:T4)-T5</f>
        <v/>
      </c>
      <c r="U6" s="143">
        <f>SUM(U2:U4)-U5</f>
        <v/>
      </c>
      <c r="V6" s="143">
        <f>SUM(V2:V4)-V5</f>
        <v/>
      </c>
      <c r="W6" s="143">
        <f>SUM(W2:W4)-W5</f>
        <v/>
      </c>
      <c r="X6" s="143">
        <f>SUM(X2:X4)-X5</f>
        <v/>
      </c>
      <c r="Y6" s="143">
        <f>SUM(M6:X6)</f>
        <v/>
      </c>
    </row>
    <row r="7">
      <c r="A7" s="343" t="n"/>
      <c r="B7" s="163" t="n"/>
      <c r="G7" s="163" t="n"/>
      <c r="H7" s="52" t="n"/>
      <c r="L7" s="160" t="inlineStr">
        <is>
          <t>difference SAP / SOLUNE</t>
        </is>
      </c>
      <c r="M7" s="44">
        <f>+M5-M2</f>
        <v/>
      </c>
      <c r="N7" s="44">
        <f>+N5-N2</f>
        <v/>
      </c>
      <c r="O7" s="44">
        <f>+O5-O2</f>
        <v/>
      </c>
      <c r="P7" s="44">
        <f>+P5-P2</f>
        <v/>
      </c>
      <c r="Q7" s="44">
        <f>+Q5-Q2</f>
        <v/>
      </c>
      <c r="R7" s="44">
        <f>+R5-R2</f>
        <v/>
      </c>
      <c r="S7" s="44">
        <f>+S5-S2</f>
        <v/>
      </c>
      <c r="T7" s="44">
        <f>+T5-T2</f>
        <v/>
      </c>
      <c r="U7" s="44">
        <f>+U5-U2</f>
        <v/>
      </c>
      <c r="V7" s="44">
        <f>+V5-V2</f>
        <v/>
      </c>
      <c r="W7" s="44">
        <f>+W5-W2</f>
        <v/>
      </c>
      <c r="X7" s="44">
        <f>+X5-X2</f>
        <v/>
      </c>
      <c r="Y7" s="44">
        <f>SUM(M7:X7)</f>
        <v/>
      </c>
    </row>
    <row r="8">
      <c r="A8" s="343" t="n"/>
      <c r="B8" s="163" t="n"/>
      <c r="G8" s="163" t="n"/>
      <c r="H8" s="52" t="n"/>
      <c r="L8" s="160" t="inlineStr">
        <is>
          <t>reasons</t>
        </is>
      </c>
      <c r="Y8" s="143">
        <f>SUM(M8:X8)</f>
        <v/>
      </c>
    </row>
    <row r="9">
      <c r="A9" s="343" t="n"/>
      <c r="B9" s="163" t="n"/>
      <c r="G9" s="163" t="n"/>
      <c r="H9" s="52" t="n"/>
      <c r="L9" t="inlineStr">
        <is>
          <t>correction / void</t>
        </is>
      </c>
      <c r="M9" s="143" t="n"/>
      <c r="N9" s="143" t="n"/>
      <c r="O9" s="143" t="n">
        <v>-15888</v>
      </c>
      <c r="P9" s="143" t="n"/>
      <c r="Q9" s="143" t="n">
        <v>15888</v>
      </c>
      <c r="R9" s="143" t="n"/>
      <c r="S9" s="143" t="n"/>
      <c r="T9" s="143" t="n"/>
      <c r="U9" s="143" t="n"/>
      <c r="V9" s="143" t="n"/>
      <c r="W9" s="143" t="n"/>
      <c r="X9" s="143" t="n"/>
      <c r="Y9" s="143">
        <f>SUM(M9:X9)</f>
        <v/>
      </c>
    </row>
    <row r="10">
      <c r="A10" s="343" t="n"/>
      <c r="B10" s="163" t="n"/>
      <c r="G10" s="163" t="n"/>
      <c r="H10" s="52" t="n"/>
      <c r="L10" t="inlineStr">
        <is>
          <t>Engineering</t>
        </is>
      </c>
      <c r="O10" s="143" t="n"/>
      <c r="P10" s="143">
        <f>C46</f>
        <v/>
      </c>
      <c r="Q10" s="143">
        <f>'Reconciliation SOLUNE vs SAP'!C47</f>
        <v/>
      </c>
      <c r="R10" s="143" t="n"/>
      <c r="S10" s="143" t="n"/>
      <c r="T10" s="143">
        <f>+H87</f>
        <v/>
      </c>
      <c r="U10" s="143" t="n"/>
      <c r="V10" s="143" t="n"/>
      <c r="W10" s="143" t="n"/>
      <c r="X10" s="143" t="n"/>
      <c r="Y10" s="143">
        <f>SUM(M10:X10)</f>
        <v/>
      </c>
    </row>
    <row r="11">
      <c r="A11" s="343" t="n"/>
      <c r="B11" s="163" t="n"/>
      <c r="G11" s="163" t="n"/>
      <c r="H11" s="52" t="n"/>
      <c r="L11" t="inlineStr">
        <is>
          <t>AIA - Engineering</t>
        </is>
      </c>
      <c r="M11" s="143" t="n"/>
      <c r="N11" s="143" t="n"/>
      <c r="O11" s="143" t="n"/>
      <c r="P11" s="143">
        <f>SUM(H48:H50)</f>
        <v/>
      </c>
      <c r="Q11" s="143">
        <f>H54</f>
        <v/>
      </c>
      <c r="R11" s="143" t="n"/>
      <c r="S11" s="143" t="n"/>
      <c r="T11" s="143">
        <f>H82+H83+H86</f>
        <v/>
      </c>
      <c r="U11" s="143" t="n"/>
      <c r="V11" s="143" t="n">
        <v>-36915</v>
      </c>
      <c r="W11" s="143" t="n"/>
      <c r="X11" s="143" t="n"/>
      <c r="Y11" s="143">
        <f>SUM(M11:X11)</f>
        <v/>
      </c>
    </row>
    <row r="12">
      <c r="A12" s="343" t="n"/>
      <c r="B12" s="163" t="n"/>
      <c r="G12" s="163" t="n"/>
      <c r="H12" s="52" t="n"/>
      <c r="M12" s="143" t="n"/>
      <c r="N12" s="143" t="n"/>
      <c r="O12" s="143" t="n"/>
      <c r="P12" s="143" t="n"/>
      <c r="Q12" s="143" t="n"/>
      <c r="R12" s="143" t="n"/>
      <c r="S12" s="143" t="n"/>
      <c r="T12" s="143" t="n"/>
      <c r="U12" s="143" t="n"/>
      <c r="V12" s="143" t="n"/>
      <c r="W12" s="143" t="n"/>
      <c r="X12" s="143" t="n"/>
      <c r="Y12" s="143">
        <f>SUM(M12:X12)</f>
        <v/>
      </c>
    </row>
    <row r="13">
      <c r="A13" s="28" t="n"/>
      <c r="B13" s="45" t="n"/>
      <c r="C13" s="46" t="n"/>
      <c r="D13" s="248" t="n"/>
      <c r="G13" s="163" t="n"/>
      <c r="H13" s="52" t="n"/>
      <c r="M13" s="143" t="n"/>
      <c r="N13" s="143" t="n"/>
      <c r="O13" s="143" t="n"/>
      <c r="R13" s="143" t="n"/>
      <c r="S13" s="143" t="n"/>
      <c r="T13" s="143" t="n"/>
      <c r="U13" s="143" t="n"/>
      <c r="V13" s="143" t="n"/>
      <c r="W13" s="143" t="n"/>
      <c r="X13" s="143" t="n"/>
      <c r="Y13" s="143">
        <f>SUM(M13:X13)</f>
        <v/>
      </c>
    </row>
    <row r="14">
      <c r="A14" s="343" t="n"/>
      <c r="B14" s="163" t="n"/>
      <c r="G14" s="163" t="n"/>
      <c r="H14" s="52" t="n"/>
      <c r="M14" s="143" t="n"/>
      <c r="N14" s="143" t="n"/>
      <c r="O14" s="143" t="n"/>
      <c r="P14" s="143" t="n"/>
      <c r="Q14" s="143" t="n"/>
      <c r="R14" s="143" t="n"/>
      <c r="S14" s="143" t="n"/>
      <c r="T14" s="143" t="n"/>
      <c r="U14" s="143" t="n"/>
      <c r="V14" s="143" t="n"/>
      <c r="W14" s="143" t="n"/>
      <c r="X14" s="143" t="n"/>
      <c r="Y14" s="143">
        <f>SUM(M14:X14)</f>
        <v/>
      </c>
    </row>
    <row r="15">
      <c r="A15" s="343" t="n"/>
      <c r="B15" s="163" t="n"/>
      <c r="G15" s="163" t="n"/>
      <c r="H15" s="52" t="n"/>
      <c r="L15" s="160" t="inlineStr">
        <is>
          <t>to clarify</t>
        </is>
      </c>
      <c r="M15" s="44">
        <f>SUM(M7:M14)</f>
        <v/>
      </c>
      <c r="N15" s="44">
        <f>SUM(N7:N14)</f>
        <v/>
      </c>
      <c r="O15" s="44">
        <f>SUM(O7:O14)</f>
        <v/>
      </c>
      <c r="P15" s="44">
        <f>SUM(P7:P14)</f>
        <v/>
      </c>
      <c r="Q15" s="44">
        <f>SUM(Q7:Q14)</f>
        <v/>
      </c>
      <c r="R15" s="44">
        <f>SUM(R7:R14)</f>
        <v/>
      </c>
      <c r="S15" s="44">
        <f>SUM(S7:S14)</f>
        <v/>
      </c>
      <c r="T15" s="44">
        <f>SUM(T7:T14)</f>
        <v/>
      </c>
      <c r="U15" s="44">
        <f>SUM(U7:U14)</f>
        <v/>
      </c>
      <c r="V15" s="44">
        <f>SUM(V7:V14)</f>
        <v/>
      </c>
      <c r="W15" s="44">
        <f>SUM(W7:W14)</f>
        <v/>
      </c>
      <c r="X15" s="44">
        <f>SUM(X7:X14)</f>
        <v/>
      </c>
      <c r="Y15" s="44">
        <f>SUM(M15:X15)</f>
        <v/>
      </c>
    </row>
    <row r="16">
      <c r="A16" s="343" t="n"/>
      <c r="B16" s="163" t="n"/>
      <c r="G16" s="163" t="n"/>
      <c r="H16" s="52" t="n"/>
      <c r="P16" s="143" t="n"/>
      <c r="Q16" s="143" t="n"/>
      <c r="R16" s="143" t="n"/>
      <c r="S16" s="143" t="n"/>
      <c r="T16" s="143" t="n"/>
      <c r="U16" s="143" t="n"/>
      <c r="V16" s="143" t="n"/>
      <c r="W16" s="143" t="n"/>
      <c r="X16" s="143" t="n"/>
      <c r="Y16" s="143" t="n"/>
    </row>
    <row r="17">
      <c r="A17" s="343" t="n"/>
      <c r="B17" s="163" t="n"/>
      <c r="G17" s="163" t="n"/>
      <c r="H17" s="52" t="n"/>
      <c r="M17" s="143" t="n"/>
      <c r="N17" s="143" t="n"/>
      <c r="O17" s="143" t="n"/>
      <c r="P17" s="143" t="n"/>
      <c r="Q17" s="143" t="n"/>
      <c r="R17" s="143" t="n"/>
      <c r="S17" s="143" t="n"/>
      <c r="T17" s="143" t="n"/>
      <c r="U17" s="143" t="n"/>
      <c r="V17" s="143" t="n"/>
      <c r="W17" s="143" t="n"/>
      <c r="X17" s="143" t="n"/>
      <c r="Y17" s="143" t="n"/>
    </row>
    <row r="18">
      <c r="A18" s="343" t="n"/>
      <c r="B18" s="163" t="n"/>
      <c r="G18" s="163" t="n"/>
      <c r="H18" s="52" t="n"/>
      <c r="M18" s="143" t="n"/>
      <c r="N18" s="143" t="n"/>
      <c r="O18" s="143" t="n"/>
      <c r="P18" s="143" t="n"/>
      <c r="Q18" s="143" t="n"/>
      <c r="R18" s="143" t="n"/>
      <c r="S18" s="143" t="n"/>
      <c r="T18" s="143" t="n"/>
      <c r="U18" s="143" t="n"/>
      <c r="V18" s="143" t="n"/>
      <c r="W18" s="143" t="n"/>
      <c r="X18" s="143" t="n"/>
      <c r="Y18" s="143" t="n"/>
    </row>
    <row r="19">
      <c r="A19" s="343" t="n"/>
      <c r="B19" s="163" t="n"/>
      <c r="G19" s="163" t="n"/>
      <c r="H19" s="52" t="n"/>
      <c r="M19" s="143" t="n"/>
      <c r="N19" s="143" t="n"/>
      <c r="O19" s="143" t="n"/>
      <c r="P19" s="143" t="n"/>
      <c r="Q19" s="143" t="n"/>
      <c r="R19" s="143" t="n"/>
      <c r="S19" s="143" t="n"/>
      <c r="T19" s="143" t="n"/>
      <c r="U19" s="143" t="n"/>
      <c r="V19" s="143" t="n"/>
      <c r="W19" s="143" t="n"/>
      <c r="X19" s="143" t="n"/>
      <c r="Y19" s="143" t="n"/>
    </row>
    <row r="20">
      <c r="A20" s="343" t="n"/>
      <c r="B20" s="163" t="n"/>
      <c r="G20" s="163" t="n"/>
      <c r="H20" s="52" t="n"/>
      <c r="M20" s="143" t="n"/>
      <c r="N20" s="143" t="n"/>
      <c r="O20" s="143" t="n"/>
      <c r="P20" s="143" t="n"/>
      <c r="Q20" s="143" t="n"/>
      <c r="R20" s="143" t="n"/>
      <c r="S20" s="143" t="n"/>
      <c r="T20" s="143" t="n"/>
      <c r="U20" s="143" t="n"/>
      <c r="V20" s="143" t="n"/>
      <c r="W20" s="143" t="n"/>
      <c r="X20" s="143" t="n"/>
      <c r="Y20" s="143" t="n"/>
    </row>
    <row r="21">
      <c r="A21" s="343" t="n"/>
      <c r="B21" s="163" t="n"/>
      <c r="G21" s="163" t="n"/>
      <c r="H21" s="52" t="n"/>
      <c r="M21" s="143" t="n"/>
      <c r="N21" s="143" t="n"/>
      <c r="O21" s="143" t="n"/>
      <c r="P21" s="143" t="n"/>
      <c r="Q21" s="143" t="n"/>
      <c r="R21" s="143" t="n"/>
      <c r="S21" s="143" t="n"/>
      <c r="T21" s="143" t="n"/>
      <c r="U21" s="143" t="n"/>
      <c r="V21" s="143" t="n"/>
      <c r="W21" s="143" t="n"/>
      <c r="X21" s="143" t="n"/>
      <c r="Y21" s="143" t="n"/>
    </row>
    <row r="22">
      <c r="A22" s="343" t="n"/>
      <c r="B22" s="163" t="n"/>
      <c r="G22" s="163" t="n"/>
      <c r="H22" s="52" t="n"/>
      <c r="M22" s="143" t="n"/>
      <c r="N22" s="143" t="n"/>
      <c r="O22" s="143" t="n"/>
      <c r="P22" s="143" t="n"/>
      <c r="Q22" s="143" t="n"/>
      <c r="R22" s="143" t="n"/>
      <c r="S22" s="143" t="n"/>
      <c r="T22" s="143" t="n"/>
      <c r="U22" s="143" t="n"/>
      <c r="V22" s="143" t="n"/>
      <c r="W22" s="143" t="n"/>
      <c r="X22" s="143" t="n"/>
      <c r="Y22" s="143" t="n"/>
    </row>
    <row r="23">
      <c r="A23" s="343" t="n"/>
      <c r="B23" s="163" t="n"/>
      <c r="G23" s="163" t="n"/>
      <c r="H23" s="52" t="n"/>
      <c r="M23" s="143" t="n"/>
      <c r="N23" s="143" t="n"/>
      <c r="O23" s="143" t="n"/>
      <c r="P23" s="143" t="n"/>
      <c r="Q23" s="143" t="n"/>
      <c r="R23" s="143" t="n"/>
      <c r="S23" s="143" t="n"/>
      <c r="T23" s="143" t="n"/>
      <c r="U23" s="143" t="n"/>
      <c r="V23" s="143" t="n"/>
      <c r="W23" s="143" t="n"/>
      <c r="X23" s="143" t="n"/>
      <c r="Y23" s="143" t="n"/>
    </row>
    <row r="24">
      <c r="A24" s="343" t="n"/>
      <c r="B24" s="163" t="n"/>
      <c r="G24" s="163" t="n"/>
      <c r="H24" s="52" t="n"/>
      <c r="M24" s="143" t="n"/>
      <c r="N24" s="143" t="n"/>
      <c r="O24" s="143" t="n"/>
      <c r="P24" s="143" t="n"/>
      <c r="Q24" s="143" t="n"/>
      <c r="R24" s="143" t="n"/>
      <c r="S24" s="143" t="n"/>
      <c r="T24" s="143" t="n"/>
      <c r="U24" s="143" t="n"/>
      <c r="V24" s="143" t="n"/>
      <c r="W24" s="143" t="n"/>
      <c r="X24" s="143" t="n"/>
      <c r="Y24" s="143" t="n"/>
    </row>
    <row r="25">
      <c r="A25" s="343" t="n"/>
      <c r="B25" s="163" t="n"/>
      <c r="G25" s="163" t="n"/>
      <c r="H25" s="52" t="n"/>
    </row>
    <row r="26">
      <c r="A26" s="343" t="n"/>
      <c r="B26" s="163" t="n"/>
      <c r="G26" s="163" t="n"/>
      <c r="H26" s="52" t="n"/>
    </row>
    <row r="27">
      <c r="A27" s="343" t="n"/>
      <c r="B27" s="163" t="n"/>
      <c r="G27" s="163" t="n"/>
      <c r="H27" s="52" t="n"/>
    </row>
    <row r="28">
      <c r="A28" s="343" t="n"/>
      <c r="B28" s="163" t="n"/>
      <c r="G28" s="163" t="n"/>
      <c r="H28" s="52" t="n"/>
    </row>
    <row r="29">
      <c r="A29" s="343" t="n"/>
      <c r="B29" s="163" t="n"/>
      <c r="G29" s="163" t="n"/>
      <c r="H29" s="52" t="n"/>
    </row>
    <row r="30">
      <c r="A30" s="343" t="n"/>
      <c r="B30" s="163" t="n"/>
      <c r="G30" s="163" t="n"/>
      <c r="H30" s="52" t="n"/>
    </row>
    <row r="31">
      <c r="A31" s="343" t="n"/>
      <c r="B31" s="163" t="n"/>
      <c r="G31" s="163" t="n"/>
      <c r="H31" s="52" t="n"/>
    </row>
    <row r="32">
      <c r="A32" s="343" t="n"/>
      <c r="B32" s="163" t="n"/>
      <c r="G32" s="163" t="n"/>
      <c r="H32" s="52" t="n"/>
    </row>
    <row r="33">
      <c r="A33" s="343" t="n"/>
      <c r="B33" s="163" t="n"/>
      <c r="G33" s="163" t="n"/>
      <c r="H33" s="52" t="n"/>
    </row>
    <row r="34">
      <c r="A34" s="343" t="n"/>
      <c r="B34" s="163" t="n"/>
      <c r="G34" s="163" t="n"/>
      <c r="H34" s="52" t="n"/>
    </row>
    <row r="35">
      <c r="A35" s="343" t="n"/>
      <c r="B35" s="163" t="n"/>
      <c r="G35" s="163" t="n"/>
      <c r="H35" s="52" t="n"/>
    </row>
    <row r="36">
      <c r="A36" s="343" t="n"/>
      <c r="B36" s="163" t="n"/>
      <c r="G36" s="163" t="n"/>
      <c r="H36" s="52" t="n"/>
    </row>
    <row r="37">
      <c r="A37" s="343" t="n"/>
      <c r="B37" s="163" t="n"/>
      <c r="G37" s="45" t="n"/>
      <c r="H37" s="52" t="n"/>
      <c r="I37" s="248" t="n"/>
    </row>
    <row r="38">
      <c r="A38" s="343" t="n"/>
      <c r="B38" s="163" t="n"/>
      <c r="G38" s="163" t="n"/>
      <c r="H38" s="52" t="n"/>
    </row>
    <row r="39">
      <c r="A39" s="343" t="n"/>
      <c r="B39" s="163" t="n"/>
      <c r="G39" s="163" t="n"/>
      <c r="H39" s="52" t="n"/>
    </row>
    <row r="40">
      <c r="A40" s="343" t="n"/>
      <c r="B40" s="163" t="n"/>
      <c r="G40" s="163" t="n"/>
      <c r="H40" s="143" t="n"/>
    </row>
    <row r="41">
      <c r="A41" s="343" t="n"/>
      <c r="B41" s="163" t="n"/>
      <c r="G41" s="163" t="n"/>
      <c r="H41" s="143" t="n"/>
    </row>
    <row r="42">
      <c r="A42" s="343" t="n"/>
      <c r="B42" s="163" t="n"/>
      <c r="E42" s="55" t="n"/>
      <c r="G42" s="163" t="n"/>
      <c r="H42" s="56" t="n"/>
    </row>
    <row r="43">
      <c r="A43" s="343" t="n"/>
      <c r="B43" s="163" t="n"/>
      <c r="E43" s="55" t="n"/>
      <c r="G43" s="163" t="n"/>
      <c r="H43" s="56" t="n"/>
    </row>
    <row r="44">
      <c r="A44" s="329" t="n"/>
      <c r="B44" s="330" t="n"/>
      <c r="E44" s="55" t="n"/>
      <c r="G44" s="163" t="n"/>
      <c r="H44" s="56" t="n"/>
    </row>
    <row r="45">
      <c r="A45" s="329" t="n"/>
      <c r="B45" s="330" t="n"/>
      <c r="E45" s="96" t="n"/>
      <c r="F45" s="96" t="n"/>
      <c r="G45" s="54" t="n"/>
      <c r="H45" s="53" t="n"/>
      <c r="J45" s="96" t="n"/>
    </row>
    <row r="46">
      <c r="A46" s="329" t="n"/>
      <c r="B46" s="330" t="n"/>
      <c r="E46" s="96" t="n"/>
      <c r="F46" s="96" t="n"/>
      <c r="G46" s="54" t="n"/>
      <c r="H46" s="53" t="n"/>
      <c r="J46" s="96" t="n"/>
    </row>
    <row r="47">
      <c r="A47" s="329" t="n"/>
      <c r="B47" s="330" t="n"/>
      <c r="E47" s="96" t="n"/>
      <c r="F47" s="96" t="n"/>
      <c r="G47" s="54" t="n"/>
      <c r="H47" s="53" t="n"/>
      <c r="J47" s="96" t="n"/>
    </row>
    <row r="48">
      <c r="B48" s="163" t="n"/>
      <c r="E48" s="96" t="n"/>
      <c r="F48" s="96" t="n"/>
      <c r="G48" s="54" t="n"/>
      <c r="H48" s="53" t="n"/>
      <c r="J48" s="96" t="n"/>
    </row>
    <row r="49">
      <c r="B49" s="163" t="n"/>
      <c r="E49" s="96" t="n"/>
      <c r="F49" s="96" t="n"/>
      <c r="G49" s="54" t="n"/>
      <c r="H49" s="53" t="n"/>
      <c r="J49" s="96" t="n"/>
    </row>
    <row r="50">
      <c r="B50" s="163" t="n"/>
      <c r="E50" s="96" t="n"/>
      <c r="F50" s="96" t="n"/>
      <c r="G50" s="54" t="n"/>
      <c r="H50" s="53" t="n"/>
      <c r="J50" s="96" t="n"/>
    </row>
    <row r="51">
      <c r="A51" s="329" t="n"/>
      <c r="B51" s="330" t="n"/>
      <c r="E51" s="96" t="n"/>
      <c r="F51" s="96" t="n"/>
      <c r="G51" s="54" t="n"/>
      <c r="H51" s="53" t="n"/>
      <c r="J51" s="96" t="n"/>
    </row>
    <row r="52">
      <c r="B52" s="163" t="n"/>
      <c r="E52" s="96" t="n"/>
      <c r="F52" s="96" t="n"/>
      <c r="G52" s="54" t="n"/>
      <c r="H52" s="53" t="n"/>
      <c r="J52" s="96" t="n"/>
    </row>
    <row r="53">
      <c r="B53" s="163" t="n"/>
      <c r="E53" s="96" t="n"/>
      <c r="F53" s="96" t="n"/>
      <c r="G53" s="54" t="n"/>
      <c r="H53" s="53" t="n"/>
      <c r="J53" s="96" t="n"/>
    </row>
    <row r="54">
      <c r="B54" s="163" t="n"/>
      <c r="E54" s="96" t="n"/>
      <c r="F54" s="96" t="n"/>
      <c r="G54" s="54" t="n"/>
      <c r="H54" s="53" t="n"/>
      <c r="J54" s="96" t="n"/>
    </row>
    <row r="55">
      <c r="B55" s="163" t="n"/>
      <c r="E55" s="96" t="n"/>
      <c r="F55" s="96" t="n"/>
      <c r="G55" s="54" t="n"/>
      <c r="H55" s="53" t="n"/>
      <c r="J55" s="96" t="n"/>
    </row>
    <row r="56">
      <c r="B56" s="163" t="n"/>
      <c r="E56" s="96" t="n"/>
      <c r="F56" s="96" t="n"/>
      <c r="G56" s="54" t="n"/>
      <c r="H56" s="53" t="n"/>
      <c r="J56" s="96" t="n"/>
    </row>
    <row r="57">
      <c r="A57" s="57" t="n"/>
      <c r="B57" s="163" t="n"/>
      <c r="E57" s="96" t="n"/>
      <c r="F57" s="96" t="n"/>
      <c r="G57" s="54" t="n"/>
      <c r="H57" s="53" t="n"/>
      <c r="J57" s="96" t="n"/>
    </row>
    <row r="58">
      <c r="B58" s="163" t="n"/>
      <c r="E58" s="96" t="n"/>
      <c r="F58" s="96" t="n"/>
      <c r="G58" s="54" t="n"/>
      <c r="H58" s="53" t="n"/>
      <c r="J58" s="96" t="n"/>
    </row>
    <row r="59">
      <c r="B59" s="163" t="n"/>
      <c r="G59" s="163" t="n"/>
    </row>
    <row r="60">
      <c r="B60" s="163" t="n"/>
      <c r="G60" s="163" t="n"/>
    </row>
    <row r="61">
      <c r="B61" s="163" t="n"/>
      <c r="C61" s="710" t="n"/>
      <c r="G61" s="163" t="n"/>
    </row>
    <row r="62">
      <c r="B62" s="163" t="n"/>
      <c r="C62" s="710" t="n"/>
      <c r="G62" s="163" t="n"/>
    </row>
    <row r="63">
      <c r="B63" s="163" t="n"/>
      <c r="C63" s="710" t="n"/>
      <c r="G63" s="163" t="n"/>
    </row>
    <row r="64">
      <c r="B64" s="163" t="n"/>
      <c r="C64" s="710" t="n"/>
      <c r="G64" s="163" t="n"/>
    </row>
    <row r="65">
      <c r="B65" s="163" t="n"/>
      <c r="C65" s="710" t="n"/>
      <c r="G65" s="163" t="n"/>
      <c r="H65" s="143" t="n"/>
    </row>
    <row r="66">
      <c r="B66" s="163" t="n"/>
      <c r="C66" s="710" t="n"/>
      <c r="G66" s="163" t="n"/>
      <c r="H66" s="143" t="n"/>
    </row>
    <row r="67">
      <c r="B67" s="163" t="n"/>
      <c r="C67" s="710" t="n"/>
      <c r="G67" s="163" t="n"/>
    </row>
    <row r="68">
      <c r="B68" s="163" t="n"/>
      <c r="C68" s="710" t="n"/>
      <c r="G68" s="163" t="n"/>
    </row>
    <row r="69">
      <c r="B69" s="163" t="n"/>
      <c r="C69" s="710" t="n"/>
      <c r="G69" s="163" t="n"/>
    </row>
    <row r="70">
      <c r="B70" s="163" t="n"/>
      <c r="C70" s="710" t="n"/>
      <c r="G70" s="163" t="n"/>
    </row>
    <row r="71">
      <c r="B71" s="163" t="n"/>
      <c r="C71" s="710" t="n"/>
      <c r="G71" s="163" t="n"/>
    </row>
    <row r="72">
      <c r="B72" s="163" t="n"/>
      <c r="C72" s="710" t="n"/>
      <c r="G72" s="163" t="n"/>
    </row>
    <row r="73">
      <c r="B73" s="163" t="n"/>
      <c r="C73" s="710" t="n"/>
      <c r="G73" s="163" t="n"/>
      <c r="H73" s="143" t="n"/>
    </row>
    <row r="74">
      <c r="B74" s="163" t="n"/>
      <c r="C74" s="710" t="n"/>
      <c r="G74" s="163" t="n"/>
    </row>
    <row r="75">
      <c r="B75" s="163" t="n"/>
      <c r="C75" s="710" t="n"/>
      <c r="G75" s="163" t="n"/>
    </row>
    <row r="76">
      <c r="B76" s="163" t="n"/>
      <c r="C76" s="710" t="n"/>
      <c r="G76" s="163" t="n"/>
      <c r="H76" s="143" t="n"/>
    </row>
    <row r="77">
      <c r="B77" s="163" t="n"/>
      <c r="C77" s="710" t="n"/>
      <c r="G77" s="163" t="n"/>
      <c r="H77" s="143" t="n"/>
    </row>
    <row r="78">
      <c r="B78" s="163" t="n"/>
      <c r="G78" s="163" t="n"/>
      <c r="H78" s="143" t="n"/>
    </row>
    <row r="79">
      <c r="B79" s="163" t="n"/>
      <c r="E79" s="96" t="n"/>
      <c r="G79" s="163" t="n"/>
      <c r="H79" s="143" t="n"/>
    </row>
    <row r="80">
      <c r="B80" s="163" t="n"/>
      <c r="E80" s="96" t="n"/>
      <c r="G80" s="163" t="n"/>
      <c r="H80" s="143" t="n"/>
    </row>
    <row r="81">
      <c r="B81" s="163" t="n"/>
      <c r="E81" s="96" t="n"/>
      <c r="G81" s="163" t="n"/>
      <c r="H81" s="143" t="n"/>
    </row>
    <row r="82">
      <c r="B82" s="163" t="n"/>
      <c r="E82" s="96" t="n"/>
      <c r="G82" s="163" t="n"/>
      <c r="H82" s="143" t="n"/>
    </row>
    <row r="83">
      <c r="B83" s="163" t="n"/>
      <c r="E83" s="96" t="n"/>
      <c r="G83" s="163" t="n"/>
      <c r="H83" s="143" t="n"/>
    </row>
    <row r="84">
      <c r="B84" s="163" t="n"/>
      <c r="E84" s="96" t="n"/>
      <c r="G84" s="163" t="n"/>
      <c r="H84" s="143" t="n"/>
    </row>
    <row r="85">
      <c r="B85" s="163" t="n"/>
      <c r="F85" s="163" t="n"/>
      <c r="G85" s="163" t="n"/>
      <c r="H85" s="143" t="n"/>
    </row>
    <row r="86">
      <c r="B86" s="163" t="n"/>
      <c r="C86" s="754" t="n"/>
      <c r="G86" s="163" t="n"/>
      <c r="H86" s="143" t="n"/>
    </row>
    <row r="87">
      <c r="B87" s="163" t="n"/>
      <c r="C87" s="710" t="n"/>
      <c r="G87" s="163" t="n"/>
      <c r="H87" s="143" t="n"/>
    </row>
    <row r="88">
      <c r="B88" s="163" t="n"/>
      <c r="C88" s="710" t="n"/>
      <c r="G88" s="163" t="n"/>
      <c r="H88" s="46" t="n"/>
    </row>
    <row r="89">
      <c r="B89" s="163" t="n"/>
      <c r="C89" s="710" t="n"/>
      <c r="G89" s="163" t="n"/>
      <c r="H89" s="46" t="n"/>
    </row>
    <row r="90">
      <c r="B90" s="163" t="n"/>
      <c r="C90" s="710" t="n"/>
      <c r="G90" s="163" t="n"/>
      <c r="H90" s="143" t="n"/>
    </row>
    <row r="91">
      <c r="B91" s="163" t="n"/>
      <c r="C91" s="710" t="n"/>
      <c r="G91" s="163" t="n"/>
      <c r="H91" s="143" t="n"/>
    </row>
    <row r="92">
      <c r="B92" s="163" t="n"/>
      <c r="C92" s="710" t="n"/>
      <c r="G92" s="163" t="n"/>
      <c r="H92" s="143" t="n"/>
    </row>
    <row r="93">
      <c r="B93" s="163" t="n"/>
      <c r="C93" s="710" t="n"/>
      <c r="G93" s="163" t="n"/>
      <c r="H93" s="143" t="n"/>
    </row>
    <row r="94">
      <c r="B94" s="163" t="n"/>
      <c r="C94" s="710" t="n"/>
      <c r="G94" s="163" t="n"/>
      <c r="H94" s="143" t="n"/>
    </row>
    <row r="95">
      <c r="B95" s="163" t="n"/>
      <c r="C95" s="710" t="n"/>
      <c r="G95" s="163" t="n"/>
      <c r="H95" s="143" t="n"/>
    </row>
    <row r="96">
      <c r="B96" s="163" t="n"/>
      <c r="C96" s="710" t="n"/>
      <c r="G96" s="163" t="n"/>
      <c r="H96" s="143" t="n"/>
    </row>
    <row r="97">
      <c r="B97" s="163" t="n"/>
      <c r="C97" s="710" t="n"/>
      <c r="G97" s="163" t="n"/>
      <c r="H97" s="143" t="n"/>
    </row>
    <row r="98">
      <c r="B98" s="163" t="n"/>
      <c r="C98" s="710" t="n"/>
      <c r="G98" s="163" t="n"/>
      <c r="H98" s="143" t="n"/>
    </row>
    <row r="99">
      <c r="B99" s="163" t="n"/>
      <c r="C99" s="710" t="n"/>
      <c r="G99" s="163" t="n"/>
      <c r="H99" s="143" t="n"/>
    </row>
    <row r="100">
      <c r="G100" s="163" t="n"/>
      <c r="H100" s="143" t="n"/>
    </row>
    <row r="101">
      <c r="G101" s="163" t="n"/>
      <c r="H101" s="143" t="n"/>
    </row>
    <row r="102">
      <c r="G102" s="163" t="n"/>
      <c r="H102" s="143" t="n"/>
    </row>
    <row r="103">
      <c r="G103" s="163" t="n"/>
      <c r="H103" s="143" t="n"/>
    </row>
    <row r="104">
      <c r="G104" s="163" t="n"/>
      <c r="H104" s="143" t="n"/>
    </row>
    <row r="105">
      <c r="G105" s="163" t="n"/>
      <c r="H105" s="143" t="n"/>
    </row>
    <row r="106">
      <c r="G106" s="163" t="n"/>
      <c r="H106" s="143" t="n"/>
    </row>
    <row r="107">
      <c r="G107" s="163" t="n"/>
      <c r="H107" s="143" t="n"/>
    </row>
    <row r="108">
      <c r="G108" s="163" t="n"/>
      <c r="H108" s="143" t="n"/>
    </row>
    <row r="109">
      <c r="G109" s="163" t="n"/>
      <c r="H109" s="143" t="n"/>
    </row>
    <row r="110">
      <c r="G110" s="163" t="n"/>
      <c r="H110" s="143" t="n"/>
    </row>
    <row r="111">
      <c r="G111" s="163" t="n"/>
      <c r="H111" s="143" t="n"/>
    </row>
    <row r="112">
      <c r="G112" s="163" t="n"/>
      <c r="H112" s="143" t="n"/>
    </row>
    <row r="113">
      <c r="G113" s="163" t="n"/>
      <c r="H113" s="143" t="n"/>
    </row>
    <row r="114">
      <c r="G114" s="163" t="n"/>
    </row>
    <row r="115">
      <c r="G115" s="163" t="n"/>
    </row>
    <row r="116">
      <c r="G116" s="163" t="n"/>
    </row>
    <row r="117">
      <c r="G117" s="163" t="n"/>
      <c r="H117" s="143" t="n"/>
    </row>
    <row r="118">
      <c r="G118" s="163" t="n"/>
      <c r="H118" s="143" t="n"/>
    </row>
    <row r="119">
      <c r="G119" s="163" t="n"/>
      <c r="H119" s="143" t="n"/>
    </row>
    <row r="120">
      <c r="G120" s="163" t="n"/>
      <c r="H120" s="143" t="n"/>
    </row>
    <row r="121">
      <c r="G121" s="163" t="n"/>
    </row>
    <row r="122">
      <c r="G122" s="163" t="n"/>
    </row>
    <row r="123">
      <c r="G123" s="163" t="n"/>
    </row>
    <row r="124">
      <c r="G124" s="163" t="n"/>
      <c r="H124" s="143" t="n"/>
    </row>
    <row r="125">
      <c r="G125" s="163" t="n"/>
      <c r="H125" s="143" t="n"/>
    </row>
    <row r="126">
      <c r="G126" s="163" t="n"/>
      <c r="H126" s="143" t="n"/>
    </row>
    <row r="127">
      <c r="G127" s="163" t="n"/>
      <c r="H127" s="143" t="n"/>
    </row>
    <row r="128">
      <c r="G128" s="163" t="n"/>
    </row>
    <row r="129">
      <c r="G129" s="163" t="n"/>
      <c r="H129" s="143" t="n"/>
    </row>
    <row r="130">
      <c r="G130" s="163" t="n"/>
      <c r="H130" s="143" t="n"/>
    </row>
    <row r="131">
      <c r="G131" s="163" t="n"/>
      <c r="H131" s="143" t="n"/>
    </row>
    <row r="132">
      <c r="G132" s="163" t="n"/>
      <c r="H132" s="143" t="n"/>
    </row>
    <row r="133">
      <c r="G133" s="163" t="n"/>
      <c r="H133" s="143" t="n"/>
    </row>
    <row r="134">
      <c r="G134" s="163" t="n"/>
      <c r="H134" s="143" t="n"/>
    </row>
    <row r="135">
      <c r="G135" s="163" t="n"/>
      <c r="H135" s="143" t="n"/>
    </row>
    <row r="136">
      <c r="G136" s="163" t="n"/>
      <c r="H136" s="143" t="n"/>
    </row>
    <row r="137">
      <c r="G137" s="163" t="n"/>
      <c r="H137" s="143" t="n"/>
    </row>
    <row r="138">
      <c r="G138" s="163" t="n"/>
      <c r="H138" s="143" t="n"/>
    </row>
    <row r="139">
      <c r="G139" s="163" t="n"/>
      <c r="H139" s="143" t="n"/>
    </row>
    <row r="140">
      <c r="G140" s="163" t="n"/>
      <c r="H140" s="143" t="n"/>
    </row>
    <row r="141">
      <c r="G141" s="163" t="n"/>
      <c r="H141" s="143" t="n"/>
    </row>
    <row r="142">
      <c r="G142" s="163" t="n"/>
      <c r="H142" s="143" t="n"/>
    </row>
    <row r="143">
      <c r="G143" s="163" t="n"/>
      <c r="H143" s="143" t="n"/>
    </row>
    <row r="144">
      <c r="G144" s="163" t="n"/>
      <c r="H144" s="143" t="n"/>
    </row>
    <row r="145">
      <c r="G145" s="163" t="n"/>
      <c r="H145" s="143" t="n"/>
    </row>
    <row r="146">
      <c r="G146" s="163" t="n"/>
      <c r="H146" s="143" t="n"/>
    </row>
  </sheetData>
  <conditionalFormatting sqref="A49:A60 A44:A46 A61:C77">
    <cfRule type="expression" priority="104" dxfId="82">
      <formula>OR($M44="Annulé",$M44="Rejeté")</formula>
    </cfRule>
    <cfRule type="expression" priority="92" dxfId="81">
      <formula>AND(YEAR($Y44)=YEAR(TODAY()),MONTH($Y44)=MONTH(336))</formula>
    </cfRule>
    <cfRule type="expression" priority="93" dxfId="80">
      <formula>AND(YEAR($Y44)=YEAR(TODAY()),MONTH($Y44)=MONTH(306))</formula>
    </cfRule>
    <cfRule type="expression" priority="94" dxfId="79">
      <formula>AND(YEAR($Y44)=YEAR(TODAY()),MONTH($Y44)=MONTH(275))</formula>
    </cfRule>
    <cfRule type="expression" priority="95" dxfId="78">
      <formula>AND(YEAR($Y44)=YEAR(TODAY()),MONTH($Y44)=MONTH(245))</formula>
    </cfRule>
    <cfRule type="expression" priority="96" dxfId="77">
      <formula>AND(YEAR($Y44)=YEAR(TODAY()),MONTH($Y44)=MONTH(214))</formula>
    </cfRule>
    <cfRule type="expression" priority="97" dxfId="76">
      <formula>AND(YEAR($Y44)=YEAR(TODAY()),MONTH($Y44)=MONTH(183))</formula>
    </cfRule>
    <cfRule type="expression" priority="98" dxfId="75">
      <formula>AND(YEAR($Y44)=YEAR(TODAY()),MONTH($Y44)=MONTH(153))</formula>
    </cfRule>
    <cfRule type="expression" priority="99" dxfId="74">
      <formula>AND(YEAR($Y44)=YEAR(TODAY()),MONTH($Y44)=MONTH(152))</formula>
    </cfRule>
    <cfRule type="expression" priority="100" dxfId="73">
      <formula>AND(YEAR($Y44)=YEAR(TODAY()),MONTH($Y44)=MONTH(121))</formula>
    </cfRule>
    <cfRule type="expression" priority="101" dxfId="72">
      <formula>AND(YEAR($Y44)=YEAR(TODAY()),MONTH($Y44)=MONTH(91))</formula>
    </cfRule>
    <cfRule type="expression" priority="102" dxfId="71">
      <formula>AND(YEAR($Y44)=YEAR(TODAY()),MONTH($Y44)=MONTH(60))</formula>
    </cfRule>
    <cfRule type="expression" priority="103" dxfId="70">
      <formula>AND(YEAR($Y44)=YEAR(TODAY()),MONTH($Y44)=MONTH(31))</formula>
    </cfRule>
  </conditionalFormatting>
  <conditionalFormatting sqref="A47">
    <cfRule type="expression" priority="91" dxfId="82">
      <formula>OR($M47="Annulé",$M47="Rejeté")</formula>
    </cfRule>
    <cfRule type="expression" priority="79" dxfId="81">
      <formula>AND(YEAR($Y47)=YEAR(TODAY()),MONTH($Y47)=MONTH(336))</formula>
    </cfRule>
    <cfRule type="expression" priority="80" dxfId="80">
      <formula>AND(YEAR($Y47)=YEAR(TODAY()),MONTH($Y47)=MONTH(306))</formula>
    </cfRule>
    <cfRule type="expression" priority="81" dxfId="79">
      <formula>AND(YEAR($Y47)=YEAR(TODAY()),MONTH($Y47)=MONTH(275))</formula>
    </cfRule>
    <cfRule type="expression" priority="82" dxfId="78">
      <formula>AND(YEAR($Y47)=YEAR(TODAY()),MONTH($Y47)=MONTH(245))</formula>
    </cfRule>
    <cfRule type="expression" priority="83" dxfId="77">
      <formula>AND(YEAR($Y47)=YEAR(TODAY()),MONTH($Y47)=MONTH(214))</formula>
    </cfRule>
    <cfRule type="expression" priority="84" dxfId="76">
      <formula>AND(YEAR($Y47)=YEAR(TODAY()),MONTH($Y47)=MONTH(183))</formula>
    </cfRule>
    <cfRule type="expression" priority="85" dxfId="75">
      <formula>AND(YEAR($Y47)=YEAR(TODAY()),MONTH($Y47)=MONTH(153))</formula>
    </cfRule>
    <cfRule type="expression" priority="86" dxfId="74">
      <formula>AND(YEAR($Y47)=YEAR(TODAY()),MONTH($Y47)=MONTH(152))</formula>
    </cfRule>
    <cfRule type="expression" priority="87" dxfId="73">
      <formula>AND(YEAR($Y47)=YEAR(TODAY()),MONTH($Y47)=MONTH(121))</formula>
    </cfRule>
    <cfRule type="expression" priority="88" dxfId="72">
      <formula>AND(YEAR($Y47)=YEAR(TODAY()),MONTH($Y47)=MONTH(91))</formula>
    </cfRule>
    <cfRule type="expression" priority="89" dxfId="71">
      <formula>AND(YEAR($Y47)=YEAR(TODAY()),MONTH($Y47)=MONTH(60))</formula>
    </cfRule>
    <cfRule type="expression" priority="90" dxfId="70">
      <formula>AND(YEAR($Y47)=YEAR(TODAY()),MONTH($Y47)=MONTH(31))</formula>
    </cfRule>
  </conditionalFormatting>
  <conditionalFormatting sqref="A48">
    <cfRule type="expression" priority="78" dxfId="82">
      <formula>OR($M48="Annulé",$M48="Rejeté")</formula>
    </cfRule>
    <cfRule type="expression" priority="66" dxfId="81">
      <formula>AND(YEAR($Y48)=YEAR(TODAY()),MONTH($Y48)=MONTH(336))</formula>
    </cfRule>
    <cfRule type="expression" priority="67" dxfId="80">
      <formula>AND(YEAR($Y48)=YEAR(TODAY()),MONTH($Y48)=MONTH(306))</formula>
    </cfRule>
    <cfRule type="expression" priority="68" dxfId="79">
      <formula>AND(YEAR($Y48)=YEAR(TODAY()),MONTH($Y48)=MONTH(275))</formula>
    </cfRule>
    <cfRule type="expression" priority="69" dxfId="78">
      <formula>AND(YEAR($Y48)=YEAR(TODAY()),MONTH($Y48)=MONTH(245))</formula>
    </cfRule>
    <cfRule type="expression" priority="70" dxfId="77">
      <formula>AND(YEAR($Y48)=YEAR(TODAY()),MONTH($Y48)=MONTH(214))</formula>
    </cfRule>
    <cfRule type="expression" priority="71" dxfId="76">
      <formula>AND(YEAR($Y48)=YEAR(TODAY()),MONTH($Y48)=MONTH(183))</formula>
    </cfRule>
    <cfRule type="expression" priority="72" dxfId="75">
      <formula>AND(YEAR($Y48)=YEAR(TODAY()),MONTH($Y48)=MONTH(153))</formula>
    </cfRule>
    <cfRule type="expression" priority="73" dxfId="74">
      <formula>AND(YEAR($Y48)=YEAR(TODAY()),MONTH($Y48)=MONTH(152))</formula>
    </cfRule>
    <cfRule type="expression" priority="74" dxfId="73">
      <formula>AND(YEAR($Y48)=YEAR(TODAY()),MONTH($Y48)=MONTH(121))</formula>
    </cfRule>
    <cfRule type="expression" priority="75" dxfId="72">
      <formula>AND(YEAR($Y48)=YEAR(TODAY()),MONTH($Y48)=MONTH(91))</formula>
    </cfRule>
    <cfRule type="expression" priority="76" dxfId="71">
      <formula>AND(YEAR($Y48)=YEAR(TODAY()),MONTH($Y48)=MONTH(60))</formula>
    </cfRule>
    <cfRule type="expression" priority="77" dxfId="70">
      <formula>AND(YEAR($Y48)=YEAR(TODAY()),MONTH($Y48)=MONTH(31))</formula>
    </cfRule>
  </conditionalFormatting>
  <conditionalFormatting sqref="B49:B60 B44:B46">
    <cfRule type="expression" priority="65" dxfId="82">
      <formula>OR($M44="Annulé",$M44="Rejeté")</formula>
    </cfRule>
    <cfRule type="expression" priority="53" dxfId="81">
      <formula>AND(YEAR($Y44)=YEAR(TODAY()),MONTH($Y44)=MONTH(336))</formula>
    </cfRule>
    <cfRule type="expression" priority="54" dxfId="80">
      <formula>AND(YEAR($Y44)=YEAR(TODAY()),MONTH($Y44)=MONTH(306))</formula>
    </cfRule>
    <cfRule type="expression" priority="55" dxfId="79">
      <formula>AND(YEAR($Y44)=YEAR(TODAY()),MONTH($Y44)=MONTH(275))</formula>
    </cfRule>
    <cfRule type="expression" priority="56" dxfId="78">
      <formula>AND(YEAR($Y44)=YEAR(TODAY()),MONTH($Y44)=MONTH(245))</formula>
    </cfRule>
    <cfRule type="expression" priority="57" dxfId="77">
      <formula>AND(YEAR($Y44)=YEAR(TODAY()),MONTH($Y44)=MONTH(214))</formula>
    </cfRule>
    <cfRule type="expression" priority="58" dxfId="76">
      <formula>AND(YEAR($Y44)=YEAR(TODAY()),MONTH($Y44)=MONTH(183))</formula>
    </cfRule>
    <cfRule type="expression" priority="59" dxfId="75">
      <formula>AND(YEAR($Y44)=YEAR(TODAY()),MONTH($Y44)=MONTH(153))</formula>
    </cfRule>
    <cfRule type="expression" priority="60" dxfId="74">
      <formula>AND(YEAR($Y44)=YEAR(TODAY()),MONTH($Y44)=MONTH(152))</formula>
    </cfRule>
    <cfRule type="expression" priority="61" dxfId="73">
      <formula>AND(YEAR($Y44)=YEAR(TODAY()),MONTH($Y44)=MONTH(121))</formula>
    </cfRule>
    <cfRule type="expression" priority="62" dxfId="72">
      <formula>AND(YEAR($Y44)=YEAR(TODAY()),MONTH($Y44)=MONTH(91))</formula>
    </cfRule>
    <cfRule type="expression" priority="63" dxfId="71">
      <formula>AND(YEAR($Y44)=YEAR(TODAY()),MONTH($Y44)=MONTH(60))</formula>
    </cfRule>
    <cfRule type="expression" priority="64" dxfId="70">
      <formula>AND(YEAR($Y44)=YEAR(TODAY()),MONTH($Y44)=MONTH(31))</formula>
    </cfRule>
  </conditionalFormatting>
  <conditionalFormatting sqref="B47">
    <cfRule type="expression" priority="52" dxfId="82">
      <formula>OR($M47="Annulé",$M47="Rejeté")</formula>
    </cfRule>
    <cfRule type="expression" priority="40" dxfId="81">
      <formula>AND(YEAR($Y47)=YEAR(TODAY()),MONTH($Y47)=MONTH(336))</formula>
    </cfRule>
    <cfRule type="expression" priority="41" dxfId="80">
      <formula>AND(YEAR($Y47)=YEAR(TODAY()),MONTH($Y47)=MONTH(306))</formula>
    </cfRule>
    <cfRule type="expression" priority="42" dxfId="79">
      <formula>AND(YEAR($Y47)=YEAR(TODAY()),MONTH($Y47)=MONTH(275))</formula>
    </cfRule>
    <cfRule type="expression" priority="43" dxfId="78">
      <formula>AND(YEAR($Y47)=YEAR(TODAY()),MONTH($Y47)=MONTH(245))</formula>
    </cfRule>
    <cfRule type="expression" priority="44" dxfId="77">
      <formula>AND(YEAR($Y47)=YEAR(TODAY()),MONTH($Y47)=MONTH(214))</formula>
    </cfRule>
    <cfRule type="expression" priority="45" dxfId="76">
      <formula>AND(YEAR($Y47)=YEAR(TODAY()),MONTH($Y47)=MONTH(183))</formula>
    </cfRule>
    <cfRule type="expression" priority="46" dxfId="75">
      <formula>AND(YEAR($Y47)=YEAR(TODAY()),MONTH($Y47)=MONTH(153))</formula>
    </cfRule>
    <cfRule type="expression" priority="47" dxfId="74">
      <formula>AND(YEAR($Y47)=YEAR(TODAY()),MONTH($Y47)=MONTH(152))</formula>
    </cfRule>
    <cfRule type="expression" priority="48" dxfId="73">
      <formula>AND(YEAR($Y47)=YEAR(TODAY()),MONTH($Y47)=MONTH(121))</formula>
    </cfRule>
    <cfRule type="expression" priority="49" dxfId="72">
      <formula>AND(YEAR($Y47)=YEAR(TODAY()),MONTH($Y47)=MONTH(91))</formula>
    </cfRule>
    <cfRule type="expression" priority="50" dxfId="71">
      <formula>AND(YEAR($Y47)=YEAR(TODAY()),MONTH($Y47)=MONTH(60))</formula>
    </cfRule>
    <cfRule type="expression" priority="51" dxfId="70">
      <formula>AND(YEAR($Y47)=YEAR(TODAY()),MONTH($Y47)=MONTH(31))</formula>
    </cfRule>
  </conditionalFormatting>
  <conditionalFormatting sqref="B48">
    <cfRule type="expression" priority="39" dxfId="82">
      <formula>OR($M48="Annulé",$M48="Rejeté")</formula>
    </cfRule>
    <cfRule type="expression" priority="27" dxfId="81">
      <formula>AND(YEAR($Y48)=YEAR(TODAY()),MONTH($Y48)=MONTH(336))</formula>
    </cfRule>
    <cfRule type="expression" priority="28" dxfId="80">
      <formula>AND(YEAR($Y48)=YEAR(TODAY()),MONTH($Y48)=MONTH(306))</formula>
    </cfRule>
    <cfRule type="expression" priority="29" dxfId="79">
      <formula>AND(YEAR($Y48)=YEAR(TODAY()),MONTH($Y48)=MONTH(275))</formula>
    </cfRule>
    <cfRule type="expression" priority="30" dxfId="78">
      <formula>AND(YEAR($Y48)=YEAR(TODAY()),MONTH($Y48)=MONTH(245))</formula>
    </cfRule>
    <cfRule type="expression" priority="31" dxfId="77">
      <formula>AND(YEAR($Y48)=YEAR(TODAY()),MONTH($Y48)=MONTH(214))</formula>
    </cfRule>
    <cfRule type="expression" priority="32" dxfId="76">
      <formula>AND(YEAR($Y48)=YEAR(TODAY()),MONTH($Y48)=MONTH(183))</formula>
    </cfRule>
    <cfRule type="expression" priority="33" dxfId="75">
      <formula>AND(YEAR($Y48)=YEAR(TODAY()),MONTH($Y48)=MONTH(153))</formula>
    </cfRule>
    <cfRule type="expression" priority="34" dxfId="74">
      <formula>AND(YEAR($Y48)=YEAR(TODAY()),MONTH($Y48)=MONTH(152))</formula>
    </cfRule>
    <cfRule type="expression" priority="35" dxfId="73">
      <formula>AND(YEAR($Y48)=YEAR(TODAY()),MONTH($Y48)=MONTH(121))</formula>
    </cfRule>
    <cfRule type="expression" priority="36" dxfId="72">
      <formula>AND(YEAR($Y48)=YEAR(TODAY()),MONTH($Y48)=MONTH(91))</formula>
    </cfRule>
    <cfRule type="expression" priority="37" dxfId="71">
      <formula>AND(YEAR($Y48)=YEAR(TODAY()),MONTH($Y48)=MONTH(60))</formula>
    </cfRule>
    <cfRule type="expression" priority="38" dxfId="70">
      <formula>AND(YEAR($Y48)=YEAR(TODAY()),MONTH($Y48)=MONTH(31))</formula>
    </cfRule>
  </conditionalFormatting>
  <conditionalFormatting sqref="C86:C95">
    <cfRule type="expression" priority="13" dxfId="82">
      <formula>OR($M86="Annulé",$M86="Rejeté")</formula>
    </cfRule>
    <cfRule type="expression" priority="1" dxfId="81">
      <formula>AND(YEAR($Y86)=YEAR(TODAY()),MONTH($Y86)=MONTH(336))</formula>
    </cfRule>
    <cfRule type="expression" priority="2" dxfId="80">
      <formula>AND(YEAR($Y86)=YEAR(TODAY()),MONTH($Y86)=MONTH(306))</formula>
    </cfRule>
    <cfRule type="expression" priority="3" dxfId="79">
      <formula>AND(YEAR($Y86)=YEAR(TODAY()),MONTH($Y86)=MONTH(275))</formula>
    </cfRule>
    <cfRule type="expression" priority="4" dxfId="78">
      <formula>AND(YEAR($Y86)=YEAR(TODAY()),MONTH($Y86)=MONTH(245))</formula>
    </cfRule>
    <cfRule type="expression" priority="5" dxfId="77">
      <formula>AND(YEAR($Y86)=YEAR(TODAY()),MONTH($Y86)=MONTH(214))</formula>
    </cfRule>
    <cfRule type="expression" priority="6" dxfId="76">
      <formula>AND(YEAR($Y86)=YEAR(TODAY()),MONTH($Y86)=MONTH(183))</formula>
    </cfRule>
    <cfRule type="expression" priority="7" dxfId="75">
      <formula>AND(YEAR($Y86)=YEAR(TODAY()),MONTH($Y86)=MONTH(153))</formula>
    </cfRule>
    <cfRule type="expression" priority="8" dxfId="74">
      <formula>AND(YEAR($Y86)=YEAR(TODAY()),MONTH($Y86)=MONTH(152))</formula>
    </cfRule>
    <cfRule type="expression" priority="9" dxfId="73">
      <formula>AND(YEAR($Y86)=YEAR(TODAY()),MONTH($Y86)=MONTH(121))</formula>
    </cfRule>
    <cfRule type="expression" priority="10" dxfId="72">
      <formula>AND(YEAR($Y86)=YEAR(TODAY()),MONTH($Y86)=MONTH(91))</formula>
    </cfRule>
    <cfRule type="expression" priority="11" dxfId="71">
      <formula>AND(YEAR($Y86)=YEAR(TODAY()),MONTH($Y86)=MONTH(60))</formula>
    </cfRule>
    <cfRule type="expression" priority="12" dxfId="70">
      <formula>AND(YEAR($Y86)=YEAR(TODAY()),MONTH($Y86)=MONTH(31))</formula>
    </cfRule>
  </conditionalFormatting>
  <pageMargins left="0.7" right="0.7" top="0.787401575" bottom="0.787401575" header="0.3" footer="0.3"/>
  <pageSetup orientation="portrait" paperSize="9"/>
  <legacyDrawing r:id="anysvml"/>
</worksheet>
</file>

<file path=xl/worksheets/sheet15.xml><?xml version="1.0" encoding="utf-8"?>
<worksheet xmlns:r="http://schemas.openxmlformats.org/officeDocument/2006/relationships" xmlns="http://schemas.openxmlformats.org/spreadsheetml/2006/main">
  <sheetPr codeName="Sheet13">
    <outlinePr summaryBelow="1" summaryRight="1"/>
    <pageSetUpPr/>
  </sheetPr>
  <dimension ref="A1:AL16"/>
  <sheetViews>
    <sheetView workbookViewId="0">
      <selection activeCell="C15" sqref="C15"/>
    </sheetView>
  </sheetViews>
  <sheetFormatPr baseColWidth="10" defaultColWidth="11.44140625" defaultRowHeight="14.4"/>
  <cols>
    <col width="11.44140625" customWidth="1" style="701" min="5" max="5"/>
  </cols>
  <sheetData>
    <row r="1">
      <c r="A1" s="140" t="inlineStr">
        <is>
          <t>ENTITY</t>
        </is>
      </c>
      <c r="B1" s="140" t="inlineStr">
        <is>
          <t>CURR</t>
        </is>
      </c>
      <c r="C1" s="140" t="inlineStr">
        <is>
          <t>DIMENSION</t>
        </is>
      </c>
      <c r="D1" s="140" t="inlineStr">
        <is>
          <t>DIMENSION 2</t>
        </is>
      </c>
      <c r="E1" s="140" t="inlineStr">
        <is>
          <t>IC</t>
        </is>
      </c>
      <c r="F1" s="140" t="inlineStr">
        <is>
          <t>YEAR</t>
        </is>
      </c>
      <c r="G1" t="inlineStr">
        <is>
          <t>PG</t>
        </is>
      </c>
      <c r="H1" s="137" t="inlineStr">
        <is>
          <t>1</t>
        </is>
      </c>
      <c r="I1" s="137" t="inlineStr">
        <is>
          <t>2</t>
        </is>
      </c>
      <c r="J1" s="137" t="inlineStr">
        <is>
          <t>3</t>
        </is>
      </c>
      <c r="K1" s="137" t="inlineStr">
        <is>
          <t>4</t>
        </is>
      </c>
      <c r="L1" s="137" t="inlineStr">
        <is>
          <t>5</t>
        </is>
      </c>
      <c r="M1" s="137" t="inlineStr">
        <is>
          <t>6</t>
        </is>
      </c>
      <c r="N1" s="137" t="inlineStr">
        <is>
          <t>7</t>
        </is>
      </c>
      <c r="O1" s="137" t="inlineStr">
        <is>
          <t>8</t>
        </is>
      </c>
      <c r="P1" s="137" t="inlineStr">
        <is>
          <t>9</t>
        </is>
      </c>
      <c r="Q1" s="137" t="inlineStr">
        <is>
          <t>10</t>
        </is>
      </c>
      <c r="R1" s="137" t="inlineStr">
        <is>
          <t>11</t>
        </is>
      </c>
      <c r="S1" s="137" t="inlineStr">
        <is>
          <t>12</t>
        </is>
      </c>
      <c r="T1" s="138" t="inlineStr">
        <is>
          <t>1 YTD</t>
        </is>
      </c>
      <c r="U1" s="138" t="inlineStr">
        <is>
          <t>2 YTD</t>
        </is>
      </c>
      <c r="V1" s="138" t="inlineStr">
        <is>
          <t>3 YTD</t>
        </is>
      </c>
      <c r="W1" s="138" t="inlineStr">
        <is>
          <t>4 YTD</t>
        </is>
      </c>
      <c r="X1" s="138" t="inlineStr">
        <is>
          <t>5 YTD</t>
        </is>
      </c>
      <c r="Y1" s="138" t="inlineStr">
        <is>
          <t>6 YTD</t>
        </is>
      </c>
      <c r="Z1" s="138" t="inlineStr">
        <is>
          <t>7 YTD</t>
        </is>
      </c>
      <c r="AA1" s="138" t="inlineStr">
        <is>
          <t>8 YTD</t>
        </is>
      </c>
      <c r="AB1" s="138" t="inlineStr">
        <is>
          <t>9 YTD</t>
        </is>
      </c>
      <c r="AC1" s="138" t="inlineStr">
        <is>
          <t>10 YTD</t>
        </is>
      </c>
      <c r="AD1" s="138" t="inlineStr">
        <is>
          <t>11 YTD</t>
        </is>
      </c>
      <c r="AE1" s="138" t="inlineStr">
        <is>
          <t>12 YTD</t>
        </is>
      </c>
      <c r="AF1" s="138" t="inlineStr">
        <is>
          <t>Q1</t>
        </is>
      </c>
      <c r="AG1" s="138" t="inlineStr">
        <is>
          <t>Q2</t>
        </is>
      </c>
      <c r="AH1" s="138" t="inlineStr">
        <is>
          <t>Q3</t>
        </is>
      </c>
      <c r="AI1" s="138" t="inlineStr">
        <is>
          <t>Q4</t>
        </is>
      </c>
      <c r="AJ1" s="138" t="inlineStr">
        <is>
          <t>S1</t>
        </is>
      </c>
      <c r="AK1" s="139" t="inlineStr">
        <is>
          <t>S2</t>
        </is>
      </c>
      <c r="AL1" s="218" t="inlineStr">
        <is>
          <t>VKGRP</t>
        </is>
      </c>
    </row>
    <row r="2">
      <c r="A2" t="inlineStr">
        <is>
          <t>HYFR</t>
        </is>
      </c>
      <c r="B2" t="inlineStr">
        <is>
          <t>EUR</t>
        </is>
      </c>
      <c r="C2" t="inlineStr">
        <is>
          <t>ACT</t>
        </is>
      </c>
      <c r="D2" t="inlineStr">
        <is>
          <t>OI</t>
        </is>
      </c>
      <c r="F2" t="n">
        <v>2020</v>
      </c>
      <c r="G2" t="inlineStr">
        <is>
          <t>P034</t>
        </is>
      </c>
      <c r="H2" s="143">
        <f>SUMIFS(Data!$S:$S,Data!$Q:$Q,"&gt;="&amp;DATE(OI[[#This Row],[YEAR]],H$1,1),Data!$Q:$Q,"&lt;="&amp;EOMONTH(DATE(OI[[#This Row],[YEAR]],H$1,1),0),Data!$G:$G,"&lt;&gt;"&amp;"*HYDRO*")</f>
        <v/>
      </c>
      <c r="I2" s="143">
        <f>SUMIFS(Data!$S:$S,Data!$Q:$Q,"&gt;="&amp;DATE(OI[[#This Row],[YEAR]],I$1,1),Data!$Q:$Q,"&lt;="&amp;EOMONTH(DATE(OI[[#This Row],[YEAR]],I$1,1),0),Data!$G:$G,"&lt;&gt;"&amp;"*HYDRO*")</f>
        <v/>
      </c>
      <c r="J2" s="143">
        <f>SUMIFS(Data!$S:$S,Data!$Q:$Q,"&gt;="&amp;DATE(OI[[#This Row],[YEAR]],J$1,1),Data!$Q:$Q,"&lt;="&amp;EOMONTH(DATE(OI[[#This Row],[YEAR]],J$1,1),0),Data!$G:$G,"&lt;&gt;"&amp;"*HYDRO*")</f>
        <v/>
      </c>
      <c r="K2" s="143">
        <f>SUMIFS(Data!$S:$S,Data!$Q:$Q,"&gt;="&amp;DATE(OI[[#This Row],[YEAR]],K$1,1),Data!$Q:$Q,"&lt;="&amp;EOMONTH(DATE(OI[[#This Row],[YEAR]],K$1,1),0),Data!$G:$G,"&lt;&gt;"&amp;"*HYDRO*")</f>
        <v/>
      </c>
      <c r="L2" s="143">
        <f>SUMIFS(Data!$S:$S,Data!$Q:$Q,"&gt;="&amp;DATE(OI[[#This Row],[YEAR]],L$1,1),Data!$Q:$Q,"&lt;="&amp;EOMONTH(DATE(OI[[#This Row],[YEAR]],L$1,1),0),Data!$G:$G,"&lt;&gt;"&amp;"*HYDRO*")</f>
        <v/>
      </c>
      <c r="M2" s="143">
        <f>SUMIFS(Data!$S:$S,Data!$Q:$Q,"&gt;="&amp;DATE(OI[[#This Row],[YEAR]],M$1,1),Data!$Q:$Q,"&lt;="&amp;EOMONTH(DATE(OI[[#This Row],[YEAR]],M$1,1),0),Data!$G:$G,"&lt;&gt;"&amp;"*HYDRO*")</f>
        <v/>
      </c>
      <c r="N2" s="143">
        <f>SUMIFS(Data!$S:$S,Data!$Q:$Q,"&gt;="&amp;DATE(OI[[#This Row],[YEAR]],N$1,1),Data!$Q:$Q,"&lt;="&amp;EOMONTH(DATE(OI[[#This Row],[YEAR]],N$1,1),0),Data!$G:$G,"&lt;&gt;"&amp;"*HYDRO*")</f>
        <v/>
      </c>
      <c r="O2" s="143">
        <f>SUMIFS(Data!$S:$S,Data!$Q:$Q,"&gt;="&amp;DATE(OI[[#This Row],[YEAR]],O$1,1),Data!$Q:$Q,"&lt;="&amp;EOMONTH(DATE(OI[[#This Row],[YEAR]],O$1,1),0),Data!$G:$G,"&lt;&gt;"&amp;"*HYDRO*")</f>
        <v/>
      </c>
      <c r="P2" s="143">
        <f>SUMIFS(Data!$S:$S,Data!$Q:$Q,"&gt;="&amp;DATE(OI[[#This Row],[YEAR]],P$1,1),Data!$Q:$Q,"&lt;="&amp;EOMONTH(DATE(OI[[#This Row],[YEAR]],P$1,1),0),Data!$G:$G,"&lt;&gt;"&amp;"*HYDRO*")</f>
        <v/>
      </c>
      <c r="Q2" s="143">
        <f>SUMIFS(Data!$S:$S,Data!$Q:$Q,"&gt;="&amp;DATE(OI[[#This Row],[YEAR]],Q$1,1),Data!$Q:$Q,"&lt;="&amp;EOMONTH(DATE(OI[[#This Row],[YEAR]],Q$1,1),0),Data!$G:$G,"&lt;&gt;"&amp;"*HYDRO*")</f>
        <v/>
      </c>
      <c r="R2" s="143">
        <f>SUMIFS(Data!$S:$S,Data!$Q:$Q,"&gt;="&amp;DATE(OI[[#This Row],[YEAR]],R$1,1),Data!$Q:$Q,"&lt;="&amp;EOMONTH(DATE(OI[[#This Row],[YEAR]],R$1,1),0),Data!$G:$G,"&lt;&gt;"&amp;"*HYDRO*")</f>
        <v/>
      </c>
      <c r="S2" s="143">
        <f>SUMIFS(Data!$S:$S,Data!$Q:$Q,"&gt;="&amp;DATE(OI[[#This Row],[YEAR]],S$1,1),Data!$Q:$Q,"&lt;="&amp;EOMONTH(DATE(OI[[#This Row],[YEAR]],S$1,1),0),Data!$G:$G,"&lt;&gt;"&amp;"*HYDRO*")</f>
        <v/>
      </c>
      <c r="T2" s="141">
        <f>SUM(OI[[#This Row],[1]])</f>
        <v/>
      </c>
      <c r="U2" s="141">
        <f>SUM(OI[[#This Row],[1]],OI[[#This Row],[2]])</f>
        <v/>
      </c>
      <c r="V2" s="141">
        <f>SUM(OI[[#This Row],[1]],OI[[#This Row],[2]],OI[[#This Row],[3]])</f>
        <v/>
      </c>
      <c r="W2" s="141">
        <f>SUM(OI[[#This Row],[1]],OI[[#This Row],[2]],OI[[#This Row],[3]],OI[[#This Row],[4]])</f>
        <v/>
      </c>
      <c r="X2" s="141">
        <f>SUM(OI[[#This Row],[1]],OI[[#This Row],[2]],OI[[#This Row],[3]],OI[[#This Row],[4]],OI[[#This Row],[5]])</f>
        <v/>
      </c>
      <c r="Y2" s="141">
        <f>SUM(OI[[#This Row],[1]],OI[[#This Row],[2]],OI[[#This Row],[3]],OI[[#This Row],[4]],OI[[#This Row],[5]],OI[[#This Row],[6]])</f>
        <v/>
      </c>
      <c r="Z2" s="141">
        <f>SUM(OI[[#This Row],[1]],OI[[#This Row],[2]],OI[[#This Row],[3]],OI[[#This Row],[4]],OI[[#This Row],[5]],OI[[#This Row],[6]],OI[[#This Row],[7]])</f>
        <v/>
      </c>
      <c r="AA2" s="141">
        <f>SUM(OI[[#This Row],[1]],OI[[#This Row],[2]],OI[[#This Row],[3]],OI[[#This Row],[4]],OI[[#This Row],[5]],OI[[#This Row],[6]],OI[[#This Row],[7]],OI[[#This Row],[8]])</f>
        <v/>
      </c>
      <c r="AB2" s="141">
        <f>SUM(OI[[#This Row],[1]],OI[[#This Row],[2]],OI[[#This Row],[3]],OI[[#This Row],[4]],OI[[#This Row],[5]],OI[[#This Row],[6]],OI[[#This Row],[7]],OI[[#This Row],[8]],OI[[#This Row],[9]])</f>
        <v/>
      </c>
      <c r="AC2" s="141">
        <f>SUM(OI[[#This Row],[1]],OI[[#This Row],[2]],OI[[#This Row],[3]],OI[[#This Row],[4]],OI[[#This Row],[5]],OI[[#This Row],[6]],OI[[#This Row],[7]],OI[[#This Row],[8]],OI[[#This Row],[9]],OI[[#This Row],[10]])</f>
        <v/>
      </c>
      <c r="AD2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2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2" s="141">
        <f>SUM(OI[[#This Row],[1]],OI[[#This Row],[2]],OI[[#This Row],[3]])</f>
        <v/>
      </c>
      <c r="AG2" s="141">
        <f>SUM(OI[[#This Row],[4]],OI[[#This Row],[5]],OI[[#This Row],[6]])</f>
        <v/>
      </c>
      <c r="AH2" s="141">
        <f>SUM(OI[[#This Row],[7]],OI[[#This Row],[8]],OI[[#This Row],[9]])</f>
        <v/>
      </c>
      <c r="AI2" s="141">
        <f>SUM(OI[[#This Row],[10]],OI[[#This Row],[11]],OI[[#This Row],[12]])</f>
        <v/>
      </c>
      <c r="AJ2" s="141">
        <f>SUM(OI[[#This Row],[1]],OI[[#This Row],[2]],OI[[#This Row],[3]],OI[[#This Row],[4]],OI[[#This Row],[5]],OI[[#This Row],[6]])</f>
        <v/>
      </c>
      <c r="AK2" s="142">
        <f>SUM(OI[[#This Row],[7]],OI[[#This Row],[8]],OI[[#This Row],[9]],OI[[#This Row],[10]],OI[[#This Row],[11]],OI[[#This Row],[12]])</f>
        <v/>
      </c>
      <c r="AL2" s="217">
        <f>"HYFR"</f>
        <v/>
      </c>
    </row>
    <row r="3">
      <c r="A3" t="inlineStr">
        <is>
          <t>HYFR</t>
        </is>
      </c>
      <c r="B3" t="inlineStr">
        <is>
          <t>EUR</t>
        </is>
      </c>
      <c r="C3" t="inlineStr">
        <is>
          <t>ACT</t>
        </is>
      </c>
      <c r="D3" t="inlineStr">
        <is>
          <t>OI</t>
        </is>
      </c>
      <c r="E3" t="n">
        <v>1</v>
      </c>
      <c r="F3" t="n">
        <v>2020</v>
      </c>
      <c r="G3" t="inlineStr">
        <is>
          <t>P034</t>
        </is>
      </c>
      <c r="H3" s="143">
        <f>SUMIFS(Data!$S:$S,Data!$Q:$Q,"&gt;="&amp;DATE(OI[[#This Row],[YEAR]],H$1,1),Data!$Q:$Q,"&lt;="&amp;EOMONTH(DATE(OI[[#This Row],[YEAR]],H$1,1),0),Data!$G:$G,"*HYDRO*")</f>
        <v/>
      </c>
      <c r="I3" s="143">
        <f>SUMIFS(Data!$S:$S,Data!$Q:$Q,"&gt;="&amp;DATE(OI[[#This Row],[YEAR]],I$1,1),Data!$Q:$Q,"&lt;="&amp;EOMONTH(DATE(OI[[#This Row],[YEAR]],I$1,1),0),Data!$G:$G,"*HYDRO*")</f>
        <v/>
      </c>
      <c r="J3" s="143">
        <f>SUMIFS(Data!$S:$S,Data!$Q:$Q,"&gt;="&amp;DATE(OI[[#This Row],[YEAR]],J$1,1),Data!$Q:$Q,"&lt;="&amp;EOMONTH(DATE(OI[[#This Row],[YEAR]],J$1,1),0),Data!$G:$G,"*HYDRO*")</f>
        <v/>
      </c>
      <c r="K3" s="143">
        <f>SUMIFS(Data!$S:$S,Data!$Q:$Q,"&gt;="&amp;DATE(OI[[#This Row],[YEAR]],K$1,1),Data!$Q:$Q,"&lt;="&amp;EOMONTH(DATE(OI[[#This Row],[YEAR]],K$1,1),0),Data!$G:$G,"*HYDRO*")</f>
        <v/>
      </c>
      <c r="L3" s="143">
        <f>SUMIFS(Data!$S:$S,Data!$Q:$Q,"&gt;="&amp;DATE(OI[[#This Row],[YEAR]],L$1,1),Data!$Q:$Q,"&lt;="&amp;EOMONTH(DATE(OI[[#This Row],[YEAR]],L$1,1),0),Data!$G:$G,"*HYDRO*")</f>
        <v/>
      </c>
      <c r="M3" s="143">
        <f>SUMIFS(Data!$S:$S,Data!$Q:$Q,"&gt;="&amp;DATE(OI[[#This Row],[YEAR]],M$1,1),Data!$Q:$Q,"&lt;="&amp;EOMONTH(DATE(OI[[#This Row],[YEAR]],M$1,1),0),Data!$G:$G,"*HYDRO*")</f>
        <v/>
      </c>
      <c r="N3" s="143">
        <f>SUMIFS(Data!$S:$S,Data!$Q:$Q,"&gt;="&amp;DATE(OI[[#This Row],[YEAR]],N$1,1),Data!$Q:$Q,"&lt;="&amp;EOMONTH(DATE(OI[[#This Row],[YEAR]],N$1,1),0),Data!$G:$G,"*HYDRO*")</f>
        <v/>
      </c>
      <c r="O3" s="143">
        <f>SUMIFS(Data!$S:$S,Data!$Q:$Q,"&gt;="&amp;DATE(OI[[#This Row],[YEAR]],O$1,1),Data!$Q:$Q,"&lt;="&amp;EOMONTH(DATE(OI[[#This Row],[YEAR]],O$1,1),0),Data!$G:$G,"*HYDRO*")</f>
        <v/>
      </c>
      <c r="P3" s="143">
        <f>SUMIFS(Data!$S:$S,Data!$Q:$Q,"&gt;="&amp;DATE(OI[[#This Row],[YEAR]],P$1,1),Data!$Q:$Q,"&lt;="&amp;EOMONTH(DATE(OI[[#This Row],[YEAR]],P$1,1),0),Data!$G:$G,"*HYDRO*")</f>
        <v/>
      </c>
      <c r="Q3" s="143">
        <f>SUMIFS(Data!$S:$S,Data!$Q:$Q,"&gt;="&amp;DATE(OI[[#This Row],[YEAR]],Q$1,1),Data!$Q:$Q,"&lt;="&amp;EOMONTH(DATE(OI[[#This Row],[YEAR]],Q$1,1),0),Data!$G:$G,"*HYDRO*")</f>
        <v/>
      </c>
      <c r="R3" s="143">
        <f>SUMIFS(Data!$S:$S,Data!$Q:$Q,"&gt;="&amp;DATE(OI[[#This Row],[YEAR]],R$1,1),Data!$Q:$Q,"&lt;="&amp;EOMONTH(DATE(OI[[#This Row],[YEAR]],R$1,1),0),Data!$G:$G,"*HYDRO*")</f>
        <v/>
      </c>
      <c r="S3" s="143">
        <f>SUMIFS(Data!$S:$S,Data!$Q:$Q,"&gt;="&amp;DATE(OI[[#This Row],[YEAR]],S$1,1),Data!$Q:$Q,"&lt;="&amp;EOMONTH(DATE(OI[[#This Row],[YEAR]],S$1,1),0),Data!$G:$G,"*HYDRO*")</f>
        <v/>
      </c>
      <c r="T3" s="144">
        <f>SUM(OI[[#This Row],[1]])</f>
        <v/>
      </c>
      <c r="U3" s="144">
        <f>SUM(OI[[#This Row],[1]],OI[[#This Row],[2]])</f>
        <v/>
      </c>
      <c r="V3" s="144">
        <f>SUM(OI[[#This Row],[1]],OI[[#This Row],[2]],OI[[#This Row],[3]])</f>
        <v/>
      </c>
      <c r="W3" s="144">
        <f>SUM(OI[[#This Row],[1]],OI[[#This Row],[2]],OI[[#This Row],[3]],OI[[#This Row],[4]])</f>
        <v/>
      </c>
      <c r="X3" s="144">
        <f>SUM(OI[[#This Row],[1]],OI[[#This Row],[2]],OI[[#This Row],[3]],OI[[#This Row],[4]],OI[[#This Row],[5]])</f>
        <v/>
      </c>
      <c r="Y3" s="144">
        <f>SUM(OI[[#This Row],[1]],OI[[#This Row],[2]],OI[[#This Row],[3]],OI[[#This Row],[4]],OI[[#This Row],[5]],OI[[#This Row],[6]])</f>
        <v/>
      </c>
      <c r="Z3" s="144">
        <f>SUM(OI[[#This Row],[1]],OI[[#This Row],[2]],OI[[#This Row],[3]],OI[[#This Row],[4]],OI[[#This Row],[5]],OI[[#This Row],[6]],OI[[#This Row],[7]])</f>
        <v/>
      </c>
      <c r="AA3" s="144">
        <f>SUM(OI[[#This Row],[1]],OI[[#This Row],[2]],OI[[#This Row],[3]],OI[[#This Row],[4]],OI[[#This Row],[5]],OI[[#This Row],[6]],OI[[#This Row],[7]],OI[[#This Row],[8]])</f>
        <v/>
      </c>
      <c r="AB3" s="144">
        <f>SUM(OI[[#This Row],[1]],OI[[#This Row],[2]],OI[[#This Row],[3]],OI[[#This Row],[4]],OI[[#This Row],[5]],OI[[#This Row],[6]],OI[[#This Row],[7]],OI[[#This Row],[8]],OI[[#This Row],[9]])</f>
        <v/>
      </c>
      <c r="AC3" s="144">
        <f>SUM(OI[[#This Row],[1]],OI[[#This Row],[2]],OI[[#This Row],[3]],OI[[#This Row],[4]],OI[[#This Row],[5]],OI[[#This Row],[6]],OI[[#This Row],[7]],OI[[#This Row],[8]],OI[[#This Row],[9]],OI[[#This Row],[10]])</f>
        <v/>
      </c>
      <c r="AD3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3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3" s="144">
        <f>SUM(OI[[#This Row],[1]],OI[[#This Row],[2]],OI[[#This Row],[3]])</f>
        <v/>
      </c>
      <c r="AG3" s="144">
        <f>SUM(OI[[#This Row],[4]],OI[[#This Row],[5]],OI[[#This Row],[6]])</f>
        <v/>
      </c>
      <c r="AH3" s="144">
        <f>SUM(OI[[#This Row],[7]],OI[[#This Row],[8]],OI[[#This Row],[9]])</f>
        <v/>
      </c>
      <c r="AI3" s="144">
        <f>SUM(OI[[#This Row],[10]],OI[[#This Row],[11]],OI[[#This Row],[12]])</f>
        <v/>
      </c>
      <c r="AJ3" s="144">
        <f>SUM(OI[[#This Row],[1]],OI[[#This Row],[2]],OI[[#This Row],[3]],OI[[#This Row],[4]],OI[[#This Row],[5]],OI[[#This Row],[6]])</f>
        <v/>
      </c>
      <c r="AK3" s="145">
        <f>SUM(OI[[#This Row],[7]],OI[[#This Row],[8]],OI[[#This Row],[9]],OI[[#This Row],[10]],OI[[#This Row],[11]],OI[[#This Row],[12]])</f>
        <v/>
      </c>
      <c r="AL3" s="141">
        <f>"HYFR"</f>
        <v/>
      </c>
    </row>
    <row r="4">
      <c r="A4" t="inlineStr">
        <is>
          <t>HYFR</t>
        </is>
      </c>
      <c r="B4" t="inlineStr">
        <is>
          <t>EUR</t>
        </is>
      </c>
      <c r="C4" t="inlineStr">
        <is>
          <t>ACT</t>
        </is>
      </c>
      <c r="D4" t="inlineStr">
        <is>
          <t>OI</t>
        </is>
      </c>
      <c r="F4" t="n">
        <v>2020</v>
      </c>
      <c r="G4" t="inlineStr">
        <is>
          <t>P014</t>
        </is>
      </c>
      <c r="H4" s="143">
        <f>AIA!C4</f>
        <v/>
      </c>
      <c r="I4" s="143">
        <f>AIA!D4</f>
        <v/>
      </c>
      <c r="J4" s="143">
        <f>AIA!E4</f>
        <v/>
      </c>
      <c r="K4" s="143">
        <f>AIA!F4</f>
        <v/>
      </c>
      <c r="L4" s="143">
        <f>AIA!G4</f>
        <v/>
      </c>
      <c r="M4" s="143">
        <f>AIA!H4</f>
        <v/>
      </c>
      <c r="N4" s="143">
        <f>AIA!I4</f>
        <v/>
      </c>
      <c r="O4" s="143">
        <f>AIA!J4</f>
        <v/>
      </c>
      <c r="P4" s="143">
        <f>AIA!K4</f>
        <v/>
      </c>
      <c r="Q4" s="143">
        <f>AIA!L4</f>
        <v/>
      </c>
      <c r="R4" s="143">
        <f>AIA!M4</f>
        <v/>
      </c>
      <c r="S4" s="143">
        <f>AIA!N4</f>
        <v/>
      </c>
      <c r="T4" s="144">
        <f>SUM(OI[[#This Row],[1]])</f>
        <v/>
      </c>
      <c r="U4" s="144">
        <f>SUM(OI[[#This Row],[1]],OI[[#This Row],[2]])</f>
        <v/>
      </c>
      <c r="V4" s="144">
        <f>SUM(OI[[#This Row],[1]],OI[[#This Row],[2]],OI[[#This Row],[3]])</f>
        <v/>
      </c>
      <c r="W4" s="144">
        <f>SUM(OI[[#This Row],[1]],OI[[#This Row],[2]],OI[[#This Row],[3]],OI[[#This Row],[4]])</f>
        <v/>
      </c>
      <c r="X4" s="144">
        <f>SUM(OI[[#This Row],[1]],OI[[#This Row],[2]],OI[[#This Row],[3]],OI[[#This Row],[4]],OI[[#This Row],[5]])</f>
        <v/>
      </c>
      <c r="Y4" s="144">
        <f>SUM(OI[[#This Row],[1]],OI[[#This Row],[2]],OI[[#This Row],[3]],OI[[#This Row],[4]],OI[[#This Row],[5]],OI[[#This Row],[6]])</f>
        <v/>
      </c>
      <c r="Z4" s="144">
        <f>SUM(OI[[#This Row],[1]],OI[[#This Row],[2]],OI[[#This Row],[3]],OI[[#This Row],[4]],OI[[#This Row],[5]],OI[[#This Row],[6]],OI[[#This Row],[7]])</f>
        <v/>
      </c>
      <c r="AA4" s="144">
        <f>SUM(OI[[#This Row],[1]],OI[[#This Row],[2]],OI[[#This Row],[3]],OI[[#This Row],[4]],OI[[#This Row],[5]],OI[[#This Row],[6]],OI[[#This Row],[7]],OI[[#This Row],[8]])</f>
        <v/>
      </c>
      <c r="AB4" s="144">
        <f>SUM(OI[[#This Row],[1]],OI[[#This Row],[2]],OI[[#This Row],[3]],OI[[#This Row],[4]],OI[[#This Row],[5]],OI[[#This Row],[6]],OI[[#This Row],[7]],OI[[#This Row],[8]],OI[[#This Row],[9]])</f>
        <v/>
      </c>
      <c r="AC4" s="144">
        <f>SUM(OI[[#This Row],[1]],OI[[#This Row],[2]],OI[[#This Row],[3]],OI[[#This Row],[4]],OI[[#This Row],[5]],OI[[#This Row],[6]],OI[[#This Row],[7]],OI[[#This Row],[8]],OI[[#This Row],[9]],OI[[#This Row],[10]])</f>
        <v/>
      </c>
      <c r="AD4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4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4" s="144">
        <f>SUM(OI[[#This Row],[1]],OI[[#This Row],[2]],OI[[#This Row],[3]])</f>
        <v/>
      </c>
      <c r="AG4" s="144">
        <f>SUM(OI[[#This Row],[4]],OI[[#This Row],[5]],OI[[#This Row],[6]])</f>
        <v/>
      </c>
      <c r="AH4" s="144">
        <f>SUM(OI[[#This Row],[7]],OI[[#This Row],[8]],OI[[#This Row],[9]])</f>
        <v/>
      </c>
      <c r="AI4" s="144">
        <f>SUM(OI[[#This Row],[10]],OI[[#This Row],[11]],OI[[#This Row],[12]])</f>
        <v/>
      </c>
      <c r="AJ4" s="144">
        <f>SUM(OI[[#This Row],[1]],OI[[#This Row],[2]],OI[[#This Row],[3]],OI[[#This Row],[4]],OI[[#This Row],[5]],OI[[#This Row],[6]])</f>
        <v/>
      </c>
      <c r="AK4" s="145">
        <f>SUM(OI[[#This Row],[7]],OI[[#This Row],[8]],OI[[#This Row],[9]],OI[[#This Row],[10]],OI[[#This Row],[11]],OI[[#This Row],[12]])</f>
        <v/>
      </c>
      <c r="AL4" s="141">
        <f>"HYFR"</f>
        <v/>
      </c>
    </row>
    <row r="5">
      <c r="A5" t="inlineStr">
        <is>
          <t>HYFR</t>
        </is>
      </c>
      <c r="B5" t="inlineStr">
        <is>
          <t>EUR</t>
        </is>
      </c>
      <c r="C5" t="inlineStr">
        <is>
          <t>ACT</t>
        </is>
      </c>
      <c r="D5" t="inlineStr">
        <is>
          <t>OI</t>
        </is>
      </c>
      <c r="F5" t="n">
        <v>2020</v>
      </c>
      <c r="G5" t="inlineStr">
        <is>
          <t>P001</t>
        </is>
      </c>
      <c r="H5" s="143">
        <f>AIA!C5</f>
        <v/>
      </c>
      <c r="I5" s="143">
        <f>AIA!D5</f>
        <v/>
      </c>
      <c r="J5" s="143">
        <f>AIA!E5</f>
        <v/>
      </c>
      <c r="K5" s="143">
        <f>AIA!F5</f>
        <v/>
      </c>
      <c r="L5" s="143">
        <f>AIA!G5</f>
        <v/>
      </c>
      <c r="M5" s="143">
        <f>AIA!H5</f>
        <v/>
      </c>
      <c r="N5" s="143">
        <f>AIA!I5</f>
        <v/>
      </c>
      <c r="O5" s="143">
        <f>AIA!J5</f>
        <v/>
      </c>
      <c r="P5" s="143">
        <f>AIA!K5</f>
        <v/>
      </c>
      <c r="Q5" s="143">
        <f>AIA!L5</f>
        <v/>
      </c>
      <c r="R5" s="143">
        <f>AIA!M5</f>
        <v/>
      </c>
      <c r="S5" s="143">
        <f>AIA!N5</f>
        <v/>
      </c>
      <c r="T5" s="144">
        <f>SUM(OI[[#This Row],[1]])</f>
        <v/>
      </c>
      <c r="U5" s="144">
        <f>SUM(OI[[#This Row],[1]],OI[[#This Row],[2]])</f>
        <v/>
      </c>
      <c r="V5" s="144">
        <f>SUM(OI[[#This Row],[1]],OI[[#This Row],[2]],OI[[#This Row],[3]])</f>
        <v/>
      </c>
      <c r="W5" s="144">
        <f>SUM(OI[[#This Row],[1]],OI[[#This Row],[2]],OI[[#This Row],[3]],OI[[#This Row],[4]])</f>
        <v/>
      </c>
      <c r="X5" s="144">
        <f>SUM(OI[[#This Row],[1]],OI[[#This Row],[2]],OI[[#This Row],[3]],OI[[#This Row],[4]],OI[[#This Row],[5]])</f>
        <v/>
      </c>
      <c r="Y5" s="144">
        <f>SUM(OI[[#This Row],[1]],OI[[#This Row],[2]],OI[[#This Row],[3]],OI[[#This Row],[4]],OI[[#This Row],[5]],OI[[#This Row],[6]])</f>
        <v/>
      </c>
      <c r="Z5" s="144">
        <f>SUM(OI[[#This Row],[1]],OI[[#This Row],[2]],OI[[#This Row],[3]],OI[[#This Row],[4]],OI[[#This Row],[5]],OI[[#This Row],[6]],OI[[#This Row],[7]])</f>
        <v/>
      </c>
      <c r="AA5" s="144">
        <f>SUM(OI[[#This Row],[1]],OI[[#This Row],[2]],OI[[#This Row],[3]],OI[[#This Row],[4]],OI[[#This Row],[5]],OI[[#This Row],[6]],OI[[#This Row],[7]],OI[[#This Row],[8]])</f>
        <v/>
      </c>
      <c r="AB5" s="144">
        <f>SUM(OI[[#This Row],[1]],OI[[#This Row],[2]],OI[[#This Row],[3]],OI[[#This Row],[4]],OI[[#This Row],[5]],OI[[#This Row],[6]],OI[[#This Row],[7]],OI[[#This Row],[8]],OI[[#This Row],[9]])</f>
        <v/>
      </c>
      <c r="AC5" s="144">
        <f>SUM(OI[[#This Row],[1]],OI[[#This Row],[2]],OI[[#This Row],[3]],OI[[#This Row],[4]],OI[[#This Row],[5]],OI[[#This Row],[6]],OI[[#This Row],[7]],OI[[#This Row],[8]],OI[[#This Row],[9]],OI[[#This Row],[10]])</f>
        <v/>
      </c>
      <c r="AD5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5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5" s="144">
        <f>SUM(OI[[#This Row],[1]],OI[[#This Row],[2]],OI[[#This Row],[3]])</f>
        <v/>
      </c>
      <c r="AG5" s="144">
        <f>SUM(OI[[#This Row],[4]],OI[[#This Row],[5]],OI[[#This Row],[6]])</f>
        <v/>
      </c>
      <c r="AH5" s="144">
        <f>SUM(OI[[#This Row],[7]],OI[[#This Row],[8]],OI[[#This Row],[9]])</f>
        <v/>
      </c>
      <c r="AI5" s="144">
        <f>SUM(OI[[#This Row],[10]],OI[[#This Row],[11]],OI[[#This Row],[12]])</f>
        <v/>
      </c>
      <c r="AJ5" s="144">
        <f>SUM(OI[[#This Row],[1]],OI[[#This Row],[2]],OI[[#This Row],[3]],OI[[#This Row],[4]],OI[[#This Row],[5]],OI[[#This Row],[6]])</f>
        <v/>
      </c>
      <c r="AK5" s="145">
        <f>SUM(OI[[#This Row],[7]],OI[[#This Row],[8]],OI[[#This Row],[9]],OI[[#This Row],[10]],OI[[#This Row],[11]],OI[[#This Row],[12]])</f>
        <v/>
      </c>
      <c r="AL5" s="141">
        <f>"HYFR"</f>
        <v/>
      </c>
    </row>
    <row r="6">
      <c r="A6" t="inlineStr">
        <is>
          <t>HYFR</t>
        </is>
      </c>
      <c r="B6" t="inlineStr">
        <is>
          <t>EUR</t>
        </is>
      </c>
      <c r="C6" t="inlineStr">
        <is>
          <t>ACT</t>
        </is>
      </c>
      <c r="D6" t="inlineStr">
        <is>
          <t>BrUms</t>
        </is>
      </c>
      <c r="F6" t="n">
        <v>2020</v>
      </c>
      <c r="G6" t="inlineStr">
        <is>
          <t>P034</t>
        </is>
      </c>
      <c r="H6" s="143">
        <f>SUMIFS(Data!$AD:$AD,Data!$AC:$AC,"&gt;="&amp;DATE(OI[[#This Row],[YEAR]],H$1,1),Data!$AC:$AC,"&lt;="&amp;EOMONTH(DATE(OI[[#This Row],[YEAR]],H$1,1),0))</f>
        <v/>
      </c>
      <c r="I6" s="143">
        <f>SUMIFS(Data!$AD:$AD,Data!$AC:$AC,"&gt;="&amp;DATE(OI[[#This Row],[YEAR]],I$1,1),Data!$AC:$AC,"&lt;="&amp;EOMONTH(DATE(OI[[#This Row],[YEAR]],I$1,1),0))</f>
        <v/>
      </c>
      <c r="J6" s="143">
        <f>SUMIFS(Data!$AD:$AD,Data!$AC:$AC,"&gt;="&amp;DATE(OI[[#This Row],[YEAR]],J$1,1),Data!$AC:$AC,"&lt;="&amp;EOMONTH(DATE(OI[[#This Row],[YEAR]],J$1,1),0))</f>
        <v/>
      </c>
      <c r="K6" s="143">
        <f>SUMIFS(Data!$AD:$AD,Data!$AC:$AC,"&gt;="&amp;DATE(OI[[#This Row],[YEAR]],K$1,1),Data!$AC:$AC,"&lt;="&amp;EOMONTH(DATE(OI[[#This Row],[YEAR]],K$1,1),0))</f>
        <v/>
      </c>
      <c r="L6" s="143">
        <f>SUMIFS(Data!$AD:$AD,Data!$AC:$AC,"&gt;="&amp;DATE(OI[[#This Row],[YEAR]],L$1,1),Data!$AC:$AC,"&lt;="&amp;EOMONTH(DATE(OI[[#This Row],[YEAR]],L$1,1),0))</f>
        <v/>
      </c>
      <c r="M6" s="143">
        <f>SUMIFS(Data!$AD:$AD,Data!$AC:$AC,"&gt;="&amp;DATE(OI[[#This Row],[YEAR]],M$1,1),Data!$AC:$AC,"&lt;="&amp;EOMONTH(DATE(OI[[#This Row],[YEAR]],M$1,1),0))</f>
        <v/>
      </c>
      <c r="N6" s="143">
        <f>SUMIFS(Data!$AD:$AD,Data!$AC:$AC,"&gt;="&amp;DATE(OI[[#This Row],[YEAR]],N$1,1),Data!$AC:$AC,"&lt;="&amp;EOMONTH(DATE(OI[[#This Row],[YEAR]],N$1,1),0))</f>
        <v/>
      </c>
      <c r="O6" s="143">
        <f>SUMIFS(Data!$AD:$AD,Data!$AC:$AC,"&gt;="&amp;DATE(OI[[#This Row],[YEAR]],O$1,1),Data!$AC:$AC,"&lt;="&amp;EOMONTH(DATE(OI[[#This Row],[YEAR]],O$1,1),0))</f>
        <v/>
      </c>
      <c r="P6" s="143">
        <f>SUMIFS(Data!$AD:$AD,Data!$AC:$AC,"&gt;="&amp;DATE(OI[[#This Row],[YEAR]],P$1,1),Data!$AC:$AC,"&lt;="&amp;EOMONTH(DATE(OI[[#This Row],[YEAR]],P$1,1),0))</f>
        <v/>
      </c>
      <c r="Q6" s="143">
        <f>SUMIFS(Data!$AD:$AD,Data!$AC:$AC,"&gt;="&amp;DATE(OI[[#This Row],[YEAR]],Q$1,1),Data!$AC:$AC,"&lt;="&amp;EOMONTH(DATE(OI[[#This Row],[YEAR]],Q$1,1),0))</f>
        <v/>
      </c>
      <c r="R6" s="143">
        <f>SUMIFS(Data!$AD:$AD,Data!$AC:$AC,"&gt;="&amp;DATE(OI[[#This Row],[YEAR]],R$1,1),Data!$AC:$AC,"&lt;="&amp;EOMONTH(DATE(OI[[#This Row],[YEAR]],R$1,1),0))</f>
        <v/>
      </c>
      <c r="S6" s="143">
        <f>SUMIFS(Data!$AD:$AD,Data!$AC:$AC,"&gt;="&amp;DATE(OI[[#This Row],[YEAR]],S$1,1),Data!$AC:$AC,"&lt;="&amp;EOMONTH(DATE(OI[[#This Row],[YEAR]],S$1,1),0))</f>
        <v/>
      </c>
      <c r="T6" s="141">
        <f>SUM(OI[[#This Row],[1]])</f>
        <v/>
      </c>
      <c r="U6" s="141">
        <f>SUM(OI[[#This Row],[1]],OI[[#This Row],[2]])</f>
        <v/>
      </c>
      <c r="V6" s="141">
        <f>SUM(OI[[#This Row],[1]],OI[[#This Row],[2]],OI[[#This Row],[3]])</f>
        <v/>
      </c>
      <c r="W6" s="141">
        <f>SUM(OI[[#This Row],[1]],OI[[#This Row],[2]],OI[[#This Row],[3]],OI[[#This Row],[4]])</f>
        <v/>
      </c>
      <c r="X6" s="141">
        <f>SUM(OI[[#This Row],[1]],OI[[#This Row],[2]],OI[[#This Row],[3]],OI[[#This Row],[4]],OI[[#This Row],[5]])</f>
        <v/>
      </c>
      <c r="Y6" s="141">
        <f>SUM(OI[[#This Row],[1]],OI[[#This Row],[2]],OI[[#This Row],[3]],OI[[#This Row],[4]],OI[[#This Row],[5]],OI[[#This Row],[6]])</f>
        <v/>
      </c>
      <c r="Z6" s="141">
        <f>SUM(OI[[#This Row],[1]],OI[[#This Row],[2]],OI[[#This Row],[3]],OI[[#This Row],[4]],OI[[#This Row],[5]],OI[[#This Row],[6]],OI[[#This Row],[7]])</f>
        <v/>
      </c>
      <c r="AA6" s="141">
        <f>SUM(OI[[#This Row],[1]],OI[[#This Row],[2]],OI[[#This Row],[3]],OI[[#This Row],[4]],OI[[#This Row],[5]],OI[[#This Row],[6]],OI[[#This Row],[7]],OI[[#This Row],[8]])</f>
        <v/>
      </c>
      <c r="AB6" s="141">
        <f>SUM(OI[[#This Row],[1]],OI[[#This Row],[2]],OI[[#This Row],[3]],OI[[#This Row],[4]],OI[[#This Row],[5]],OI[[#This Row],[6]],OI[[#This Row],[7]],OI[[#This Row],[8]],OI[[#This Row],[9]])</f>
        <v/>
      </c>
      <c r="AC6" s="141">
        <f>SUM(OI[[#This Row],[1]],OI[[#This Row],[2]],OI[[#This Row],[3]],OI[[#This Row],[4]],OI[[#This Row],[5]],OI[[#This Row],[6]],OI[[#This Row],[7]],OI[[#This Row],[8]],OI[[#This Row],[9]],OI[[#This Row],[10]])</f>
        <v/>
      </c>
      <c r="AD6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6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6" s="141">
        <f>SUM(OI[[#This Row],[1]],OI[[#This Row],[2]],OI[[#This Row],[3]])</f>
        <v/>
      </c>
      <c r="AG6" s="141">
        <f>SUM(OI[[#This Row],[4]],OI[[#This Row],[5]],OI[[#This Row],[6]])</f>
        <v/>
      </c>
      <c r="AH6" s="141">
        <f>SUM(OI[[#This Row],[7]],OI[[#This Row],[8]],OI[[#This Row],[9]])</f>
        <v/>
      </c>
      <c r="AI6" s="141">
        <f>SUM(OI[[#This Row],[10]],OI[[#This Row],[11]],OI[[#This Row],[12]])</f>
        <v/>
      </c>
      <c r="AJ6" s="141">
        <f>SUM(OI[[#This Row],[1]],OI[[#This Row],[2]],OI[[#This Row],[3]],OI[[#This Row],[4]],OI[[#This Row],[5]],OI[[#This Row],[6]])</f>
        <v/>
      </c>
      <c r="AK6" s="142">
        <f>SUM(OI[[#This Row],[7]],OI[[#This Row],[8]],OI[[#This Row],[9]],OI[[#This Row],[10]],OI[[#This Row],[11]],OI[[#This Row],[12]])</f>
        <v/>
      </c>
      <c r="AL6" s="141">
        <f>"HYFR"</f>
        <v/>
      </c>
    </row>
    <row r="7">
      <c r="A7" t="inlineStr">
        <is>
          <t>HYFR</t>
        </is>
      </c>
      <c r="B7" t="inlineStr">
        <is>
          <t>EUR</t>
        </is>
      </c>
      <c r="C7" t="inlineStr">
        <is>
          <t>ACT</t>
        </is>
      </c>
      <c r="D7" t="inlineStr">
        <is>
          <t>BrUms</t>
        </is>
      </c>
      <c r="F7" t="n">
        <v>2020</v>
      </c>
      <c r="G7" t="inlineStr">
        <is>
          <t>P034</t>
        </is>
      </c>
      <c r="H7" s="143">
        <f>SUMIFS(Data!$AD:$AD,Data!$AC:$AC,"&gt;="&amp;DATE(OI[[#This Row],[YEAR]],H$1,1),Data!$AC:$AC,"&lt;="&amp;EOMONTH(DATE(OI[[#This Row],[YEAR]],H$1,1),0),Data!$G:$G,"*HYDRO*")</f>
        <v/>
      </c>
      <c r="I7" s="143">
        <f>SUMIFS(Data!$AD:$AD,Data!$AC:$AC,"&gt;="&amp;DATE(OI[[#This Row],[PG]],I$1,1),Data!$AC:$AC,"&lt;="&amp;EOMONTH(DATE(OI[[#This Row],[PG]],I$1,1),0),Data!$G:$G,"*HYDRO*")</f>
        <v/>
      </c>
      <c r="J7" s="143">
        <f>SUMIFS(Data!$AD:$AD,Data!$AC:$AC,"&gt;="&amp;DATE(OI[[#This Row],[1]],J$1,1),Data!$AC:$AC,"&lt;="&amp;EOMONTH(DATE(OI[[#This Row],[1]],J$1,1),0),Data!$G:$G,"*HYDRO*")</f>
        <v/>
      </c>
      <c r="K7" s="143">
        <f>SUMIFS(Data!$AD:$AD,Data!$AC:$AC,"&gt;="&amp;DATE(OI[[#This Row],[2]],K$1,1),Data!$AC:$AC,"&lt;="&amp;EOMONTH(DATE(OI[[#This Row],[2]],K$1,1),0),Data!$G:$G,"*HYDRO*")</f>
        <v/>
      </c>
      <c r="L7" s="143">
        <f>SUMIFS(Data!$AD:$AD,Data!$AC:$AC,"&gt;="&amp;DATE(OI[[#This Row],[3]],L$1,1),Data!$AC:$AC,"&lt;="&amp;EOMONTH(DATE(OI[[#This Row],[3]],L$1,1),0),Data!$G:$G,"*HYDRO*")</f>
        <v/>
      </c>
      <c r="M7" s="143">
        <f>SUMIFS(Data!$AD:$AD,Data!$AC:$AC,"&gt;="&amp;DATE(OI[[#This Row],[4]],M$1,1),Data!$AC:$AC,"&lt;="&amp;EOMONTH(DATE(OI[[#This Row],[4]],M$1,1),0),Data!$G:$G,"*HYDRO*")</f>
        <v/>
      </c>
      <c r="N7" s="143">
        <f>SUMIFS(Data!$AD:$AD,Data!$AC:$AC,"&gt;="&amp;DATE(OI[[#This Row],[5]],N$1,1),Data!$AC:$AC,"&lt;="&amp;EOMONTH(DATE(OI[[#This Row],[5]],N$1,1),0),Data!$G:$G,"*HYDRO*")</f>
        <v/>
      </c>
      <c r="O7" s="143">
        <f>SUMIFS(Data!$AD:$AD,Data!$AC:$AC,"&gt;="&amp;DATE(OI[[#This Row],[6]],O$1,1),Data!$AC:$AC,"&lt;="&amp;EOMONTH(DATE(OI[[#This Row],[6]],O$1,1),0),Data!$G:$G,"*HYDRO*")</f>
        <v/>
      </c>
      <c r="P7" s="143">
        <f>SUMIFS(Data!$AD:$AD,Data!$AC:$AC,"&gt;="&amp;DATE(OI[[#This Row],[7]],P$1,1),Data!$AC:$AC,"&lt;="&amp;EOMONTH(DATE(OI[[#This Row],[7]],P$1,1),0),Data!$G:$G,"*HYDRO*")</f>
        <v/>
      </c>
      <c r="Q7" s="143">
        <f>SUMIFS(Data!$AD:$AD,Data!$AC:$AC,"&gt;="&amp;DATE(OI[[#This Row],[8]],Q$1,1),Data!$AC:$AC,"&lt;="&amp;EOMONTH(DATE(OI[[#This Row],[8]],Q$1,1),0),Data!$G:$G,"*HYDRO*")</f>
        <v/>
      </c>
      <c r="R7" s="143">
        <f>SUMIFS(Data!$AD:$AD,Data!$AC:$AC,"&gt;="&amp;DATE(OI[[#This Row],[9]],R$1,1),Data!$AC:$AC,"&lt;="&amp;EOMONTH(DATE(OI[[#This Row],[9]],R$1,1),0),Data!$G:$G,"*HYDRO*")</f>
        <v/>
      </c>
      <c r="S7" s="143">
        <f>SUMIFS(Data!$AD:$AD,Data!$AC:$AC,"&gt;="&amp;DATE(OI[[#This Row],[10]],S$1,1),Data!$AC:$AC,"&lt;="&amp;EOMONTH(DATE(OI[[#This Row],[10]],S$1,1),0),Data!$G:$G,"*HYDRO*")</f>
        <v/>
      </c>
      <c r="T7" s="141">
        <f>SUM(OI[[#This Row],[1]])</f>
        <v/>
      </c>
      <c r="U7" s="141">
        <f>SUM(OI[[#This Row],[1]],OI[[#This Row],[2]])</f>
        <v/>
      </c>
      <c r="V7" s="141">
        <f>SUM(OI[[#This Row],[1]],OI[[#This Row],[2]],OI[[#This Row],[3]])</f>
        <v/>
      </c>
      <c r="W7" s="141">
        <f>SUM(OI[[#This Row],[1]],OI[[#This Row],[2]],OI[[#This Row],[3]],OI[[#This Row],[4]])</f>
        <v/>
      </c>
      <c r="X7" s="141">
        <f>SUM(OI[[#This Row],[1]],OI[[#This Row],[2]],OI[[#This Row],[3]],OI[[#This Row],[4]],OI[[#This Row],[5]])</f>
        <v/>
      </c>
      <c r="Y7" s="141">
        <f>SUM(OI[[#This Row],[1]],OI[[#This Row],[2]],OI[[#This Row],[3]],OI[[#This Row],[4]],OI[[#This Row],[5]],OI[[#This Row],[6]])</f>
        <v/>
      </c>
      <c r="Z7" s="141">
        <f>SUM(OI[[#This Row],[1]],OI[[#This Row],[2]],OI[[#This Row],[3]],OI[[#This Row],[4]],OI[[#This Row],[5]],OI[[#This Row],[6]],OI[[#This Row],[7]])</f>
        <v/>
      </c>
      <c r="AA7" s="141">
        <f>SUM(OI[[#This Row],[1]],OI[[#This Row],[2]],OI[[#This Row],[3]],OI[[#This Row],[4]],OI[[#This Row],[5]],OI[[#This Row],[6]],OI[[#This Row],[7]],OI[[#This Row],[8]])</f>
        <v/>
      </c>
      <c r="AB7" s="141">
        <f>SUM(OI[[#This Row],[1]],OI[[#This Row],[2]],OI[[#This Row],[3]],OI[[#This Row],[4]],OI[[#This Row],[5]],OI[[#This Row],[6]],OI[[#This Row],[7]],OI[[#This Row],[8]],OI[[#This Row],[9]])</f>
        <v/>
      </c>
      <c r="AC7" s="141">
        <f>SUM(OI[[#This Row],[1]],OI[[#This Row],[2]],OI[[#This Row],[3]],OI[[#This Row],[4]],OI[[#This Row],[5]],OI[[#This Row],[6]],OI[[#This Row],[7]],OI[[#This Row],[8]],OI[[#This Row],[9]],OI[[#This Row],[10]])</f>
        <v/>
      </c>
      <c r="AD7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7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7" s="141">
        <f>SUM(OI[[#This Row],[1]],OI[[#This Row],[2]],OI[[#This Row],[3]])</f>
        <v/>
      </c>
      <c r="AG7" s="141">
        <f>SUM(OI[[#This Row],[4]],OI[[#This Row],[5]],OI[[#This Row],[6]])</f>
        <v/>
      </c>
      <c r="AH7" s="141">
        <f>SUM(OI[[#This Row],[7]],OI[[#This Row],[8]],OI[[#This Row],[9]])</f>
        <v/>
      </c>
      <c r="AI7" s="141">
        <f>SUM(OI[[#This Row],[10]],OI[[#This Row],[11]],OI[[#This Row],[12]])</f>
        <v/>
      </c>
      <c r="AJ7" s="141">
        <f>SUM(OI[[#This Row],[1]],OI[[#This Row],[2]],OI[[#This Row],[3]],OI[[#This Row],[4]],OI[[#This Row],[5]],OI[[#This Row],[6]])</f>
        <v/>
      </c>
      <c r="AK7" s="142">
        <f>SUM(OI[[#This Row],[7]],OI[[#This Row],[8]],OI[[#This Row],[9]],OI[[#This Row],[10]],OI[[#This Row],[11]],OI[[#This Row],[12]])</f>
        <v/>
      </c>
      <c r="AL7" s="141">
        <f>"HYFR"</f>
        <v/>
      </c>
    </row>
    <row r="8">
      <c r="A8" t="inlineStr">
        <is>
          <t>HYFR</t>
        </is>
      </c>
      <c r="B8" t="inlineStr">
        <is>
          <t>EUR</t>
        </is>
      </c>
      <c r="C8" t="inlineStr">
        <is>
          <t>ACT</t>
        </is>
      </c>
      <c r="D8" t="inlineStr">
        <is>
          <t>BrUms</t>
        </is>
      </c>
      <c r="F8" t="n">
        <v>2020</v>
      </c>
      <c r="G8" t="inlineStr">
        <is>
          <t>P014</t>
        </is>
      </c>
      <c r="H8" s="143">
        <f>AIA!C6</f>
        <v/>
      </c>
      <c r="I8" s="143">
        <f>AIA!D6</f>
        <v/>
      </c>
      <c r="J8" s="143">
        <f>AIA!E6</f>
        <v/>
      </c>
      <c r="K8" s="143">
        <f>AIA!F6</f>
        <v/>
      </c>
      <c r="L8" s="143">
        <f>AIA!G6</f>
        <v/>
      </c>
      <c r="M8" s="143">
        <f>AIA!H6</f>
        <v/>
      </c>
      <c r="N8" s="143">
        <f>AIA!I6</f>
        <v/>
      </c>
      <c r="O8" s="143">
        <f>AIA!J6</f>
        <v/>
      </c>
      <c r="P8" s="143">
        <f>AIA!K6</f>
        <v/>
      </c>
      <c r="Q8" s="143">
        <f>AIA!L6</f>
        <v/>
      </c>
      <c r="R8" s="143">
        <f>AIA!M6</f>
        <v/>
      </c>
      <c r="S8" s="143">
        <f>AIA!N6</f>
        <v/>
      </c>
      <c r="T8" s="141">
        <f>SUM(OI[[#This Row],[1]])</f>
        <v/>
      </c>
      <c r="U8" s="141">
        <f>SUM(OI[[#This Row],[1]],OI[[#This Row],[2]])</f>
        <v/>
      </c>
      <c r="V8" s="141">
        <f>SUM(OI[[#This Row],[1]],OI[[#This Row],[2]],OI[[#This Row],[3]])</f>
        <v/>
      </c>
      <c r="W8" s="141">
        <f>SUM(OI[[#This Row],[1]],OI[[#This Row],[2]],OI[[#This Row],[3]],OI[[#This Row],[4]])</f>
        <v/>
      </c>
      <c r="X8" s="141">
        <f>SUM(OI[[#This Row],[1]],OI[[#This Row],[2]],OI[[#This Row],[3]],OI[[#This Row],[4]],OI[[#This Row],[5]])</f>
        <v/>
      </c>
      <c r="Y8" s="141">
        <f>SUM(OI[[#This Row],[1]],OI[[#This Row],[2]],OI[[#This Row],[3]],OI[[#This Row],[4]],OI[[#This Row],[5]],OI[[#This Row],[6]])</f>
        <v/>
      </c>
      <c r="Z8" s="141">
        <f>SUM(OI[[#This Row],[1]],OI[[#This Row],[2]],OI[[#This Row],[3]],OI[[#This Row],[4]],OI[[#This Row],[5]],OI[[#This Row],[6]],OI[[#This Row],[7]])</f>
        <v/>
      </c>
      <c r="AA8" s="141">
        <f>SUM(OI[[#This Row],[1]],OI[[#This Row],[2]],OI[[#This Row],[3]],OI[[#This Row],[4]],OI[[#This Row],[5]],OI[[#This Row],[6]],OI[[#This Row],[7]],OI[[#This Row],[8]])</f>
        <v/>
      </c>
      <c r="AB8" s="141">
        <f>SUM(OI[[#This Row],[1]],OI[[#This Row],[2]],OI[[#This Row],[3]],OI[[#This Row],[4]],OI[[#This Row],[5]],OI[[#This Row],[6]],OI[[#This Row],[7]],OI[[#This Row],[8]],OI[[#This Row],[9]])</f>
        <v/>
      </c>
      <c r="AC8" s="141">
        <f>SUM(OI[[#This Row],[1]],OI[[#This Row],[2]],OI[[#This Row],[3]],OI[[#This Row],[4]],OI[[#This Row],[5]],OI[[#This Row],[6]],OI[[#This Row],[7]],OI[[#This Row],[8]],OI[[#This Row],[9]],OI[[#This Row],[10]])</f>
        <v/>
      </c>
      <c r="AD8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8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8" s="141">
        <f>SUM(OI[[#This Row],[1]],OI[[#This Row],[2]],OI[[#This Row],[3]])</f>
        <v/>
      </c>
      <c r="AG8" s="141">
        <f>SUM(OI[[#This Row],[4]],OI[[#This Row],[5]],OI[[#This Row],[6]])</f>
        <v/>
      </c>
      <c r="AH8" s="141">
        <f>SUM(OI[[#This Row],[7]],OI[[#This Row],[8]],OI[[#This Row],[9]])</f>
        <v/>
      </c>
      <c r="AI8" s="141">
        <f>SUM(OI[[#This Row],[10]],OI[[#This Row],[11]],OI[[#This Row],[12]])</f>
        <v/>
      </c>
      <c r="AJ8" s="141">
        <f>SUM(OI[[#This Row],[1]],OI[[#This Row],[2]],OI[[#This Row],[3]],OI[[#This Row],[4]],OI[[#This Row],[5]],OI[[#This Row],[6]])</f>
        <v/>
      </c>
      <c r="AK8" s="142">
        <f>SUM(OI[[#This Row],[7]],OI[[#This Row],[8]],OI[[#This Row],[9]],OI[[#This Row],[10]],OI[[#This Row],[11]],OI[[#This Row],[12]])</f>
        <v/>
      </c>
      <c r="AL8" s="141">
        <f>"HYFR"</f>
        <v/>
      </c>
    </row>
    <row r="9">
      <c r="A9" t="inlineStr">
        <is>
          <t>HYFR</t>
        </is>
      </c>
      <c r="B9" t="inlineStr">
        <is>
          <t>EUR</t>
        </is>
      </c>
      <c r="C9" t="inlineStr">
        <is>
          <t>ACT</t>
        </is>
      </c>
      <c r="D9" t="inlineStr">
        <is>
          <t>BrUms</t>
        </is>
      </c>
      <c r="F9" t="n">
        <v>2020</v>
      </c>
      <c r="G9" t="inlineStr">
        <is>
          <t>P001</t>
        </is>
      </c>
      <c r="H9" s="143">
        <f>AIA!C7</f>
        <v/>
      </c>
      <c r="I9" s="143">
        <f>AIA!D7</f>
        <v/>
      </c>
      <c r="J9" s="143">
        <f>AIA!E7</f>
        <v/>
      </c>
      <c r="K9" s="143">
        <f>AIA!F7</f>
        <v/>
      </c>
      <c r="L9" s="143">
        <f>AIA!G7</f>
        <v/>
      </c>
      <c r="M9" s="143">
        <f>AIA!H7</f>
        <v/>
      </c>
      <c r="N9" s="143">
        <f>AIA!I7</f>
        <v/>
      </c>
      <c r="O9" s="143">
        <f>AIA!J7</f>
        <v/>
      </c>
      <c r="P9" s="143">
        <f>AIA!K7</f>
        <v/>
      </c>
      <c r="Q9" s="143">
        <f>AIA!L7</f>
        <v/>
      </c>
      <c r="R9" s="143">
        <f>AIA!M7</f>
        <v/>
      </c>
      <c r="S9" s="143">
        <f>AIA!N7</f>
        <v/>
      </c>
      <c r="T9" s="144">
        <f>SUM(OI[[#This Row],[1]])</f>
        <v/>
      </c>
      <c r="U9" s="144">
        <f>SUM(OI[[#This Row],[1]],OI[[#This Row],[2]])</f>
        <v/>
      </c>
      <c r="V9" s="144">
        <f>SUM(OI[[#This Row],[1]],OI[[#This Row],[2]],OI[[#This Row],[3]])</f>
        <v/>
      </c>
      <c r="W9" s="144">
        <f>SUM(OI[[#This Row],[1]],OI[[#This Row],[2]],OI[[#This Row],[3]],OI[[#This Row],[4]])</f>
        <v/>
      </c>
      <c r="X9" s="144">
        <f>SUM(OI[[#This Row],[1]],OI[[#This Row],[2]],OI[[#This Row],[3]],OI[[#This Row],[4]],OI[[#This Row],[5]])</f>
        <v/>
      </c>
      <c r="Y9" s="144">
        <f>SUM(OI[[#This Row],[1]],OI[[#This Row],[2]],OI[[#This Row],[3]],OI[[#This Row],[4]],OI[[#This Row],[5]],OI[[#This Row],[6]])</f>
        <v/>
      </c>
      <c r="Z9" s="144">
        <f>SUM(OI[[#This Row],[1]],OI[[#This Row],[2]],OI[[#This Row],[3]],OI[[#This Row],[4]],OI[[#This Row],[5]],OI[[#This Row],[6]],OI[[#This Row],[7]])</f>
        <v/>
      </c>
      <c r="AA9" s="144">
        <f>SUM(OI[[#This Row],[1]],OI[[#This Row],[2]],OI[[#This Row],[3]],OI[[#This Row],[4]],OI[[#This Row],[5]],OI[[#This Row],[6]],OI[[#This Row],[7]],OI[[#This Row],[8]])</f>
        <v/>
      </c>
      <c r="AB9" s="144">
        <f>SUM(OI[[#This Row],[1]],OI[[#This Row],[2]],OI[[#This Row],[3]],OI[[#This Row],[4]],OI[[#This Row],[5]],OI[[#This Row],[6]],OI[[#This Row],[7]],OI[[#This Row],[8]],OI[[#This Row],[9]])</f>
        <v/>
      </c>
      <c r="AC9" s="144">
        <f>SUM(OI[[#This Row],[1]],OI[[#This Row],[2]],OI[[#This Row],[3]],OI[[#This Row],[4]],OI[[#This Row],[5]],OI[[#This Row],[6]],OI[[#This Row],[7]],OI[[#This Row],[8]],OI[[#This Row],[9]],OI[[#This Row],[10]])</f>
        <v/>
      </c>
      <c r="AD9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9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9" s="144">
        <f>SUM(OI[[#This Row],[1]],OI[[#This Row],[2]],OI[[#This Row],[3]])</f>
        <v/>
      </c>
      <c r="AG9" s="144">
        <f>SUM(OI[[#This Row],[4]],OI[[#This Row],[5]],OI[[#This Row],[6]])</f>
        <v/>
      </c>
      <c r="AH9" s="144">
        <f>SUM(OI[[#This Row],[7]],OI[[#This Row],[8]],OI[[#This Row],[9]])</f>
        <v/>
      </c>
      <c r="AI9" s="144">
        <f>SUM(OI[[#This Row],[10]],OI[[#This Row],[11]],OI[[#This Row],[12]])</f>
        <v/>
      </c>
      <c r="AJ9" s="144">
        <f>SUM(OI[[#This Row],[1]],OI[[#This Row],[2]],OI[[#This Row],[3]],OI[[#This Row],[4]],OI[[#This Row],[5]],OI[[#This Row],[6]])</f>
        <v/>
      </c>
      <c r="AK9" s="145">
        <f>SUM(OI[[#This Row],[7]],OI[[#This Row],[8]],OI[[#This Row],[9]],OI[[#This Row],[10]],OI[[#This Row],[11]],OI[[#This Row],[12]])</f>
        <v/>
      </c>
      <c r="AL9" s="141">
        <f>"HYFR"</f>
        <v/>
      </c>
    </row>
    <row r="10">
      <c r="A10" t="inlineStr">
        <is>
          <t>HYFR</t>
        </is>
      </c>
      <c r="B10" t="inlineStr">
        <is>
          <t>EUR</t>
        </is>
      </c>
      <c r="C10" t="inlineStr">
        <is>
          <t>ACT</t>
        </is>
      </c>
      <c r="D10" t="inlineStr">
        <is>
          <t>OB</t>
        </is>
      </c>
      <c r="F10">
        <f>RIGHT(AIA!B1,4)*1</f>
        <v/>
      </c>
      <c r="G10" t="inlineStr">
        <is>
          <t>P034</t>
        </is>
      </c>
      <c r="H10" s="143">
        <f>IF(OI[[#This Row],[YEAR]]&lt;&gt;2020,"",SUMIFS(Data!$S:$S,Data!$Q:$Q,"&lt;"&amp;DATE(OI[[#This Row],[YEAR]],1,1))+H2-H6)</f>
        <v/>
      </c>
      <c r="I10" s="143">
        <f>IF(OI[[#This Row],[PG]]&lt;&gt;2020,"",SUMIFS(Data!$S:$S,Data!$Q:$Q,"&lt;"&amp;DATE(OI[[#This Row],[PG]],1,1))+I2-I6)</f>
        <v/>
      </c>
      <c r="J10" s="143">
        <f>IF(OI[[#This Row],[1]]&lt;&gt;2020,"",SUMIFS(Data!$S:$S,Data!$Q:$Q,"&lt;"&amp;DATE(OI[[#This Row],[1]],1,1))+J2-J6)</f>
        <v/>
      </c>
      <c r="K10" s="143">
        <f>IF(OI[[#This Row],[2]]&lt;&gt;2020,"",SUMIFS(Data!$S:$S,Data!$Q:$Q,"&lt;"&amp;DATE(OI[[#This Row],[2]],1,1))+K2-K6)</f>
        <v/>
      </c>
      <c r="L10" s="143">
        <f>IF(OI[[#This Row],[3]]&lt;&gt;2020,"",SUMIFS(Data!$S:$S,Data!$Q:$Q,"&lt;"&amp;DATE(OI[[#This Row],[3]],1,1))+L2-L6)</f>
        <v/>
      </c>
      <c r="M10" s="143">
        <f>IF(OI[[#This Row],[4]]&lt;&gt;2020,"",SUMIFS(Data!$S:$S,Data!$Q:$Q,"&lt;"&amp;DATE(OI[[#This Row],[4]],1,1))+M2-M6)</f>
        <v/>
      </c>
      <c r="N10" s="143">
        <f>IF(OI[[#This Row],[5]]&lt;&gt;2020,"",SUMIFS(Data!$S:$S,Data!$Q:$Q,"&lt;"&amp;DATE(OI[[#This Row],[5]],1,1))+N2-N6)</f>
        <v/>
      </c>
      <c r="O10" s="143">
        <f>IF(OI[[#This Row],[6]]&lt;&gt;2020,"",SUMIFS(Data!$S:$S,Data!$Q:$Q,"&lt;"&amp;DATE(OI[[#This Row],[6]],1,1))+O2-O6)</f>
        <v/>
      </c>
      <c r="P10" s="143">
        <f>IF(OI[[#This Row],[7]]&lt;&gt;2020,"",SUMIFS(Data!$S:$S,Data!$Q:$Q,"&lt;"&amp;DATE(OI[[#This Row],[7]],1,1))+P2-P6)</f>
        <v/>
      </c>
      <c r="Q10" s="143">
        <f>IF(OI[[#This Row],[8]]&lt;&gt;2020,"",SUMIFS(Data!$S:$S,Data!$Q:$Q,"&lt;"&amp;DATE(OI[[#This Row],[8]],1,1))+Q2-Q6)</f>
        <v/>
      </c>
      <c r="R10" s="143">
        <f>IF(OI[[#This Row],[9]]&lt;&gt;2020,"",SUMIFS(Data!$S:$S,Data!$Q:$Q,"&lt;"&amp;DATE(OI[[#This Row],[9]],1,1))+R2-R6)</f>
        <v/>
      </c>
      <c r="S10" s="143">
        <f>IF(OI[[#This Row],[10]]&lt;&gt;2020,"",SUMIFS(Data!$S:$S,Data!$Q:$Q,"&lt;"&amp;DATE(OI[[#This Row],[10]],1,1))+S2-S6)</f>
        <v/>
      </c>
      <c r="T10" s="141">
        <f>SUM(OI[[#This Row],[1]])</f>
        <v/>
      </c>
      <c r="U10" s="141">
        <f>SUM(OI[[#This Row],[1]],OI[[#This Row],[2]])</f>
        <v/>
      </c>
      <c r="V10" s="141">
        <f>SUM(OI[[#This Row],[1]],OI[[#This Row],[2]],OI[[#This Row],[3]])</f>
        <v/>
      </c>
      <c r="W10" s="141">
        <f>SUM(OI[[#This Row],[1]],OI[[#This Row],[2]],OI[[#This Row],[3]],OI[[#This Row],[4]])</f>
        <v/>
      </c>
      <c r="X10" s="141">
        <f>SUM(OI[[#This Row],[1]],OI[[#This Row],[2]],OI[[#This Row],[3]],OI[[#This Row],[4]],OI[[#This Row],[5]])</f>
        <v/>
      </c>
      <c r="Y10" s="141">
        <f>SUM(OI[[#This Row],[1]],OI[[#This Row],[2]],OI[[#This Row],[3]],OI[[#This Row],[4]],OI[[#This Row],[5]],OI[[#This Row],[6]])</f>
        <v/>
      </c>
      <c r="Z10" s="141">
        <f>SUM(OI[[#This Row],[1]],OI[[#This Row],[2]],OI[[#This Row],[3]],OI[[#This Row],[4]],OI[[#This Row],[5]],OI[[#This Row],[6]],OI[[#This Row],[7]])</f>
        <v/>
      </c>
      <c r="AA10" s="141">
        <f>SUM(OI[[#This Row],[1]],OI[[#This Row],[2]],OI[[#This Row],[3]],OI[[#This Row],[4]],OI[[#This Row],[5]],OI[[#This Row],[6]],OI[[#This Row],[7]],OI[[#This Row],[8]])</f>
        <v/>
      </c>
      <c r="AB10" s="141">
        <f>SUM(OI[[#This Row],[1]],OI[[#This Row],[2]],OI[[#This Row],[3]],OI[[#This Row],[4]],OI[[#This Row],[5]],OI[[#This Row],[6]],OI[[#This Row],[7]],OI[[#This Row],[8]],OI[[#This Row],[9]])</f>
        <v/>
      </c>
      <c r="AC10" s="141">
        <f>SUM(OI[[#This Row],[1]],OI[[#This Row],[2]],OI[[#This Row],[3]],OI[[#This Row],[4]],OI[[#This Row],[5]],OI[[#This Row],[6]],OI[[#This Row],[7]],OI[[#This Row],[8]],OI[[#This Row],[9]],OI[[#This Row],[10]])</f>
        <v/>
      </c>
      <c r="AD10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10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10" s="141">
        <f>SUM(OI[[#This Row],[1]],OI[[#This Row],[2]],OI[[#This Row],[3]])</f>
        <v/>
      </c>
      <c r="AG10" s="141">
        <f>SUM(OI[[#This Row],[4]],OI[[#This Row],[5]],OI[[#This Row],[6]])</f>
        <v/>
      </c>
      <c r="AH10" s="141">
        <f>SUM(OI[[#This Row],[7]],OI[[#This Row],[8]],OI[[#This Row],[9]])</f>
        <v/>
      </c>
      <c r="AI10" s="141">
        <f>SUM(OI[[#This Row],[10]],OI[[#This Row],[11]],OI[[#This Row],[12]])</f>
        <v/>
      </c>
      <c r="AJ10" s="141">
        <f>SUM(OI[[#This Row],[1]],OI[[#This Row],[2]],OI[[#This Row],[3]],OI[[#This Row],[4]],OI[[#This Row],[5]],OI[[#This Row],[6]])</f>
        <v/>
      </c>
      <c r="AK10" s="142">
        <f>SUM(OI[[#This Row],[7]],OI[[#This Row],[8]],OI[[#This Row],[9]],OI[[#This Row],[10]],OI[[#This Row],[11]],OI[[#This Row],[12]])</f>
        <v/>
      </c>
      <c r="AL10" s="141">
        <f>"HYFR"</f>
        <v/>
      </c>
    </row>
    <row r="11">
      <c r="A11" t="inlineStr">
        <is>
          <t>HYFR</t>
        </is>
      </c>
      <c r="B11" t="inlineStr">
        <is>
          <t>EUR</t>
        </is>
      </c>
      <c r="C11" t="inlineStr">
        <is>
          <t>ACT</t>
        </is>
      </c>
      <c r="D11" t="inlineStr">
        <is>
          <t>OB</t>
        </is>
      </c>
      <c r="F11">
        <f>RIGHT(AIA!B1,4)*1</f>
        <v/>
      </c>
      <c r="G11" t="inlineStr">
        <is>
          <t>P014</t>
        </is>
      </c>
      <c r="H11" s="143">
        <f>IF(OI[[#This Row],[YEAR]]&lt;&gt;2020,"",AIA!$B$4+H4-H8)</f>
        <v/>
      </c>
      <c r="I11" s="143">
        <f>IF(OI[[#This Row],[PG]]&lt;&gt;2020,"",AIA!$B$4+I4-I8)</f>
        <v/>
      </c>
      <c r="J11" s="143">
        <f>IF(OI[[#This Row],[1]]&lt;&gt;2020,"",AIA!$B$4+J4-J8)</f>
        <v/>
      </c>
      <c r="K11" s="143">
        <f>IF(OI[[#This Row],[2]]&lt;&gt;2020,"",AIA!$B$4+K4-K8)</f>
        <v/>
      </c>
      <c r="L11" s="143">
        <f>IF(OI[[#This Row],[3]]&lt;&gt;2020,"",AIA!$B$4+L4-L8)</f>
        <v/>
      </c>
      <c r="M11" s="143">
        <f>IF(OI[[#This Row],[4]]&lt;&gt;2020,"",AIA!$B$4+M4-M8)</f>
        <v/>
      </c>
      <c r="N11" s="143">
        <f>IF(OI[[#This Row],[5]]&lt;&gt;2020,"",AIA!$B$4+N4-N8)</f>
        <v/>
      </c>
      <c r="O11" s="143">
        <f>IF(OI[[#This Row],[6]]&lt;&gt;2020,"",AIA!$B$4+O4-O8)</f>
        <v/>
      </c>
      <c r="P11" s="143">
        <f>IF(OI[[#This Row],[7]]&lt;&gt;2020,"",AIA!$B$4+P4-P8)</f>
        <v/>
      </c>
      <c r="Q11" s="143">
        <f>IF(OI[[#This Row],[8]]&lt;&gt;2020,"",AIA!$B$4+Q4-Q8)</f>
        <v/>
      </c>
      <c r="R11" s="143">
        <f>IF(OI[[#This Row],[9]]&lt;&gt;2020,"",AIA!$B$4+R4-R8)</f>
        <v/>
      </c>
      <c r="S11" s="143">
        <f>IF(OI[[#This Row],[10]]&lt;&gt;2020,"",AIA!$B$4+S4-S8)</f>
        <v/>
      </c>
      <c r="T11" s="141">
        <f>SUM(OI[[#This Row],[1]])</f>
        <v/>
      </c>
      <c r="U11" s="141">
        <f>SUM(OI[[#This Row],[1]],OI[[#This Row],[2]])</f>
        <v/>
      </c>
      <c r="V11" s="141">
        <f>SUM(OI[[#This Row],[1]],OI[[#This Row],[2]],OI[[#This Row],[3]])</f>
        <v/>
      </c>
      <c r="W11" s="141">
        <f>SUM(OI[[#This Row],[1]],OI[[#This Row],[2]],OI[[#This Row],[3]],OI[[#This Row],[4]])</f>
        <v/>
      </c>
      <c r="X11" s="141">
        <f>SUM(OI[[#This Row],[1]],OI[[#This Row],[2]],OI[[#This Row],[3]],OI[[#This Row],[4]],OI[[#This Row],[5]])</f>
        <v/>
      </c>
      <c r="Y11" s="141">
        <f>SUM(OI[[#This Row],[1]],OI[[#This Row],[2]],OI[[#This Row],[3]],OI[[#This Row],[4]],OI[[#This Row],[5]],OI[[#This Row],[6]])</f>
        <v/>
      </c>
      <c r="Z11" s="141">
        <f>SUM(OI[[#This Row],[1]],OI[[#This Row],[2]],OI[[#This Row],[3]],OI[[#This Row],[4]],OI[[#This Row],[5]],OI[[#This Row],[6]],OI[[#This Row],[7]])</f>
        <v/>
      </c>
      <c r="AA11" s="141">
        <f>SUM(OI[[#This Row],[1]],OI[[#This Row],[2]],OI[[#This Row],[3]],OI[[#This Row],[4]],OI[[#This Row],[5]],OI[[#This Row],[6]],OI[[#This Row],[7]],OI[[#This Row],[8]])</f>
        <v/>
      </c>
      <c r="AB11" s="141">
        <f>SUM(OI[[#This Row],[1]],OI[[#This Row],[2]],OI[[#This Row],[3]],OI[[#This Row],[4]],OI[[#This Row],[5]],OI[[#This Row],[6]],OI[[#This Row],[7]],OI[[#This Row],[8]],OI[[#This Row],[9]])</f>
        <v/>
      </c>
      <c r="AC11" s="141">
        <f>SUM(OI[[#This Row],[1]],OI[[#This Row],[2]],OI[[#This Row],[3]],OI[[#This Row],[4]],OI[[#This Row],[5]],OI[[#This Row],[6]],OI[[#This Row],[7]],OI[[#This Row],[8]],OI[[#This Row],[9]],OI[[#This Row],[10]])</f>
        <v/>
      </c>
      <c r="AD11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11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11" s="141">
        <f>SUM(OI[[#This Row],[1]],OI[[#This Row],[2]],OI[[#This Row],[3]])</f>
        <v/>
      </c>
      <c r="AG11" s="141">
        <f>SUM(OI[[#This Row],[4]],OI[[#This Row],[5]],OI[[#This Row],[6]])</f>
        <v/>
      </c>
      <c r="AH11" s="141">
        <f>SUM(OI[[#This Row],[7]],OI[[#This Row],[8]],OI[[#This Row],[9]])</f>
        <v/>
      </c>
      <c r="AI11" s="141">
        <f>SUM(OI[[#This Row],[10]],OI[[#This Row],[11]],OI[[#This Row],[12]])</f>
        <v/>
      </c>
      <c r="AJ11" s="141">
        <f>SUM(OI[[#This Row],[1]],OI[[#This Row],[2]],OI[[#This Row],[3]],OI[[#This Row],[4]],OI[[#This Row],[5]],OI[[#This Row],[6]])</f>
        <v/>
      </c>
      <c r="AK11" s="142">
        <f>SUM(OI[[#This Row],[7]],OI[[#This Row],[8]],OI[[#This Row],[9]],OI[[#This Row],[10]],OI[[#This Row],[11]],OI[[#This Row],[12]])</f>
        <v/>
      </c>
      <c r="AL11" s="141">
        <f>"HYFR"</f>
        <v/>
      </c>
    </row>
    <row r="12">
      <c r="A12" t="inlineStr">
        <is>
          <t>HYFR</t>
        </is>
      </c>
      <c r="B12" t="inlineStr">
        <is>
          <t>EUR</t>
        </is>
      </c>
      <c r="C12" t="inlineStr">
        <is>
          <t>ACT</t>
        </is>
      </c>
      <c r="D12" t="inlineStr">
        <is>
          <t>OB</t>
        </is>
      </c>
      <c r="F12">
        <f>RIGHT(AIA!B1,4)*1</f>
        <v/>
      </c>
      <c r="G12" t="inlineStr">
        <is>
          <t>P001</t>
        </is>
      </c>
      <c r="H12" s="143">
        <f>IF(OI[[#This Row],[YEAR]]&lt;&gt;2020,"",AIA!$B$5+H5-H9)</f>
        <v/>
      </c>
      <c r="I12" s="143">
        <f>IF(OI[[#This Row],[PG]]&lt;&gt;2020,"",AIA!$B$5+I5-I9)</f>
        <v/>
      </c>
      <c r="J12" s="143">
        <f>IF(OI[[#This Row],[1]]&lt;&gt;2020,"",AIA!$B$5+J5-J9)</f>
        <v/>
      </c>
      <c r="K12" s="143">
        <f>IF(OI[[#This Row],[2]]&lt;&gt;2020,"",AIA!$B$5+K5-K9)</f>
        <v/>
      </c>
      <c r="L12" s="143">
        <f>IF(OI[[#This Row],[3]]&lt;&gt;2020,"",AIA!$B$5+L5-L9)</f>
        <v/>
      </c>
      <c r="M12" s="143">
        <f>IF(OI[[#This Row],[4]]&lt;&gt;2020,"",AIA!$B$5+M5-M9)</f>
        <v/>
      </c>
      <c r="N12" s="143">
        <f>IF(OI[[#This Row],[5]]&lt;&gt;2020,"",AIA!$B$5+N5-N9)</f>
        <v/>
      </c>
      <c r="O12" s="143">
        <f>IF(OI[[#This Row],[6]]&lt;&gt;2020,"",AIA!$B$5+O5-O9)</f>
        <v/>
      </c>
      <c r="P12" s="143">
        <f>IF(OI[[#This Row],[7]]&lt;&gt;2020,"",AIA!$B$5+P5-P9)</f>
        <v/>
      </c>
      <c r="Q12" s="143">
        <f>IF(OI[[#This Row],[8]]&lt;&gt;2020,"",AIA!$B$5+Q5-Q9)</f>
        <v/>
      </c>
      <c r="R12" s="143">
        <f>IF(OI[[#This Row],[9]]&lt;&gt;2020,"",AIA!$B$5+R5-R9)</f>
        <v/>
      </c>
      <c r="S12" s="143">
        <f>IF(OI[[#This Row],[10]]&lt;&gt;2020,"",AIA!$B$5+S5-S9)</f>
        <v/>
      </c>
      <c r="T12" s="144">
        <f>SUM(OI[[#This Row],[1]])</f>
        <v/>
      </c>
      <c r="U12" s="144">
        <f>SUM(OI[[#This Row],[1]],OI[[#This Row],[2]])</f>
        <v/>
      </c>
      <c r="V12" s="144">
        <f>SUM(OI[[#This Row],[1]],OI[[#This Row],[2]],OI[[#This Row],[3]])</f>
        <v/>
      </c>
      <c r="W12" s="144">
        <f>SUM(OI[[#This Row],[1]],OI[[#This Row],[2]],OI[[#This Row],[3]],OI[[#This Row],[4]])</f>
        <v/>
      </c>
      <c r="X12" s="144">
        <f>SUM(OI[[#This Row],[1]],OI[[#This Row],[2]],OI[[#This Row],[3]],OI[[#This Row],[4]],OI[[#This Row],[5]])</f>
        <v/>
      </c>
      <c r="Y12" s="144">
        <f>SUM(OI[[#This Row],[1]],OI[[#This Row],[2]],OI[[#This Row],[3]],OI[[#This Row],[4]],OI[[#This Row],[5]],OI[[#This Row],[6]])</f>
        <v/>
      </c>
      <c r="Z12" s="144">
        <f>SUM(OI[[#This Row],[1]],OI[[#This Row],[2]],OI[[#This Row],[3]],OI[[#This Row],[4]],OI[[#This Row],[5]],OI[[#This Row],[6]],OI[[#This Row],[7]])</f>
        <v/>
      </c>
      <c r="AA12" s="144">
        <f>SUM(OI[[#This Row],[1]],OI[[#This Row],[2]],OI[[#This Row],[3]],OI[[#This Row],[4]],OI[[#This Row],[5]],OI[[#This Row],[6]],OI[[#This Row],[7]],OI[[#This Row],[8]])</f>
        <v/>
      </c>
      <c r="AB12" s="144">
        <f>SUM(OI[[#This Row],[1]],OI[[#This Row],[2]],OI[[#This Row],[3]],OI[[#This Row],[4]],OI[[#This Row],[5]],OI[[#This Row],[6]],OI[[#This Row],[7]],OI[[#This Row],[8]],OI[[#This Row],[9]])</f>
        <v/>
      </c>
      <c r="AC12" s="144">
        <f>SUM(OI[[#This Row],[1]],OI[[#This Row],[2]],OI[[#This Row],[3]],OI[[#This Row],[4]],OI[[#This Row],[5]],OI[[#This Row],[6]],OI[[#This Row],[7]],OI[[#This Row],[8]],OI[[#This Row],[9]],OI[[#This Row],[10]])</f>
        <v/>
      </c>
      <c r="AD12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12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12" s="144">
        <f>SUM(OI[[#This Row],[1]],OI[[#This Row],[2]],OI[[#This Row],[3]])</f>
        <v/>
      </c>
      <c r="AG12" s="144">
        <f>SUM(OI[[#This Row],[4]],OI[[#This Row],[5]],OI[[#This Row],[6]])</f>
        <v/>
      </c>
      <c r="AH12" s="144">
        <f>SUM(OI[[#This Row],[7]],OI[[#This Row],[8]],OI[[#This Row],[9]])</f>
        <v/>
      </c>
      <c r="AI12" s="144">
        <f>SUM(OI[[#This Row],[10]],OI[[#This Row],[11]],OI[[#This Row],[12]])</f>
        <v/>
      </c>
      <c r="AJ12" s="144">
        <f>SUM(OI[[#This Row],[1]],OI[[#This Row],[2]],OI[[#This Row],[3]],OI[[#This Row],[4]],OI[[#This Row],[5]],OI[[#This Row],[6]])</f>
        <v/>
      </c>
      <c r="AK12" s="145">
        <f>SUM(OI[[#This Row],[7]],OI[[#This Row],[8]],OI[[#This Row],[9]],OI[[#This Row],[10]],OI[[#This Row],[11]],OI[[#This Row],[12]])</f>
        <v/>
      </c>
      <c r="AL12" s="144">
        <f>"HYFR"</f>
        <v/>
      </c>
    </row>
    <row r="15">
      <c r="C15" t="inlineStr">
        <is>
          <t>JZ:</t>
        </is>
      </c>
      <c r="D15" s="248" t="inlineStr">
        <is>
          <t xml:space="preserve">OB ist der Jahreswert und die Veränderung, damit es zu den Daten aus QlikView passt. 2020 noch nicht aktualisiert. -&gt; Beim nächsten Probelauf prüfen aber eher unkritisch, </t>
        </is>
      </c>
    </row>
    <row r="16">
      <c r="D16" t="inlineStr">
        <is>
          <t>Im neuen Jahr neue Datei wenn Prozess gleich bleibt. "YEAR" ändern und prüfen.</t>
        </is>
      </c>
    </row>
  </sheetData>
  <pageMargins left="0.7" right="0.7" top="0.787401575" bottom="0.7874015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Naal, Sakhr</dc:creator>
  <dcterms:created xsi:type="dcterms:W3CDTF">2018-01-09T07:30:23Z</dcterms:created>
  <dcterms:modified xsi:type="dcterms:W3CDTF">2022-04-19T07:41:29Z</dcterms:modified>
  <cp:lastModifiedBy>Guillaume Pomiès</cp:lastModifiedBy>
  <cp:lastPrinted>2021-11-03T10:44:29Z</cp:lastPrinted>
</cp:coreProperties>
</file>